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9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0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1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2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3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4.xml" ContentType="application/vnd.openxmlformats-officedocument.drawing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5.xml" ContentType="application/vnd.openxmlformats-officedocument.drawing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6.xml" ContentType="application/vnd.openxmlformats-officedocument.drawing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7.xml" ContentType="application/vnd.openxmlformats-officedocument.drawing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8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210" windowWidth="21075" windowHeight="8895" tabRatio="682" activeTab="4"/>
  </bookViews>
  <sheets>
    <sheet name="Impact Model" sheetId="92" r:id="rId1"/>
    <sheet name="Impact Summary" sheetId="65" r:id="rId2"/>
    <sheet name="Ratepayer GA Payments" sheetId="74" r:id="rId3"/>
    <sheet name="Summary" sheetId="6" r:id="rId4"/>
    <sheet name="New Option 3 35B Max" sheetId="93" r:id="rId5"/>
    <sheet name="Original Option 3 35B Max" sheetId="91" r:id="rId6"/>
    <sheet name="1" sheetId="80" r:id="rId7"/>
    <sheet name="2" sheetId="88" r:id="rId8"/>
    <sheet name="3" sheetId="90" r:id="rId9"/>
    <sheet name="4" sheetId="81" r:id="rId10"/>
    <sheet name="1a GA RPP" sheetId="68" r:id="rId11"/>
    <sheet name="1b GA Class B" sheetId="67" r:id="rId12"/>
    <sheet name="1c GA All" sheetId="66" r:id="rId13"/>
    <sheet name="2a GA RPP" sheetId="78" r:id="rId14"/>
    <sheet name="2b GA Class B" sheetId="79" r:id="rId15"/>
    <sheet name="4a GA RPP" sheetId="85" r:id="rId16"/>
    <sheet name="4b GA Class B" sheetId="86" r:id="rId17"/>
    <sheet name="4c GA All" sheetId="87" r:id="rId18"/>
    <sheet name="Calcs" sheetId="3" r:id="rId19"/>
    <sheet name="Indicative graph" sheetId="9" r:id="rId20"/>
    <sheet name="Residential Bill" sheetId="4" r:id="rId21"/>
    <sheet name="2013 LTEP" sheetId="24" r:id="rId22"/>
    <sheet name="OPG Costs" sheetId="25" r:id="rId23"/>
    <sheet name="RRRP and OESP" sheetId="23" r:id="rId24"/>
    <sheet name="Historical Data" sheetId="22" r:id="rId25"/>
    <sheet name="IESO Cases" sheetId="2" r:id="rId26"/>
    <sheet name="IESO HOEP-GA" sheetId="1" r:id="rId27"/>
    <sheet name="IESO Res Bill" sheetId="5" r:id="rId28"/>
    <sheet name="HOEP-GA POEM Dynamics" sheetId="7" r:id="rId29"/>
  </sheets>
  <definedNames>
    <definedName name="solver_adj" localSheetId="6" hidden="1">'1'!#REF!</definedName>
    <definedName name="solver_adj" localSheetId="10" hidden="1">'1a GA RPP'!#REF!</definedName>
    <definedName name="solver_adj" localSheetId="11" hidden="1">'1b GA Class B'!#REF!</definedName>
    <definedName name="solver_adj" localSheetId="12" hidden="1">'1c GA All'!#REF!</definedName>
    <definedName name="solver_adj" localSheetId="7" hidden="1">'2'!#REF!</definedName>
    <definedName name="solver_adj" localSheetId="13" hidden="1">'2a GA RPP'!#REF!</definedName>
    <definedName name="solver_adj" localSheetId="14" hidden="1">'2b GA Class B'!#REF!</definedName>
    <definedName name="solver_adj" localSheetId="8" hidden="1">'3'!#REF!</definedName>
    <definedName name="solver_adj" localSheetId="9" hidden="1">'4'!#REF!</definedName>
    <definedName name="solver_adj" localSheetId="15" hidden="1">'4a GA RPP'!#REF!</definedName>
    <definedName name="solver_adj" localSheetId="16" hidden="1">'4b GA Class B'!#REF!</definedName>
    <definedName name="solver_adj" localSheetId="17" hidden="1">'4c GA All'!#REF!</definedName>
    <definedName name="solver_adj" localSheetId="19" hidden="1">'Indicative graph'!$C$13</definedName>
    <definedName name="solver_adj" localSheetId="4" hidden="1">'New Option 3 35B Max'!#REF!</definedName>
    <definedName name="solver_adj" localSheetId="5" hidden="1">'Original Option 3 35B Max'!#REF!</definedName>
    <definedName name="solver_adj" localSheetId="3" hidden="1">Summary!#REF!</definedName>
    <definedName name="solver_cvg" localSheetId="6" hidden="1">0.0001</definedName>
    <definedName name="solver_cvg" localSheetId="10" hidden="1">0.0001</definedName>
    <definedName name="solver_cvg" localSheetId="11" hidden="1">0.0001</definedName>
    <definedName name="solver_cvg" localSheetId="12" hidden="1">0.0001</definedName>
    <definedName name="solver_cvg" localSheetId="7" hidden="1">0.0001</definedName>
    <definedName name="solver_cvg" localSheetId="13" hidden="1">0.0001</definedName>
    <definedName name="solver_cvg" localSheetId="14" hidden="1">0.0001</definedName>
    <definedName name="solver_cvg" localSheetId="8" hidden="1">0.0001</definedName>
    <definedName name="solver_cvg" localSheetId="9" hidden="1">0.0001</definedName>
    <definedName name="solver_cvg" localSheetId="15" hidden="1">0.0001</definedName>
    <definedName name="solver_cvg" localSheetId="16" hidden="1">0.0001</definedName>
    <definedName name="solver_cvg" localSheetId="17" hidden="1">0.0001</definedName>
    <definedName name="solver_cvg" localSheetId="18" hidden="1">0.0001</definedName>
    <definedName name="solver_cvg" localSheetId="19" hidden="1">0.0001</definedName>
    <definedName name="solver_cvg" localSheetId="4" hidden="1">0.0001</definedName>
    <definedName name="solver_cvg" localSheetId="5" hidden="1">0.0001</definedName>
    <definedName name="solver_cvg" localSheetId="3" hidden="1">0.0001</definedName>
    <definedName name="solver_drv" localSheetId="6" hidden="1">1</definedName>
    <definedName name="solver_drv" localSheetId="10" hidden="1">1</definedName>
    <definedName name="solver_drv" localSheetId="11" hidden="1">1</definedName>
    <definedName name="solver_drv" localSheetId="12" hidden="1">1</definedName>
    <definedName name="solver_drv" localSheetId="7" hidden="1">1</definedName>
    <definedName name="solver_drv" localSheetId="13" hidden="1">1</definedName>
    <definedName name="solver_drv" localSheetId="14" hidden="1">1</definedName>
    <definedName name="solver_drv" localSheetId="8" hidden="1">1</definedName>
    <definedName name="solver_drv" localSheetId="9" hidden="1">1</definedName>
    <definedName name="solver_drv" localSheetId="15" hidden="1">1</definedName>
    <definedName name="solver_drv" localSheetId="16" hidden="1">1</definedName>
    <definedName name="solver_drv" localSheetId="17" hidden="1">1</definedName>
    <definedName name="solver_drv" localSheetId="18" hidden="1">1</definedName>
    <definedName name="solver_drv" localSheetId="19" hidden="1">1</definedName>
    <definedName name="solver_drv" localSheetId="4" hidden="1">1</definedName>
    <definedName name="solver_drv" localSheetId="5" hidden="1">1</definedName>
    <definedName name="solver_drv" localSheetId="3" hidden="1">1</definedName>
    <definedName name="solver_eng" localSheetId="6" hidden="1">1</definedName>
    <definedName name="solver_eng" localSheetId="10" hidden="1">1</definedName>
    <definedName name="solver_eng" localSheetId="11" hidden="1">1</definedName>
    <definedName name="solver_eng" localSheetId="12" hidden="1">1</definedName>
    <definedName name="solver_eng" localSheetId="7" hidden="1">1</definedName>
    <definedName name="solver_eng" localSheetId="13" hidden="1">1</definedName>
    <definedName name="solver_eng" localSheetId="14" hidden="1">1</definedName>
    <definedName name="solver_eng" localSheetId="8" hidden="1">1</definedName>
    <definedName name="solver_eng" localSheetId="9" hidden="1">1</definedName>
    <definedName name="solver_eng" localSheetId="15" hidden="1">1</definedName>
    <definedName name="solver_eng" localSheetId="16" hidden="1">1</definedName>
    <definedName name="solver_eng" localSheetId="17" hidden="1">1</definedName>
    <definedName name="solver_eng" localSheetId="18" hidden="1">1</definedName>
    <definedName name="solver_eng" localSheetId="19" hidden="1">1</definedName>
    <definedName name="solver_eng" localSheetId="4" hidden="1">1</definedName>
    <definedName name="solver_eng" localSheetId="5" hidden="1">1</definedName>
    <definedName name="solver_eng" localSheetId="3" hidden="1">1</definedName>
    <definedName name="solver_est" localSheetId="6" hidden="1">1</definedName>
    <definedName name="solver_est" localSheetId="10" hidden="1">1</definedName>
    <definedName name="solver_est" localSheetId="11" hidden="1">1</definedName>
    <definedName name="solver_est" localSheetId="12" hidden="1">1</definedName>
    <definedName name="solver_est" localSheetId="7" hidden="1">1</definedName>
    <definedName name="solver_est" localSheetId="13" hidden="1">1</definedName>
    <definedName name="solver_est" localSheetId="14" hidden="1">1</definedName>
    <definedName name="solver_est" localSheetId="8" hidden="1">1</definedName>
    <definedName name="solver_est" localSheetId="9" hidden="1">1</definedName>
    <definedName name="solver_est" localSheetId="15" hidden="1">1</definedName>
    <definedName name="solver_est" localSheetId="16" hidden="1">1</definedName>
    <definedName name="solver_est" localSheetId="17" hidden="1">1</definedName>
    <definedName name="solver_est" localSheetId="18" hidden="1">1</definedName>
    <definedName name="solver_est" localSheetId="19" hidden="1">1</definedName>
    <definedName name="solver_est" localSheetId="4" hidden="1">1</definedName>
    <definedName name="solver_est" localSheetId="5" hidden="1">1</definedName>
    <definedName name="solver_est" localSheetId="3" hidden="1">1</definedName>
    <definedName name="solver_itr" localSheetId="6" hidden="1">2147483647</definedName>
    <definedName name="solver_itr" localSheetId="10" hidden="1">2147483647</definedName>
    <definedName name="solver_itr" localSheetId="11" hidden="1">2147483647</definedName>
    <definedName name="solver_itr" localSheetId="12" hidden="1">2147483647</definedName>
    <definedName name="solver_itr" localSheetId="7" hidden="1">2147483647</definedName>
    <definedName name="solver_itr" localSheetId="13" hidden="1">2147483647</definedName>
    <definedName name="solver_itr" localSheetId="14" hidden="1">2147483647</definedName>
    <definedName name="solver_itr" localSheetId="8" hidden="1">2147483647</definedName>
    <definedName name="solver_itr" localSheetId="9" hidden="1">2147483647</definedName>
    <definedName name="solver_itr" localSheetId="15" hidden="1">2147483647</definedName>
    <definedName name="solver_itr" localSheetId="16" hidden="1">2147483647</definedName>
    <definedName name="solver_itr" localSheetId="17" hidden="1">2147483647</definedName>
    <definedName name="solver_itr" localSheetId="18" hidden="1">2147483647</definedName>
    <definedName name="solver_itr" localSheetId="19" hidden="1">2147483647</definedName>
    <definedName name="solver_itr" localSheetId="4" hidden="1">2147483647</definedName>
    <definedName name="solver_itr" localSheetId="5" hidden="1">2147483647</definedName>
    <definedName name="solver_itr" localSheetId="3" hidden="1">2147483647</definedName>
    <definedName name="solver_mip" localSheetId="6" hidden="1">2147483647</definedName>
    <definedName name="solver_mip" localSheetId="10" hidden="1">2147483647</definedName>
    <definedName name="solver_mip" localSheetId="11" hidden="1">2147483647</definedName>
    <definedName name="solver_mip" localSheetId="12" hidden="1">2147483647</definedName>
    <definedName name="solver_mip" localSheetId="7" hidden="1">2147483647</definedName>
    <definedName name="solver_mip" localSheetId="13" hidden="1">2147483647</definedName>
    <definedName name="solver_mip" localSheetId="14" hidden="1">2147483647</definedName>
    <definedName name="solver_mip" localSheetId="8" hidden="1">2147483647</definedName>
    <definedName name="solver_mip" localSheetId="9" hidden="1">2147483647</definedName>
    <definedName name="solver_mip" localSheetId="15" hidden="1">2147483647</definedName>
    <definedName name="solver_mip" localSheetId="16" hidden="1">2147483647</definedName>
    <definedName name="solver_mip" localSheetId="17" hidden="1">2147483647</definedName>
    <definedName name="solver_mip" localSheetId="18" hidden="1">2147483647</definedName>
    <definedName name="solver_mip" localSheetId="19" hidden="1">2147483647</definedName>
    <definedName name="solver_mip" localSheetId="4" hidden="1">2147483647</definedName>
    <definedName name="solver_mip" localSheetId="5" hidden="1">2147483647</definedName>
    <definedName name="solver_mip" localSheetId="3" hidden="1">2147483647</definedName>
    <definedName name="solver_mni" localSheetId="6" hidden="1">30</definedName>
    <definedName name="solver_mni" localSheetId="10" hidden="1">30</definedName>
    <definedName name="solver_mni" localSheetId="11" hidden="1">30</definedName>
    <definedName name="solver_mni" localSheetId="12" hidden="1">30</definedName>
    <definedName name="solver_mni" localSheetId="7" hidden="1">30</definedName>
    <definedName name="solver_mni" localSheetId="13" hidden="1">30</definedName>
    <definedName name="solver_mni" localSheetId="14" hidden="1">30</definedName>
    <definedName name="solver_mni" localSheetId="8" hidden="1">30</definedName>
    <definedName name="solver_mni" localSheetId="9" hidden="1">30</definedName>
    <definedName name="solver_mni" localSheetId="15" hidden="1">30</definedName>
    <definedName name="solver_mni" localSheetId="16" hidden="1">30</definedName>
    <definedName name="solver_mni" localSheetId="17" hidden="1">30</definedName>
    <definedName name="solver_mni" localSheetId="18" hidden="1">30</definedName>
    <definedName name="solver_mni" localSheetId="19" hidden="1">30</definedName>
    <definedName name="solver_mni" localSheetId="4" hidden="1">30</definedName>
    <definedName name="solver_mni" localSheetId="5" hidden="1">30</definedName>
    <definedName name="solver_mni" localSheetId="3" hidden="1">30</definedName>
    <definedName name="solver_mrt" localSheetId="6" hidden="1">0.075</definedName>
    <definedName name="solver_mrt" localSheetId="10" hidden="1">0.075</definedName>
    <definedName name="solver_mrt" localSheetId="11" hidden="1">0.075</definedName>
    <definedName name="solver_mrt" localSheetId="12" hidden="1">0.075</definedName>
    <definedName name="solver_mrt" localSheetId="7" hidden="1">0.075</definedName>
    <definedName name="solver_mrt" localSheetId="13" hidden="1">0.075</definedName>
    <definedName name="solver_mrt" localSheetId="14" hidden="1">0.075</definedName>
    <definedName name="solver_mrt" localSheetId="8" hidden="1">0.075</definedName>
    <definedName name="solver_mrt" localSheetId="9" hidden="1">0.075</definedName>
    <definedName name="solver_mrt" localSheetId="15" hidden="1">0.075</definedName>
    <definedName name="solver_mrt" localSheetId="16" hidden="1">0.075</definedName>
    <definedName name="solver_mrt" localSheetId="17" hidden="1">0.075</definedName>
    <definedName name="solver_mrt" localSheetId="18" hidden="1">0.075</definedName>
    <definedName name="solver_mrt" localSheetId="19" hidden="1">0.075</definedName>
    <definedName name="solver_mrt" localSheetId="4" hidden="1">0.075</definedName>
    <definedName name="solver_mrt" localSheetId="5" hidden="1">0.075</definedName>
    <definedName name="solver_mrt" localSheetId="3" hidden="1">0.075</definedName>
    <definedName name="solver_msl" localSheetId="6" hidden="1">2</definedName>
    <definedName name="solver_msl" localSheetId="10" hidden="1">2</definedName>
    <definedName name="solver_msl" localSheetId="11" hidden="1">2</definedName>
    <definedName name="solver_msl" localSheetId="12" hidden="1">2</definedName>
    <definedName name="solver_msl" localSheetId="7" hidden="1">2</definedName>
    <definedName name="solver_msl" localSheetId="13" hidden="1">2</definedName>
    <definedName name="solver_msl" localSheetId="14" hidden="1">2</definedName>
    <definedName name="solver_msl" localSheetId="8" hidden="1">2</definedName>
    <definedName name="solver_msl" localSheetId="9" hidden="1">2</definedName>
    <definedName name="solver_msl" localSheetId="15" hidden="1">2</definedName>
    <definedName name="solver_msl" localSheetId="16" hidden="1">2</definedName>
    <definedName name="solver_msl" localSheetId="17" hidden="1">2</definedName>
    <definedName name="solver_msl" localSheetId="18" hidden="1">2</definedName>
    <definedName name="solver_msl" localSheetId="19" hidden="1">2</definedName>
    <definedName name="solver_msl" localSheetId="4" hidden="1">2</definedName>
    <definedName name="solver_msl" localSheetId="5" hidden="1">2</definedName>
    <definedName name="solver_msl" localSheetId="3" hidden="1">2</definedName>
    <definedName name="solver_neg" localSheetId="6" hidden="1">1</definedName>
    <definedName name="solver_neg" localSheetId="10" hidden="1">1</definedName>
    <definedName name="solver_neg" localSheetId="11" hidden="1">1</definedName>
    <definedName name="solver_neg" localSheetId="12" hidden="1">1</definedName>
    <definedName name="solver_neg" localSheetId="7" hidden="1">1</definedName>
    <definedName name="solver_neg" localSheetId="13" hidden="1">1</definedName>
    <definedName name="solver_neg" localSheetId="14" hidden="1">1</definedName>
    <definedName name="solver_neg" localSheetId="8" hidden="1">1</definedName>
    <definedName name="solver_neg" localSheetId="9" hidden="1">1</definedName>
    <definedName name="solver_neg" localSheetId="15" hidden="1">1</definedName>
    <definedName name="solver_neg" localSheetId="16" hidden="1">1</definedName>
    <definedName name="solver_neg" localSheetId="17" hidden="1">1</definedName>
    <definedName name="solver_neg" localSheetId="18" hidden="1">1</definedName>
    <definedName name="solver_neg" localSheetId="19" hidden="1">1</definedName>
    <definedName name="solver_neg" localSheetId="4" hidden="1">1</definedName>
    <definedName name="solver_neg" localSheetId="5" hidden="1">1</definedName>
    <definedName name="solver_neg" localSheetId="3" hidden="1">1</definedName>
    <definedName name="solver_nod" localSheetId="6" hidden="1">2147483647</definedName>
    <definedName name="solver_nod" localSheetId="10" hidden="1">2147483647</definedName>
    <definedName name="solver_nod" localSheetId="11" hidden="1">2147483647</definedName>
    <definedName name="solver_nod" localSheetId="12" hidden="1">2147483647</definedName>
    <definedName name="solver_nod" localSheetId="7" hidden="1">2147483647</definedName>
    <definedName name="solver_nod" localSheetId="13" hidden="1">2147483647</definedName>
    <definedName name="solver_nod" localSheetId="14" hidden="1">2147483647</definedName>
    <definedName name="solver_nod" localSheetId="8" hidden="1">2147483647</definedName>
    <definedName name="solver_nod" localSheetId="9" hidden="1">2147483647</definedName>
    <definedName name="solver_nod" localSheetId="15" hidden="1">2147483647</definedName>
    <definedName name="solver_nod" localSheetId="16" hidden="1">2147483647</definedName>
    <definedName name="solver_nod" localSheetId="17" hidden="1">2147483647</definedName>
    <definedName name="solver_nod" localSheetId="18" hidden="1">2147483647</definedName>
    <definedName name="solver_nod" localSheetId="19" hidden="1">2147483647</definedName>
    <definedName name="solver_nod" localSheetId="4" hidden="1">2147483647</definedName>
    <definedName name="solver_nod" localSheetId="5" hidden="1">2147483647</definedName>
    <definedName name="solver_nod" localSheetId="3" hidden="1">2147483647</definedName>
    <definedName name="solver_num" localSheetId="6" hidden="1">0</definedName>
    <definedName name="solver_num" localSheetId="10" hidden="1">0</definedName>
    <definedName name="solver_num" localSheetId="11" hidden="1">0</definedName>
    <definedName name="solver_num" localSheetId="12" hidden="1">0</definedName>
    <definedName name="solver_num" localSheetId="7" hidden="1">0</definedName>
    <definedName name="solver_num" localSheetId="13" hidden="1">0</definedName>
    <definedName name="solver_num" localSheetId="14" hidden="1">0</definedName>
    <definedName name="solver_num" localSheetId="8" hidden="1">0</definedName>
    <definedName name="solver_num" localSheetId="9" hidden="1">0</definedName>
    <definedName name="solver_num" localSheetId="15" hidden="1">0</definedName>
    <definedName name="solver_num" localSheetId="16" hidden="1">0</definedName>
    <definedName name="solver_num" localSheetId="17" hidden="1">0</definedName>
    <definedName name="solver_num" localSheetId="18" hidden="1">0</definedName>
    <definedName name="solver_num" localSheetId="19" hidden="1">0</definedName>
    <definedName name="solver_num" localSheetId="4" hidden="1">0</definedName>
    <definedName name="solver_num" localSheetId="5" hidden="1">0</definedName>
    <definedName name="solver_num" localSheetId="3" hidden="1">0</definedName>
    <definedName name="solver_nwt" localSheetId="6" hidden="1">1</definedName>
    <definedName name="solver_nwt" localSheetId="10" hidden="1">1</definedName>
    <definedName name="solver_nwt" localSheetId="11" hidden="1">1</definedName>
    <definedName name="solver_nwt" localSheetId="12" hidden="1">1</definedName>
    <definedName name="solver_nwt" localSheetId="7" hidden="1">1</definedName>
    <definedName name="solver_nwt" localSheetId="13" hidden="1">1</definedName>
    <definedName name="solver_nwt" localSheetId="14" hidden="1">1</definedName>
    <definedName name="solver_nwt" localSheetId="8" hidden="1">1</definedName>
    <definedName name="solver_nwt" localSheetId="9" hidden="1">1</definedName>
    <definedName name="solver_nwt" localSheetId="15" hidden="1">1</definedName>
    <definedName name="solver_nwt" localSheetId="16" hidden="1">1</definedName>
    <definedName name="solver_nwt" localSheetId="17" hidden="1">1</definedName>
    <definedName name="solver_nwt" localSheetId="18" hidden="1">1</definedName>
    <definedName name="solver_nwt" localSheetId="19" hidden="1">1</definedName>
    <definedName name="solver_nwt" localSheetId="4" hidden="1">1</definedName>
    <definedName name="solver_nwt" localSheetId="5" hidden="1">1</definedName>
    <definedName name="solver_nwt" localSheetId="3" hidden="1">1</definedName>
    <definedName name="solver_opt" localSheetId="6" hidden="1">'1'!#REF!</definedName>
    <definedName name="solver_opt" localSheetId="10" hidden="1">'1a GA RPP'!#REF!</definedName>
    <definedName name="solver_opt" localSheetId="11" hidden="1">'1b GA Class B'!#REF!</definedName>
    <definedName name="solver_opt" localSheetId="12" hidden="1">'1c GA All'!#REF!</definedName>
    <definedName name="solver_opt" localSheetId="7" hidden="1">'2'!#REF!</definedName>
    <definedName name="solver_opt" localSheetId="13" hidden="1">'2a GA RPP'!#REF!</definedName>
    <definedName name="solver_opt" localSheetId="14" hidden="1">'2b GA Class B'!#REF!</definedName>
    <definedName name="solver_opt" localSheetId="8" hidden="1">'3'!#REF!</definedName>
    <definedName name="solver_opt" localSheetId="9" hidden="1">'4'!#REF!</definedName>
    <definedName name="solver_opt" localSheetId="15" hidden="1">'4a GA RPP'!#REF!</definedName>
    <definedName name="solver_opt" localSheetId="16" hidden="1">'4b GA Class B'!#REF!</definedName>
    <definedName name="solver_opt" localSheetId="17" hidden="1">'4c GA All'!#REF!</definedName>
    <definedName name="solver_opt" localSheetId="18" hidden="1">Calcs!#REF!</definedName>
    <definedName name="solver_opt" localSheetId="19" hidden="1">'Indicative graph'!$C$14</definedName>
    <definedName name="solver_opt" localSheetId="4" hidden="1">'New Option 3 35B Max'!#REF!</definedName>
    <definedName name="solver_opt" localSheetId="5" hidden="1">'Original Option 3 35B Max'!#REF!</definedName>
    <definedName name="solver_opt" localSheetId="3" hidden="1">Summary!#REF!</definedName>
    <definedName name="solver_pre" localSheetId="6" hidden="1">0.000001</definedName>
    <definedName name="solver_pre" localSheetId="10" hidden="1">0.000001</definedName>
    <definedName name="solver_pre" localSheetId="11" hidden="1">0.000001</definedName>
    <definedName name="solver_pre" localSheetId="12" hidden="1">0.000001</definedName>
    <definedName name="solver_pre" localSheetId="7" hidden="1">0.000001</definedName>
    <definedName name="solver_pre" localSheetId="13" hidden="1">0.000001</definedName>
    <definedName name="solver_pre" localSheetId="14" hidden="1">0.000001</definedName>
    <definedName name="solver_pre" localSheetId="8" hidden="1">0.000001</definedName>
    <definedName name="solver_pre" localSheetId="9" hidden="1">0.000001</definedName>
    <definedName name="solver_pre" localSheetId="15" hidden="1">0.000001</definedName>
    <definedName name="solver_pre" localSheetId="16" hidden="1">0.000001</definedName>
    <definedName name="solver_pre" localSheetId="17" hidden="1">0.000001</definedName>
    <definedName name="solver_pre" localSheetId="18" hidden="1">0.000001</definedName>
    <definedName name="solver_pre" localSheetId="19" hidden="1">0.000001</definedName>
    <definedName name="solver_pre" localSheetId="4" hidden="1">0.000001</definedName>
    <definedName name="solver_pre" localSheetId="5" hidden="1">0.000001</definedName>
    <definedName name="solver_pre" localSheetId="3" hidden="1">0.000001</definedName>
    <definedName name="solver_rbv" localSheetId="6" hidden="1">1</definedName>
    <definedName name="solver_rbv" localSheetId="10" hidden="1">1</definedName>
    <definedName name="solver_rbv" localSheetId="11" hidden="1">1</definedName>
    <definedName name="solver_rbv" localSheetId="12" hidden="1">1</definedName>
    <definedName name="solver_rbv" localSheetId="7" hidden="1">1</definedName>
    <definedName name="solver_rbv" localSheetId="13" hidden="1">1</definedName>
    <definedName name="solver_rbv" localSheetId="14" hidden="1">1</definedName>
    <definedName name="solver_rbv" localSheetId="8" hidden="1">1</definedName>
    <definedName name="solver_rbv" localSheetId="9" hidden="1">1</definedName>
    <definedName name="solver_rbv" localSheetId="15" hidden="1">1</definedName>
    <definedName name="solver_rbv" localSheetId="16" hidden="1">1</definedName>
    <definedName name="solver_rbv" localSheetId="17" hidden="1">1</definedName>
    <definedName name="solver_rbv" localSheetId="18" hidden="1">1</definedName>
    <definedName name="solver_rbv" localSheetId="19" hidden="1">1</definedName>
    <definedName name="solver_rbv" localSheetId="4" hidden="1">1</definedName>
    <definedName name="solver_rbv" localSheetId="5" hidden="1">1</definedName>
    <definedName name="solver_rbv" localSheetId="3" hidden="1">1</definedName>
    <definedName name="solver_rlx" localSheetId="6" hidden="1">2</definedName>
    <definedName name="solver_rlx" localSheetId="10" hidden="1">2</definedName>
    <definedName name="solver_rlx" localSheetId="11" hidden="1">2</definedName>
    <definedName name="solver_rlx" localSheetId="12" hidden="1">2</definedName>
    <definedName name="solver_rlx" localSheetId="7" hidden="1">2</definedName>
    <definedName name="solver_rlx" localSheetId="13" hidden="1">2</definedName>
    <definedName name="solver_rlx" localSheetId="14" hidden="1">2</definedName>
    <definedName name="solver_rlx" localSheetId="8" hidden="1">2</definedName>
    <definedName name="solver_rlx" localSheetId="9" hidden="1">2</definedName>
    <definedName name="solver_rlx" localSheetId="15" hidden="1">2</definedName>
    <definedName name="solver_rlx" localSheetId="16" hidden="1">2</definedName>
    <definedName name="solver_rlx" localSheetId="17" hidden="1">2</definedName>
    <definedName name="solver_rlx" localSheetId="18" hidden="1">2</definedName>
    <definedName name="solver_rlx" localSheetId="19" hidden="1">2</definedName>
    <definedName name="solver_rlx" localSheetId="4" hidden="1">2</definedName>
    <definedName name="solver_rlx" localSheetId="5" hidden="1">2</definedName>
    <definedName name="solver_rlx" localSheetId="3" hidden="1">2</definedName>
    <definedName name="solver_rsd" localSheetId="6" hidden="1">0</definedName>
    <definedName name="solver_rsd" localSheetId="10" hidden="1">0</definedName>
    <definedName name="solver_rsd" localSheetId="11" hidden="1">0</definedName>
    <definedName name="solver_rsd" localSheetId="12" hidden="1">0</definedName>
    <definedName name="solver_rsd" localSheetId="7" hidden="1">0</definedName>
    <definedName name="solver_rsd" localSheetId="13" hidden="1">0</definedName>
    <definedName name="solver_rsd" localSheetId="14" hidden="1">0</definedName>
    <definedName name="solver_rsd" localSheetId="8" hidden="1">0</definedName>
    <definedName name="solver_rsd" localSheetId="9" hidden="1">0</definedName>
    <definedName name="solver_rsd" localSheetId="15" hidden="1">0</definedName>
    <definedName name="solver_rsd" localSheetId="16" hidden="1">0</definedName>
    <definedName name="solver_rsd" localSheetId="17" hidden="1">0</definedName>
    <definedName name="solver_rsd" localSheetId="18" hidden="1">0</definedName>
    <definedName name="solver_rsd" localSheetId="19" hidden="1">0</definedName>
    <definedName name="solver_rsd" localSheetId="4" hidden="1">0</definedName>
    <definedName name="solver_rsd" localSheetId="5" hidden="1">0</definedName>
    <definedName name="solver_rsd" localSheetId="3" hidden="1">0</definedName>
    <definedName name="solver_scl" localSheetId="6" hidden="1">1</definedName>
    <definedName name="solver_scl" localSheetId="10" hidden="1">1</definedName>
    <definedName name="solver_scl" localSheetId="11" hidden="1">1</definedName>
    <definedName name="solver_scl" localSheetId="12" hidden="1">1</definedName>
    <definedName name="solver_scl" localSheetId="7" hidden="1">1</definedName>
    <definedName name="solver_scl" localSheetId="13" hidden="1">1</definedName>
    <definedName name="solver_scl" localSheetId="14" hidden="1">1</definedName>
    <definedName name="solver_scl" localSheetId="8" hidden="1">1</definedName>
    <definedName name="solver_scl" localSheetId="9" hidden="1">1</definedName>
    <definedName name="solver_scl" localSheetId="15" hidden="1">1</definedName>
    <definedName name="solver_scl" localSheetId="16" hidden="1">1</definedName>
    <definedName name="solver_scl" localSheetId="17" hidden="1">1</definedName>
    <definedName name="solver_scl" localSheetId="18" hidden="1">1</definedName>
    <definedName name="solver_scl" localSheetId="19" hidden="1">1</definedName>
    <definedName name="solver_scl" localSheetId="4" hidden="1">1</definedName>
    <definedName name="solver_scl" localSheetId="5" hidden="1">1</definedName>
    <definedName name="solver_scl" localSheetId="3" hidden="1">1</definedName>
    <definedName name="solver_sho" localSheetId="6" hidden="1">2</definedName>
    <definedName name="solver_sho" localSheetId="10" hidden="1">2</definedName>
    <definedName name="solver_sho" localSheetId="11" hidden="1">2</definedName>
    <definedName name="solver_sho" localSheetId="12" hidden="1">2</definedName>
    <definedName name="solver_sho" localSheetId="7" hidden="1">2</definedName>
    <definedName name="solver_sho" localSheetId="13" hidden="1">2</definedName>
    <definedName name="solver_sho" localSheetId="14" hidden="1">2</definedName>
    <definedName name="solver_sho" localSheetId="8" hidden="1">2</definedName>
    <definedName name="solver_sho" localSheetId="9" hidden="1">2</definedName>
    <definedName name="solver_sho" localSheetId="15" hidden="1">2</definedName>
    <definedName name="solver_sho" localSheetId="16" hidden="1">2</definedName>
    <definedName name="solver_sho" localSheetId="17" hidden="1">2</definedName>
    <definedName name="solver_sho" localSheetId="18" hidden="1">2</definedName>
    <definedName name="solver_sho" localSheetId="19" hidden="1">2</definedName>
    <definedName name="solver_sho" localSheetId="4" hidden="1">2</definedName>
    <definedName name="solver_sho" localSheetId="5" hidden="1">2</definedName>
    <definedName name="solver_sho" localSheetId="3" hidden="1">2</definedName>
    <definedName name="solver_ssz" localSheetId="6" hidden="1">100</definedName>
    <definedName name="solver_ssz" localSheetId="10" hidden="1">100</definedName>
    <definedName name="solver_ssz" localSheetId="11" hidden="1">100</definedName>
    <definedName name="solver_ssz" localSheetId="12" hidden="1">100</definedName>
    <definedName name="solver_ssz" localSheetId="7" hidden="1">100</definedName>
    <definedName name="solver_ssz" localSheetId="13" hidden="1">100</definedName>
    <definedName name="solver_ssz" localSheetId="14" hidden="1">100</definedName>
    <definedName name="solver_ssz" localSheetId="8" hidden="1">100</definedName>
    <definedName name="solver_ssz" localSheetId="9" hidden="1">100</definedName>
    <definedName name="solver_ssz" localSheetId="15" hidden="1">100</definedName>
    <definedName name="solver_ssz" localSheetId="16" hidden="1">100</definedName>
    <definedName name="solver_ssz" localSheetId="17" hidden="1">100</definedName>
    <definedName name="solver_ssz" localSheetId="18" hidden="1">100</definedName>
    <definedName name="solver_ssz" localSheetId="19" hidden="1">100</definedName>
    <definedName name="solver_ssz" localSheetId="4" hidden="1">100</definedName>
    <definedName name="solver_ssz" localSheetId="5" hidden="1">100</definedName>
    <definedName name="solver_ssz" localSheetId="3" hidden="1">100</definedName>
    <definedName name="solver_tim" localSheetId="6" hidden="1">2147483647</definedName>
    <definedName name="solver_tim" localSheetId="10" hidden="1">2147483647</definedName>
    <definedName name="solver_tim" localSheetId="11" hidden="1">2147483647</definedName>
    <definedName name="solver_tim" localSheetId="12" hidden="1">2147483647</definedName>
    <definedName name="solver_tim" localSheetId="7" hidden="1">2147483647</definedName>
    <definedName name="solver_tim" localSheetId="13" hidden="1">2147483647</definedName>
    <definedName name="solver_tim" localSheetId="14" hidden="1">2147483647</definedName>
    <definedName name="solver_tim" localSheetId="8" hidden="1">2147483647</definedName>
    <definedName name="solver_tim" localSheetId="9" hidden="1">2147483647</definedName>
    <definedName name="solver_tim" localSheetId="15" hidden="1">2147483647</definedName>
    <definedName name="solver_tim" localSheetId="16" hidden="1">2147483647</definedName>
    <definedName name="solver_tim" localSheetId="17" hidden="1">2147483647</definedName>
    <definedName name="solver_tim" localSheetId="18" hidden="1">2147483647</definedName>
    <definedName name="solver_tim" localSheetId="19" hidden="1">2147483647</definedName>
    <definedName name="solver_tim" localSheetId="4" hidden="1">2147483647</definedName>
    <definedName name="solver_tim" localSheetId="5" hidden="1">2147483647</definedName>
    <definedName name="solver_tim" localSheetId="3" hidden="1">2147483647</definedName>
    <definedName name="solver_tol" localSheetId="6" hidden="1">0.01</definedName>
    <definedName name="solver_tol" localSheetId="10" hidden="1">0.01</definedName>
    <definedName name="solver_tol" localSheetId="11" hidden="1">0.01</definedName>
    <definedName name="solver_tol" localSheetId="12" hidden="1">0.01</definedName>
    <definedName name="solver_tol" localSheetId="7" hidden="1">0.01</definedName>
    <definedName name="solver_tol" localSheetId="13" hidden="1">0.01</definedName>
    <definedName name="solver_tol" localSheetId="14" hidden="1">0.01</definedName>
    <definedName name="solver_tol" localSheetId="8" hidden="1">0.01</definedName>
    <definedName name="solver_tol" localSheetId="9" hidden="1">0.01</definedName>
    <definedName name="solver_tol" localSheetId="15" hidden="1">0.01</definedName>
    <definedName name="solver_tol" localSheetId="16" hidden="1">0.01</definedName>
    <definedName name="solver_tol" localSheetId="17" hidden="1">0.01</definedName>
    <definedName name="solver_tol" localSheetId="18" hidden="1">0.01</definedName>
    <definedName name="solver_tol" localSheetId="19" hidden="1">0.01</definedName>
    <definedName name="solver_tol" localSheetId="4" hidden="1">0.01</definedName>
    <definedName name="solver_tol" localSheetId="5" hidden="1">0.01</definedName>
    <definedName name="solver_tol" localSheetId="3" hidden="1">0.01</definedName>
    <definedName name="solver_typ" localSheetId="6" hidden="1">3</definedName>
    <definedName name="solver_typ" localSheetId="10" hidden="1">3</definedName>
    <definedName name="solver_typ" localSheetId="11" hidden="1">3</definedName>
    <definedName name="solver_typ" localSheetId="12" hidden="1">3</definedName>
    <definedName name="solver_typ" localSheetId="7" hidden="1">3</definedName>
    <definedName name="solver_typ" localSheetId="13" hidden="1">3</definedName>
    <definedName name="solver_typ" localSheetId="14" hidden="1">3</definedName>
    <definedName name="solver_typ" localSheetId="8" hidden="1">3</definedName>
    <definedName name="solver_typ" localSheetId="9" hidden="1">3</definedName>
    <definedName name="solver_typ" localSheetId="15" hidden="1">3</definedName>
    <definedName name="solver_typ" localSheetId="16" hidden="1">3</definedName>
    <definedName name="solver_typ" localSheetId="17" hidden="1">3</definedName>
    <definedName name="solver_typ" localSheetId="18" hidden="1">3</definedName>
    <definedName name="solver_typ" localSheetId="19" hidden="1">3</definedName>
    <definedName name="solver_typ" localSheetId="4" hidden="1">3</definedName>
    <definedName name="solver_typ" localSheetId="5" hidden="1">3</definedName>
    <definedName name="solver_typ" localSheetId="3" hidden="1">3</definedName>
    <definedName name="solver_val" localSheetId="6" hidden="1">0</definedName>
    <definedName name="solver_val" localSheetId="10" hidden="1">0</definedName>
    <definedName name="solver_val" localSheetId="11" hidden="1">0</definedName>
    <definedName name="solver_val" localSheetId="12" hidden="1">0</definedName>
    <definedName name="solver_val" localSheetId="7" hidden="1">0</definedName>
    <definedName name="solver_val" localSheetId="13" hidden="1">0</definedName>
    <definedName name="solver_val" localSheetId="14" hidden="1">0</definedName>
    <definedName name="solver_val" localSheetId="8" hidden="1">0</definedName>
    <definedName name="solver_val" localSheetId="9" hidden="1">0</definedName>
    <definedName name="solver_val" localSheetId="15" hidden="1">0</definedName>
    <definedName name="solver_val" localSheetId="16" hidden="1">0</definedName>
    <definedName name="solver_val" localSheetId="17" hidden="1">0</definedName>
    <definedName name="solver_val" localSheetId="18" hidden="1">0</definedName>
    <definedName name="solver_val" localSheetId="19" hidden="1">0</definedName>
    <definedName name="solver_val" localSheetId="4" hidden="1">0</definedName>
    <definedName name="solver_val" localSheetId="5" hidden="1">0</definedName>
    <definedName name="solver_val" localSheetId="3" hidden="1">0</definedName>
    <definedName name="solver_ver" localSheetId="6" hidden="1">3</definedName>
    <definedName name="solver_ver" localSheetId="10" hidden="1">3</definedName>
    <definedName name="solver_ver" localSheetId="11" hidden="1">3</definedName>
    <definedName name="solver_ver" localSheetId="12" hidden="1">3</definedName>
    <definedName name="solver_ver" localSheetId="7" hidden="1">3</definedName>
    <definedName name="solver_ver" localSheetId="13" hidden="1">3</definedName>
    <definedName name="solver_ver" localSheetId="14" hidden="1">3</definedName>
    <definedName name="solver_ver" localSheetId="8" hidden="1">3</definedName>
    <definedName name="solver_ver" localSheetId="9" hidden="1">3</definedName>
    <definedName name="solver_ver" localSheetId="15" hidden="1">3</definedName>
    <definedName name="solver_ver" localSheetId="16" hidden="1">3</definedName>
    <definedName name="solver_ver" localSheetId="17" hidden="1">3</definedName>
    <definedName name="solver_ver" localSheetId="18" hidden="1">3</definedName>
    <definedName name="solver_ver" localSheetId="19" hidden="1">3</definedName>
    <definedName name="solver_ver" localSheetId="4" hidden="1">3</definedName>
    <definedName name="solver_ver" localSheetId="5" hidden="1">3</definedName>
    <definedName name="solver_ver" localSheetId="3" hidden="1">3</definedName>
  </definedNames>
  <calcPr calcId="145621"/>
  <oleSize ref="A1:BT57"/>
</workbook>
</file>

<file path=xl/sharedStrings.xml><?xml version="1.0" encoding="utf-8"?>
<sst xmlns="http://schemas.openxmlformats.org/spreadsheetml/2006/main" count="965" uniqueCount="266">
  <si>
    <t>HOEP (2016$/MWh)</t>
  </si>
  <si>
    <t>Revised Base</t>
  </si>
  <si>
    <t>Case 1</t>
  </si>
  <si>
    <t>Case 2</t>
  </si>
  <si>
    <t>Case 3</t>
  </si>
  <si>
    <t>Case 4</t>
  </si>
  <si>
    <t>Case 5</t>
  </si>
  <si>
    <t>Case 6</t>
  </si>
  <si>
    <t>Class A GA (2016$/MWh)</t>
  </si>
  <si>
    <t>Class B GA (2016$/MWh)</t>
  </si>
  <si>
    <t>Bend the Cost Curve Case Runs - 2016/11/28</t>
  </si>
  <si>
    <t>Directed Items in OPO</t>
  </si>
  <si>
    <r>
      <rPr>
        <b/>
        <sz val="11"/>
        <color theme="1"/>
        <rFont val="Calibri"/>
        <family val="2"/>
        <scheme val="minor"/>
      </rPr>
      <t>Revised Base Case</t>
    </r>
    <r>
      <rPr>
        <sz val="11"/>
        <color theme="1"/>
        <rFont val="Calibri"/>
        <family val="2"/>
        <scheme val="minor"/>
      </rPr>
      <t xml:space="preserve"> = LRP I in Committed, removal of LRP II, EFW and FILLER</t>
    </r>
  </si>
  <si>
    <t>CASE 1</t>
  </si>
  <si>
    <t>CASE 2</t>
  </si>
  <si>
    <t>CASE 3</t>
  </si>
  <si>
    <t>CASE 4</t>
  </si>
  <si>
    <t>CASE 5</t>
  </si>
  <si>
    <t>CASE 6</t>
  </si>
  <si>
    <t>EFW</t>
  </si>
  <si>
    <t>Remove EFW</t>
  </si>
  <si>
    <t>Filler</t>
  </si>
  <si>
    <t>Remove Filler</t>
  </si>
  <si>
    <t>LRP II</t>
  </si>
  <si>
    <t>Remove LRP II</t>
  </si>
  <si>
    <t>FIT 5</t>
  </si>
  <si>
    <t>Remove FIT 5</t>
  </si>
  <si>
    <t xml:space="preserve"> </t>
  </si>
  <si>
    <t>FIT 5 Extension</t>
  </si>
  <si>
    <t>Remove FIT 5 Extension</t>
  </si>
  <si>
    <t>FIT 6</t>
  </si>
  <si>
    <t>Remove FIT 6</t>
  </si>
  <si>
    <t>MicroFIT 4</t>
  </si>
  <si>
    <t>Remove MicoFIT 4</t>
  </si>
  <si>
    <t>MicroFIT 5</t>
  </si>
  <si>
    <t>Remove MicoFIT 5</t>
  </si>
  <si>
    <t>MicroFIT 6</t>
  </si>
  <si>
    <t>Remove MicoFIT 6</t>
  </si>
  <si>
    <t>LRP I</t>
  </si>
  <si>
    <t>LRP I -  moved into Committed</t>
  </si>
  <si>
    <t>Remove LRP I</t>
  </si>
  <si>
    <t>Additional DR</t>
  </si>
  <si>
    <t>Highlighted in  yellow is the Revised Base Case</t>
  </si>
  <si>
    <t>Cost Savings Results:</t>
  </si>
  <si>
    <t>Case Comparisons</t>
  </si>
  <si>
    <t>Cost Savings without FIT 
(FIT 5, FIT 5 Ext, FIT 6)</t>
  </si>
  <si>
    <t xml:space="preserve">Revised Base Case vs Case 1 </t>
  </si>
  <si>
    <t>Cost Savings of FIT 5</t>
  </si>
  <si>
    <t xml:space="preserve">Case 1 vs Case 2 </t>
  </si>
  <si>
    <t>Cost Savings of FIT 5 Extension</t>
  </si>
  <si>
    <t>Case 3 vs Case 2</t>
  </si>
  <si>
    <t>Cost Savings of FIT 6</t>
  </si>
  <si>
    <t>Revised Base vs Case 3</t>
  </si>
  <si>
    <t>Cost Savings of Micro FIT</t>
  </si>
  <si>
    <t>Case 5 vs Case 4</t>
  </si>
  <si>
    <t>Cost Savings of LRP I</t>
  </si>
  <si>
    <t>Case 4 vs Revised Base</t>
  </si>
  <si>
    <t>FIT. Micro FiT, LRP I</t>
  </si>
  <si>
    <t>Case 6 vs Revised Base</t>
  </si>
  <si>
    <t>Note:</t>
  </si>
  <si>
    <t>Case scenarios are as indicated above</t>
  </si>
  <si>
    <t>Includes throne speech assumptions for ICI, RRRP, and 8% Rebate for Residential Customers</t>
  </si>
  <si>
    <t>Includes current Hydro Quebec deal of 2TWh for 2017 to 2022 and Capacity sale to HQ</t>
  </si>
  <si>
    <t>Residential Monthly Bill is re-based to the 2016 Toronto Hydro Rates and OEB established 2016 TOU rates</t>
  </si>
  <si>
    <t>Typical Residential Monthly Bill, assume 750KWh/Mth</t>
  </si>
  <si>
    <t>(2016 Actual used as the Base)</t>
  </si>
  <si>
    <t>($Nominal/Mth)</t>
  </si>
  <si>
    <t>Difference Case</t>
  </si>
  <si>
    <t>Remove</t>
  </si>
  <si>
    <t>Every thing</t>
  </si>
  <si>
    <t>Case 1 vs Revised Base</t>
  </si>
  <si>
    <t>FIT 5, FIT 5 Ext, FIT 6</t>
  </si>
  <si>
    <t>Case 2vs Revised Base</t>
  </si>
  <si>
    <t xml:space="preserve">FIT 5 ext and FIT 6 </t>
  </si>
  <si>
    <t>CASE 1 vs Case 2</t>
  </si>
  <si>
    <t>Case 3 vs. Revised Base</t>
  </si>
  <si>
    <t>Case 2 vs. Case 3</t>
  </si>
  <si>
    <t>FIT 5 extension</t>
  </si>
  <si>
    <t>Case 5 vs. Revised Base</t>
  </si>
  <si>
    <t>LRP 1 and MicroFIT</t>
  </si>
  <si>
    <t>MicroFIT</t>
  </si>
  <si>
    <t>Average monthly residential consumtion (MW)</t>
  </si>
  <si>
    <t>Average Increase Rate</t>
  </si>
  <si>
    <t>Change in GA Cost - high interest rate</t>
  </si>
  <si>
    <t>Total GA (2016$ million)</t>
  </si>
  <si>
    <t>Method 1 : Reduce/escalate GA</t>
  </si>
  <si>
    <t>Total GA (nominal $ million)</t>
  </si>
  <si>
    <t>Proposed GA paid by ratepayer - 2017 ($ million)</t>
  </si>
  <si>
    <t>Percent change from forecast</t>
  </si>
  <si>
    <t>Rate of increase (real) in GA paid by ratepayers</t>
  </si>
  <si>
    <t>Interest rate (nominal)</t>
  </si>
  <si>
    <t>nominal $ million</t>
  </si>
  <si>
    <t>nominal $/month</t>
  </si>
  <si>
    <t>IESO Forecast (Case 2)</t>
  </si>
  <si>
    <t>Global Impacts</t>
  </si>
  <si>
    <t>Residential Bills (assuming 750 kWh/month)</t>
  </si>
  <si>
    <t>IESO Forecast GA in 2017 ($ million)</t>
  </si>
  <si>
    <t>DOUBLE CHECK BEHAVIOUR WHEN NEGATIVE DEBT SERVICE PAYMENTS ARE INCLUDED</t>
  </si>
  <si>
    <t>Scenario 1</t>
  </si>
  <si>
    <t>Scenario 2</t>
  </si>
  <si>
    <t>Total GA Ratepayer Payment - Scenario 2</t>
  </si>
  <si>
    <t>Accumulated Debt - Scenario 2</t>
  </si>
  <si>
    <t>With impact of refinanced GA - Scenario 1</t>
  </si>
  <si>
    <t>With impact of refinanced GA - Scenario 2</t>
  </si>
  <si>
    <t>Change in monthly Bill</t>
  </si>
  <si>
    <t>Scneario 2</t>
  </si>
  <si>
    <t>Maximum increase in GA ($ million)</t>
  </si>
  <si>
    <t>Year to start additional payments</t>
  </si>
  <si>
    <t>Year to pay off debt</t>
  </si>
  <si>
    <t>Amount of debt in Final Year (should be zero)</t>
  </si>
  <si>
    <t>Fraction of debt paid additionally</t>
  </si>
  <si>
    <t>&lt;-----------</t>
  </si>
  <si>
    <t>Change in HOEP</t>
  </si>
  <si>
    <t>2017-2022 Average</t>
  </si>
  <si>
    <t>The relative change in total GA cost due to the indicated change in HOEP</t>
  </si>
  <si>
    <t>&lt;--- Outlier</t>
  </si>
  <si>
    <t>Relevant years</t>
  </si>
  <si>
    <t>Change in GA</t>
  </si>
  <si>
    <t>Change in GA/Change in HOEP</t>
  </si>
  <si>
    <t>Average Change in GA/Change in HOEP</t>
  </si>
  <si>
    <t>Relative change in HOEP Forecast</t>
  </si>
  <si>
    <t>Relative change in GA</t>
  </si>
  <si>
    <t>Overall Bill Impact - Scenario 2</t>
  </si>
  <si>
    <t>OPO 2016</t>
  </si>
  <si>
    <t>Status Quo (Case 2)</t>
  </si>
  <si>
    <t>Debt Financed GA</t>
  </si>
  <si>
    <t>Accumulated Debt</t>
  </si>
  <si>
    <t>IESO Forecast GA Cost</t>
  </si>
  <si>
    <t>Amount Paid by Ratepayer</t>
  </si>
  <si>
    <t>Growth Rate</t>
  </si>
  <si>
    <t>Average Growth Rate</t>
  </si>
  <si>
    <t>GA Cost Extrapolated</t>
  </si>
  <si>
    <t>Relative change in Status Quo</t>
  </si>
  <si>
    <t>Status Quo Extrapolated</t>
  </si>
  <si>
    <t>IESO Forecast Extrapolated</t>
  </si>
  <si>
    <t>IESO Forecast</t>
  </si>
  <si>
    <t>OPO Demand - Outlook B + Extrapolation</t>
  </si>
  <si>
    <t>750 kWh/month</t>
  </si>
  <si>
    <t>Electricity</t>
  </si>
  <si>
    <t>Distribution</t>
  </si>
  <si>
    <t>Transmission</t>
  </si>
  <si>
    <t>Regulatory</t>
  </si>
  <si>
    <t>DRC</t>
  </si>
  <si>
    <t>Tax</t>
  </si>
  <si>
    <t>OCEB</t>
  </si>
  <si>
    <t>Total</t>
  </si>
  <si>
    <t>$/MWh</t>
  </si>
  <si>
    <t>2016 (actual)</t>
  </si>
  <si>
    <t>RRRP</t>
  </si>
  <si>
    <t>OESP</t>
  </si>
  <si>
    <t xml:space="preserve">Note: IESO stated that 2% escalation was applied to current rate. </t>
  </si>
  <si>
    <t>Historical Values</t>
  </si>
  <si>
    <t>$/month</t>
  </si>
  <si>
    <t>Commodity</t>
  </si>
  <si>
    <t>Subtotal</t>
  </si>
  <si>
    <t>8% Rebate</t>
  </si>
  <si>
    <t>HST</t>
  </si>
  <si>
    <t>Production</t>
  </si>
  <si>
    <t>Forecast Nuclear Production (TWh)</t>
  </si>
  <si>
    <t>Forecast Hydro Production (TWh)</t>
  </si>
  <si>
    <t>Status Quo Regulated Rates</t>
  </si>
  <si>
    <t>Smoothed Nuclear Rate (nominal $/MWh)</t>
  </si>
  <si>
    <t>Hydro Rate (nominal $/MWh)</t>
  </si>
  <si>
    <t>Nuclear Cost (nominal $ millions)</t>
  </si>
  <si>
    <t>Hydro Cost (nominal $ millions)</t>
  </si>
  <si>
    <t>Reduced Regulated Rates</t>
  </si>
  <si>
    <t>Reduction in Smoothed Nuclear Rate (nominal $/MWh)</t>
  </si>
  <si>
    <t>Total System Cost</t>
  </si>
  <si>
    <t>Change in Regulated Nuclear Cost (nominal $ million)</t>
  </si>
  <si>
    <t>Change in Regulated Hydro Cost (nominal $ million)</t>
  </si>
  <si>
    <t>Total change in system cost (nominal $ million)</t>
  </si>
  <si>
    <t>Residential Customer Bill  - Assumes 800KWh/Mth</t>
  </si>
  <si>
    <t>$ Nominal</t>
  </si>
  <si>
    <t>Regulated Charges (Wholesale Market Service Charge)</t>
  </si>
  <si>
    <t>Debt Retirement Charge (DRC)</t>
  </si>
  <si>
    <t xml:space="preserve"> Total Bill before Taxes</t>
  </si>
  <si>
    <t>Total Residential Bill with Taxes (Before OCEB)</t>
  </si>
  <si>
    <t>Ontario Clean Energy Benefit Credit (OCEB)</t>
  </si>
  <si>
    <t>Total Residential Bill with Taxes: After OCEB</t>
  </si>
  <si>
    <t>Note: Ontario Clearn Energy Benefit (OCEB) is a 10% credit to residential bills, which is in effect from 2011 to 2015.  A 3,000 kWh per month cap was implement on September 2012.</t>
  </si>
  <si>
    <t>Beyond 2015, the OECB program's future would require legislative changes and would need to take into account a number of factors including the province's fiscal position.</t>
  </si>
  <si>
    <t>Extrapolation takes the average system cost change and inflates it at 2%</t>
  </si>
  <si>
    <t>Total change in system cost (2022$ million)</t>
  </si>
  <si>
    <t>Residential impact ($/month)</t>
  </si>
  <si>
    <t>Industrial impact ($/MWh)</t>
  </si>
  <si>
    <t>Residential impact (2022$/month)</t>
  </si>
  <si>
    <t>Industrial impact (2022$/MWh)</t>
  </si>
  <si>
    <t>Number of years payments at growth rate 1</t>
  </si>
  <si>
    <t>Rate of increase (real) in GA paid by ratepayers - growth rate 1</t>
  </si>
  <si>
    <t>Rate of increase (real) in GA paid by ratepayers - growth rate 2</t>
  </si>
  <si>
    <t>Rate of increase (real) in GA ceiling - growth rate 2</t>
  </si>
  <si>
    <t>Number of years to increase at growth rate 1</t>
  </si>
  <si>
    <t>Rate of increase (real) in GA ceiling - growth rate 1</t>
  </si>
  <si>
    <t>Financed GA</t>
  </si>
  <si>
    <t>Difference in Residential Bill</t>
  </si>
  <si>
    <t>GA Payment</t>
  </si>
  <si>
    <t xml:space="preserve">Fractional Discount in GA in 2017 </t>
  </si>
  <si>
    <t>Year to start service debt</t>
  </si>
  <si>
    <t>Fraction of debt serviced annually</t>
  </si>
  <si>
    <t>Annual interest on debt</t>
  </si>
  <si>
    <t>Maximum increase in GA before add'n payments</t>
  </si>
  <si>
    <t>Proposed GA Paid by Ratepayer (2016$ million)</t>
  </si>
  <si>
    <t>Proposed GA Paid by Ratepayer (nominal $ million)</t>
  </si>
  <si>
    <t>Difference from forecast</t>
  </si>
  <si>
    <t>Debt service payment</t>
  </si>
  <si>
    <t>Prelim Accumulated Debt</t>
  </si>
  <si>
    <t>Prelim Total Amount paid by ratepayer</t>
  </si>
  <si>
    <t>Total Amount paid by ratepayer</t>
  </si>
  <si>
    <t>Difference in payment</t>
  </si>
  <si>
    <t>GA Financing</t>
  </si>
  <si>
    <t>Target Change in 2017 Residential Bill ($/month)</t>
  </si>
  <si>
    <t>IESO Class B GA Rate - Revised Base ($2016/MWh)</t>
  </si>
  <si>
    <t>IESO Class B GA Rate - Revised Base Extrapolated ($2016/MWh)</t>
  </si>
  <si>
    <r>
      <t xml:space="preserve">Total Accumulated Debt </t>
    </r>
    <r>
      <rPr>
        <i/>
        <sz val="11"/>
        <color theme="1"/>
        <rFont val="Calibri"/>
        <family val="2"/>
        <scheme val="minor"/>
      </rPr>
      <t>($ billion)</t>
    </r>
  </si>
  <si>
    <r>
      <t xml:space="preserve">Total Change in Accumulated Debt </t>
    </r>
    <r>
      <rPr>
        <i/>
        <sz val="11"/>
        <color theme="1"/>
        <rFont val="Calibri"/>
        <family val="2"/>
        <scheme val="minor"/>
      </rPr>
      <t>($ billion)</t>
    </r>
  </si>
  <si>
    <t>2016 Act</t>
  </si>
  <si>
    <t>Regulated Charges (Wholesale Uplift and DRC)</t>
  </si>
  <si>
    <t>8% Rebate on Bill before Taxes</t>
  </si>
  <si>
    <t xml:space="preserve">  Total Bill After Rebate</t>
  </si>
  <si>
    <t>Change in Average Monthly Residential Bill - pretax(nominal $)</t>
  </si>
  <si>
    <t>Change in Average Monthly Residential Bill - with tax (nominal $)</t>
  </si>
  <si>
    <r>
      <t xml:space="preserve">Average Monthly Residential Bill Impact pre-tax </t>
    </r>
    <r>
      <rPr>
        <i/>
        <sz val="11"/>
        <color theme="1"/>
        <rFont val="Calibri"/>
        <family val="2"/>
        <scheme val="minor"/>
      </rPr>
      <t>($/month)</t>
    </r>
  </si>
  <si>
    <t>Increase in residential bill</t>
  </si>
  <si>
    <t>Class to which savings accrue</t>
  </si>
  <si>
    <t>All</t>
  </si>
  <si>
    <t>"All", "Class B" or "RPP"</t>
  </si>
  <si>
    <t>Share of consumption</t>
  </si>
  <si>
    <t>Class B</t>
  </si>
  <si>
    <t>Share of GA savings</t>
  </si>
  <si>
    <t>RPP</t>
  </si>
  <si>
    <t>RPP Fraction of Class B conumption</t>
  </si>
  <si>
    <t>Impact of Financing</t>
  </si>
  <si>
    <t>Scenario</t>
  </si>
  <si>
    <t>Ctrl-Shift-F to fix GA payments in these years to match these numbers</t>
  </si>
  <si>
    <t>Ctrl-Shift-Q</t>
  </si>
  <si>
    <t>Ctrl-Shift-W</t>
  </si>
  <si>
    <t>Ctrl-Shift-E</t>
  </si>
  <si>
    <t>Prescribed Impact of GA Financing</t>
  </si>
  <si>
    <t>Annual Ratepayer GA Payments ($ million)</t>
  </si>
  <si>
    <t>Status Quo</t>
  </si>
  <si>
    <t>OLD SCENARIOS:</t>
  </si>
  <si>
    <t>Scenario 2 (new 2)</t>
  </si>
  <si>
    <t>Scenario 3 (new 3)</t>
  </si>
  <si>
    <t>Scenario 4 (old 3)</t>
  </si>
  <si>
    <t>Scenario 1 (Old 2c)</t>
  </si>
  <si>
    <t xml:space="preserve">Former 1a </t>
  </si>
  <si>
    <t>Former 1b</t>
  </si>
  <si>
    <t>Former 1c</t>
  </si>
  <si>
    <t>Former 2a</t>
  </si>
  <si>
    <t>Former 2b</t>
  </si>
  <si>
    <t>Former 4a</t>
  </si>
  <si>
    <t>Former 4b</t>
  </si>
  <si>
    <t>Former 4c</t>
  </si>
  <si>
    <t>Fit so max $35B</t>
  </si>
  <si>
    <t>Original Scenario 3</t>
  </si>
  <si>
    <t>v1</t>
  </si>
  <si>
    <t>v2</t>
  </si>
  <si>
    <t>Maximum Debt</t>
  </si>
  <si>
    <t>Total Bill w HST</t>
  </si>
  <si>
    <t>Total Bill w/o HST</t>
  </si>
  <si>
    <t>Tax-Basing</t>
  </si>
  <si>
    <t>8% rebate</t>
  </si>
  <si>
    <t>Revised Bill w HST</t>
  </si>
  <si>
    <t>YoY Change</t>
  </si>
  <si>
    <t>Change from Forecast</t>
  </si>
  <si>
    <t>Set such that YoY is 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</si>
</sst>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6" formatCode="&quot;$&quot;#,##0;[Red]\-&quot;$&quot;#,##0"/>
    <numFmt numFmtId="44" formatCode="_-&quot;$&quot;* #,##0.00_-;\-&quot;$&quot;* #,##0.00_-;_-&quot;$&quot;* &quot;-&quot;??_-;_-@_-"/>
    <numFmt numFmtId="164" formatCode="0.000"/>
    <numFmt numFmtId="165" formatCode="_-&quot;$&quot;* #,##0_-;\-&quot;$&quot;* #,##0_-;_-&quot;$&quot;* &quot;-&quot;??_-;_-@_-"/>
    <numFmt numFmtId="166" formatCode="_([$€-2]* #,##0.00_);_([$€-2]* \(#,##0.00\);_([$€-2]* &quot;-&quot;??_)"/>
    <numFmt numFmtId="167" formatCode="0.00000000000000"/>
    <numFmt numFmtId="168" formatCode="0.0%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(&quot;$&quot;* #,##0_);_(&quot;$&quot;* \(#,##0\);_(&quot;$&quot;* &quot;-&quot;??_);_(@_)"/>
    <numFmt numFmtId="172" formatCode="0.0000000"/>
    <numFmt numFmtId="173" formatCode="0.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9"/>
      <color rgb="FF000000"/>
      <name val="Arial"/>
      <family val="2"/>
    </font>
    <font>
      <sz val="11"/>
      <color rgb="FF002060"/>
      <name val="Arial"/>
      <family val="2"/>
    </font>
    <font>
      <b/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206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color rgb="FF000000"/>
      <name val="Calibri"/>
      <family val="2"/>
    </font>
    <font>
      <sz val="12"/>
      <color rgb="FFC00000"/>
      <name val="Calibri"/>
      <family val="2"/>
    </font>
    <font>
      <sz val="11"/>
      <color rgb="FF1F497D"/>
      <name val="Calibri"/>
      <family val="2"/>
      <scheme val="minor"/>
    </font>
    <font>
      <b/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  <font>
      <sz val="18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9694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1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0" fillId="0" borderId="0" applyNumberFormat="0" applyFill="0" applyBorder="0" applyAlignment="0" applyProtection="0"/>
    <xf numFmtId="166" fontId="11" fillId="0" borderId="6" applyNumberFormat="0" applyFill="0" applyAlignment="0" applyProtection="0"/>
    <xf numFmtId="166" fontId="12" fillId="0" borderId="7" applyNumberFormat="0" applyFill="0" applyAlignment="0" applyProtection="0"/>
    <xf numFmtId="166" fontId="13" fillId="0" borderId="8" applyNumberFormat="0" applyFill="0" applyAlignment="0" applyProtection="0"/>
    <xf numFmtId="166" fontId="13" fillId="0" borderId="0" applyNumberFormat="0" applyFill="0" applyBorder="0" applyAlignment="0" applyProtection="0"/>
    <xf numFmtId="166" fontId="14" fillId="7" borderId="0" applyNumberFormat="0" applyBorder="0" applyAlignment="0" applyProtection="0"/>
    <xf numFmtId="166" fontId="15" fillId="8" borderId="0" applyNumberFormat="0" applyBorder="0" applyAlignment="0" applyProtection="0"/>
    <xf numFmtId="166" fontId="16" fillId="9" borderId="0" applyNumberFormat="0" applyBorder="0" applyAlignment="0" applyProtection="0"/>
    <xf numFmtId="166" fontId="17" fillId="10" borderId="9" applyNumberFormat="0" applyAlignment="0" applyProtection="0"/>
    <xf numFmtId="166" fontId="18" fillId="11" borderId="10" applyNumberFormat="0" applyAlignment="0" applyProtection="0"/>
    <xf numFmtId="166" fontId="19" fillId="11" borderId="9" applyNumberFormat="0" applyAlignment="0" applyProtection="0"/>
    <xf numFmtId="166" fontId="20" fillId="0" borderId="11" applyNumberFormat="0" applyFill="0" applyAlignment="0" applyProtection="0"/>
    <xf numFmtId="166" fontId="21" fillId="12" borderId="12" applyNumberFormat="0" applyAlignment="0" applyProtection="0"/>
    <xf numFmtId="166" fontId="22" fillId="0" borderId="0" applyNumberFormat="0" applyFill="0" applyBorder="0" applyAlignment="0" applyProtection="0"/>
    <xf numFmtId="166" fontId="1" fillId="13" borderId="13" applyNumberFormat="0" applyFont="0" applyAlignment="0" applyProtection="0"/>
    <xf numFmtId="166" fontId="23" fillId="0" borderId="0" applyNumberFormat="0" applyFill="0" applyBorder="0" applyAlignment="0" applyProtection="0"/>
    <xf numFmtId="166" fontId="2" fillId="0" borderId="14" applyNumberFormat="0" applyFill="0" applyAlignment="0" applyProtection="0"/>
    <xf numFmtId="166" fontId="24" fillId="14" borderId="0" applyNumberFormat="0" applyBorder="0" applyAlignment="0" applyProtection="0"/>
    <xf numFmtId="166" fontId="1" fillId="15" borderId="0" applyNumberFormat="0" applyBorder="0" applyAlignment="0" applyProtection="0"/>
    <xf numFmtId="166" fontId="1" fillId="16" borderId="0" applyNumberFormat="0" applyBorder="0" applyAlignment="0" applyProtection="0"/>
    <xf numFmtId="166" fontId="24" fillId="17" borderId="0" applyNumberFormat="0" applyBorder="0" applyAlignment="0" applyProtection="0"/>
    <xf numFmtId="166" fontId="24" fillId="18" borderId="0" applyNumberFormat="0" applyBorder="0" applyAlignment="0" applyProtection="0"/>
    <xf numFmtId="166" fontId="1" fillId="19" borderId="0" applyNumberFormat="0" applyBorder="0" applyAlignment="0" applyProtection="0"/>
    <xf numFmtId="166" fontId="1" fillId="20" borderId="0" applyNumberFormat="0" applyBorder="0" applyAlignment="0" applyProtection="0"/>
    <xf numFmtId="166" fontId="24" fillId="21" borderId="0" applyNumberFormat="0" applyBorder="0" applyAlignment="0" applyProtection="0"/>
    <xf numFmtId="166" fontId="24" fillId="22" borderId="0" applyNumberFormat="0" applyBorder="0" applyAlignment="0" applyProtection="0"/>
    <xf numFmtId="166" fontId="1" fillId="23" borderId="0" applyNumberFormat="0" applyBorder="0" applyAlignment="0" applyProtection="0"/>
    <xf numFmtId="166" fontId="1" fillId="24" borderId="0" applyNumberFormat="0" applyBorder="0" applyAlignment="0" applyProtection="0"/>
    <xf numFmtId="166" fontId="24" fillId="25" borderId="0" applyNumberFormat="0" applyBorder="0" applyAlignment="0" applyProtection="0"/>
    <xf numFmtId="166" fontId="24" fillId="26" borderId="0" applyNumberFormat="0" applyBorder="0" applyAlignment="0" applyProtection="0"/>
    <xf numFmtId="166" fontId="1" fillId="27" borderId="0" applyNumberFormat="0" applyBorder="0" applyAlignment="0" applyProtection="0"/>
    <xf numFmtId="166" fontId="1" fillId="28" borderId="0" applyNumberFormat="0" applyBorder="0" applyAlignment="0" applyProtection="0"/>
    <xf numFmtId="166" fontId="24" fillId="29" borderId="0" applyNumberFormat="0" applyBorder="0" applyAlignment="0" applyProtection="0"/>
    <xf numFmtId="166" fontId="24" fillId="30" borderId="0" applyNumberFormat="0" applyBorder="0" applyAlignment="0" applyProtection="0"/>
    <xf numFmtId="166" fontId="1" fillId="31" borderId="0" applyNumberFormat="0" applyBorder="0" applyAlignment="0" applyProtection="0"/>
    <xf numFmtId="166" fontId="1" fillId="32" borderId="0" applyNumberFormat="0" applyBorder="0" applyAlignment="0" applyProtection="0"/>
    <xf numFmtId="166" fontId="24" fillId="33" borderId="0" applyNumberFormat="0" applyBorder="0" applyAlignment="0" applyProtection="0"/>
    <xf numFmtId="166" fontId="24" fillId="34" borderId="0" applyNumberFormat="0" applyBorder="0" applyAlignment="0" applyProtection="0"/>
    <xf numFmtId="166" fontId="1" fillId="35" borderId="0" applyNumberFormat="0" applyBorder="0" applyAlignment="0" applyProtection="0"/>
    <xf numFmtId="166" fontId="1" fillId="36" borderId="0" applyNumberFormat="0" applyBorder="0" applyAlignment="0" applyProtection="0"/>
    <xf numFmtId="166" fontId="24" fillId="37" borderId="0" applyNumberFormat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6" fillId="0" borderId="0"/>
    <xf numFmtId="170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9" fontId="36" fillId="0" borderId="0" applyFont="0" applyFill="0" applyBorder="0" applyAlignment="0" applyProtection="0"/>
  </cellStyleXfs>
  <cellXfs count="214">
    <xf numFmtId="0" fontId="0" fillId="0" borderId="0" xfId="0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0" fillId="0" borderId="0" xfId="0"/>
    <xf numFmtId="0" fontId="2" fillId="0" borderId="0" xfId="0" applyFont="1"/>
    <xf numFmtId="44" fontId="0" fillId="0" borderId="0" xfId="0" applyNumberFormat="1"/>
    <xf numFmtId="44" fontId="0" fillId="0" borderId="0" xfId="1" applyFont="1"/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4" fillId="2" borderId="1" xfId="0" applyFont="1" applyFill="1" applyBorder="1"/>
    <xf numFmtId="0" fontId="0" fillId="0" borderId="1" xfId="0" applyFill="1" applyBorder="1"/>
    <xf numFmtId="0" fontId="4" fillId="2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2" borderId="0" xfId="0" applyFont="1" applyFill="1"/>
    <xf numFmtId="0" fontId="2" fillId="3" borderId="1" xfId="0" applyFont="1" applyFill="1" applyBorder="1"/>
    <xf numFmtId="0" fontId="0" fillId="0" borderId="0" xfId="0"/>
    <xf numFmtId="0" fontId="2" fillId="0" borderId="0" xfId="0" applyFont="1"/>
    <xf numFmtId="164" fontId="0" fillId="0" borderId="0" xfId="0" applyNumberFormat="1"/>
    <xf numFmtId="44" fontId="0" fillId="0" borderId="0" xfId="0" applyNumberFormat="1"/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1" fontId="0" fillId="4" borderId="1" xfId="0" applyNumberFormat="1" applyFill="1" applyBorder="1"/>
    <xf numFmtId="0" fontId="7" fillId="2" borderId="1" xfId="0" applyFont="1" applyFill="1" applyBorder="1" applyAlignment="1">
      <alignment horizontal="right" vertical="center"/>
    </xf>
    <xf numFmtId="0" fontId="0" fillId="0" borderId="0" xfId="0" applyBorder="1" applyAlignment="1">
      <alignment wrapText="1"/>
    </xf>
    <xf numFmtId="0" fontId="7" fillId="0" borderId="0" xfId="0" applyFont="1" applyBorder="1" applyAlignment="1">
      <alignment horizontal="right" vertical="center"/>
    </xf>
    <xf numFmtId="1" fontId="0" fillId="0" borderId="0" xfId="0" applyNumberFormat="1"/>
    <xf numFmtId="0" fontId="4" fillId="0" borderId="0" xfId="0" applyFont="1"/>
    <xf numFmtId="44" fontId="8" fillId="0" borderId="0" xfId="0" applyNumberFormat="1" applyFont="1" applyAlignment="1">
      <alignment vertical="center"/>
    </xf>
    <xf numFmtId="0" fontId="7" fillId="2" borderId="0" xfId="0" applyFont="1" applyFill="1" applyBorder="1" applyAlignment="1">
      <alignment horizontal="right" vertical="center"/>
    </xf>
    <xf numFmtId="0" fontId="2" fillId="0" borderId="0" xfId="0" applyFont="1" applyBorder="1" applyAlignment="1">
      <alignment wrapText="1"/>
    </xf>
    <xf numFmtId="165" fontId="0" fillId="0" borderId="0" xfId="0" applyNumberFormat="1"/>
    <xf numFmtId="0" fontId="0" fillId="0" borderId="0" xfId="0" applyFill="1"/>
    <xf numFmtId="9" fontId="0" fillId="0" borderId="0" xfId="0" applyNumberFormat="1"/>
    <xf numFmtId="1" fontId="0" fillId="0" borderId="1" xfId="0" applyNumberFormat="1" applyBorder="1"/>
    <xf numFmtId="1" fontId="0" fillId="2" borderId="1" xfId="0" applyNumberFormat="1" applyFill="1" applyBorder="1"/>
    <xf numFmtId="9" fontId="0" fillId="0" borderId="1" xfId="2" applyFont="1" applyBorder="1"/>
    <xf numFmtId="0" fontId="0" fillId="2" borderId="1" xfId="0" applyFill="1" applyBorder="1" applyAlignment="1">
      <alignment horizontal="center"/>
    </xf>
    <xf numFmtId="0" fontId="0" fillId="5" borderId="1" xfId="0" applyFill="1" applyBorder="1"/>
    <xf numFmtId="0" fontId="0" fillId="6" borderId="1" xfId="0" applyFill="1" applyBorder="1"/>
    <xf numFmtId="0" fontId="9" fillId="0" borderId="0" xfId="0" applyFont="1"/>
    <xf numFmtId="6" fontId="0" fillId="0" borderId="0" xfId="0" applyNumberFormat="1"/>
    <xf numFmtId="0" fontId="0" fillId="2" borderId="15" xfId="0" applyFill="1" applyBorder="1" applyAlignment="1">
      <alignment horizontal="center"/>
    </xf>
    <xf numFmtId="9" fontId="0" fillId="2" borderId="1" xfId="2" applyFont="1" applyFill="1" applyBorder="1"/>
    <xf numFmtId="0" fontId="25" fillId="0" borderId="0" xfId="0" applyFont="1" applyAlignment="1">
      <alignment horizontal="center"/>
    </xf>
    <xf numFmtId="9" fontId="0" fillId="0" borderId="1" xfId="2" applyFont="1" applyFill="1" applyBorder="1"/>
    <xf numFmtId="9" fontId="0" fillId="0" borderId="1" xfId="2" applyNumberFormat="1" applyFont="1" applyFill="1" applyBorder="1"/>
    <xf numFmtId="0" fontId="0" fillId="0" borderId="0" xfId="0"/>
    <xf numFmtId="0" fontId="2" fillId="0" borderId="0" xfId="0" applyFont="1"/>
    <xf numFmtId="6" fontId="0" fillId="0" borderId="0" xfId="0" applyNumberFormat="1"/>
    <xf numFmtId="9" fontId="2" fillId="0" borderId="0" xfId="2" applyFont="1"/>
    <xf numFmtId="0" fontId="0" fillId="0" borderId="0" xfId="0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0" fillId="0" borderId="0" xfId="0" applyAlignment="1"/>
    <xf numFmtId="1" fontId="0" fillId="2" borderId="1" xfId="0" applyNumberFormat="1" applyFill="1" applyBorder="1" applyAlignment="1">
      <alignment horizontal="center"/>
    </xf>
    <xf numFmtId="167" fontId="0" fillId="0" borderId="0" xfId="0" applyNumberFormat="1"/>
    <xf numFmtId="9" fontId="0" fillId="0" borderId="0" xfId="2" applyFo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1" fontId="6" fillId="0" borderId="5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wrapText="1"/>
    </xf>
    <xf numFmtId="168" fontId="7" fillId="0" borderId="0" xfId="2" applyNumberFormat="1" applyFont="1" applyBorder="1" applyAlignment="1">
      <alignment horizontal="right" vertical="center"/>
    </xf>
    <xf numFmtId="10" fontId="7" fillId="0" borderId="0" xfId="2" applyNumberFormat="1" applyFont="1" applyBorder="1" applyAlignment="1">
      <alignment horizontal="right" vertical="center"/>
    </xf>
    <xf numFmtId="0" fontId="27" fillId="0" borderId="2" xfId="0" applyFont="1" applyBorder="1" applyAlignment="1">
      <alignment vertical="center"/>
    </xf>
    <xf numFmtId="0" fontId="27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28" fillId="40" borderId="0" xfId="0" applyFont="1" applyFill="1" applyAlignment="1">
      <alignment vertical="center" wrapText="1"/>
    </xf>
    <xf numFmtId="0" fontId="29" fillId="40" borderId="17" xfId="0" applyFont="1" applyFill="1" applyBorder="1" applyAlignment="1">
      <alignment vertical="center" wrapText="1"/>
    </xf>
    <xf numFmtId="0" fontId="29" fillId="40" borderId="0" xfId="0" applyFont="1" applyFill="1" applyAlignment="1">
      <alignment vertical="center" wrapText="1"/>
    </xf>
    <xf numFmtId="0" fontId="0" fillId="40" borderId="0" xfId="0" applyFill="1"/>
    <xf numFmtId="2" fontId="0" fillId="40" borderId="18" xfId="0" applyNumberFormat="1" applyFill="1" applyBorder="1"/>
    <xf numFmtId="2" fontId="0" fillId="40" borderId="0" xfId="0" applyNumberFormat="1" applyFill="1"/>
    <xf numFmtId="2" fontId="0" fillId="40" borderId="4" xfId="0" applyNumberFormat="1" applyFill="1" applyBorder="1"/>
    <xf numFmtId="0" fontId="30" fillId="41" borderId="2" xfId="0" applyFont="1" applyFill="1" applyBorder="1" applyAlignment="1">
      <alignment vertical="center"/>
    </xf>
    <xf numFmtId="0" fontId="30" fillId="41" borderId="19" xfId="0" applyFont="1" applyFill="1" applyBorder="1" applyAlignment="1">
      <alignment horizontal="center" vertical="center"/>
    </xf>
    <xf numFmtId="0" fontId="30" fillId="41" borderId="3" xfId="0" applyFont="1" applyFill="1" applyBorder="1" applyAlignment="1">
      <alignment horizontal="center" vertical="center"/>
    </xf>
    <xf numFmtId="0" fontId="6" fillId="41" borderId="18" xfId="0" applyFont="1" applyFill="1" applyBorder="1" applyAlignment="1">
      <alignment vertical="center"/>
    </xf>
    <xf numFmtId="0" fontId="6" fillId="41" borderId="0" xfId="0" applyFont="1" applyFill="1" applyAlignment="1">
      <alignment horizontal="center" vertical="center"/>
    </xf>
    <xf numFmtId="0" fontId="6" fillId="41" borderId="20" xfId="0" applyFont="1" applyFill="1" applyBorder="1" applyAlignment="1">
      <alignment horizontal="center" vertical="center"/>
    </xf>
    <xf numFmtId="0" fontId="6" fillId="42" borderId="0" xfId="0" applyFont="1" applyFill="1" applyAlignment="1">
      <alignment horizontal="center" vertical="center"/>
    </xf>
    <xf numFmtId="0" fontId="6" fillId="42" borderId="20" xfId="0" applyFont="1" applyFill="1" applyBorder="1" applyAlignment="1">
      <alignment horizontal="center" vertical="center"/>
    </xf>
    <xf numFmtId="0" fontId="31" fillId="41" borderId="18" xfId="0" applyFont="1" applyFill="1" applyBorder="1" applyAlignment="1">
      <alignment vertical="center"/>
    </xf>
    <xf numFmtId="0" fontId="30" fillId="41" borderId="4" xfId="0" applyFont="1" applyFill="1" applyBorder="1" applyAlignment="1">
      <alignment vertical="center"/>
    </xf>
    <xf numFmtId="0" fontId="32" fillId="0" borderId="0" xfId="0" applyFont="1" applyAlignment="1">
      <alignment vertical="center"/>
    </xf>
    <xf numFmtId="0" fontId="26" fillId="0" borderId="0" xfId="0" applyFont="1"/>
    <xf numFmtId="0" fontId="33" fillId="0" borderId="22" xfId="0" applyFont="1" applyBorder="1" applyAlignment="1">
      <alignment horizontal="right" vertical="center"/>
    </xf>
    <xf numFmtId="0" fontId="33" fillId="0" borderId="19" xfId="0" applyFont="1" applyBorder="1" applyAlignment="1">
      <alignment horizontal="right" vertical="center"/>
    </xf>
    <xf numFmtId="0" fontId="33" fillId="0" borderId="3" xfId="0" applyFont="1" applyBorder="1" applyAlignment="1">
      <alignment horizontal="right" vertical="center"/>
    </xf>
    <xf numFmtId="0" fontId="5" fillId="0" borderId="24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5" fillId="0" borderId="21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20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33" fillId="0" borderId="21" xfId="0" applyFont="1" applyBorder="1" applyAlignment="1">
      <alignment horizontal="right" vertical="center"/>
    </xf>
    <xf numFmtId="0" fontId="33" fillId="0" borderId="5" xfId="0" applyFont="1" applyBorder="1" applyAlignment="1">
      <alignment horizontal="right" vertical="center"/>
    </xf>
    <xf numFmtId="0" fontId="0" fillId="0" borderId="0" xfId="0"/>
    <xf numFmtId="0" fontId="34" fillId="0" borderId="0" xfId="0" applyFont="1"/>
    <xf numFmtId="0" fontId="35" fillId="0" borderId="0" xfId="0" applyFont="1" applyFill="1" applyBorder="1"/>
    <xf numFmtId="1" fontId="37" fillId="0" borderId="0" xfId="48" applyNumberFormat="1" applyFont="1" applyFill="1" applyBorder="1"/>
    <xf numFmtId="0" fontId="38" fillId="0" borderId="0" xfId="47" applyFont="1" applyFill="1" applyBorder="1"/>
    <xf numFmtId="171" fontId="34" fillId="0" borderId="0" xfId="49" applyNumberFormat="1" applyFont="1" applyFill="1" applyBorder="1"/>
    <xf numFmtId="0" fontId="38" fillId="0" borderId="0" xfId="47" applyFont="1" applyFill="1" applyBorder="1" applyAlignment="1">
      <alignment wrapText="1"/>
    </xf>
    <xf numFmtId="0" fontId="38" fillId="0" borderId="26" xfId="47" applyFont="1" applyFill="1" applyBorder="1"/>
    <xf numFmtId="171" fontId="34" fillId="0" borderId="26" xfId="49" applyNumberFormat="1" applyFont="1" applyFill="1" applyBorder="1"/>
    <xf numFmtId="0" fontId="38" fillId="0" borderId="0" xfId="47" applyFont="1" applyBorder="1"/>
    <xf numFmtId="171" fontId="34" fillId="0" borderId="0" xfId="49" applyNumberFormat="1" applyFont="1" applyBorder="1"/>
    <xf numFmtId="0" fontId="39" fillId="0" borderId="0" xfId="47" applyFont="1"/>
    <xf numFmtId="0" fontId="40" fillId="0" borderId="0" xfId="47" applyFont="1" applyFill="1" applyBorder="1"/>
    <xf numFmtId="2" fontId="6" fillId="41" borderId="0" xfId="0" applyNumberFormat="1" applyFont="1" applyFill="1" applyAlignment="1">
      <alignment horizontal="center" vertical="center"/>
    </xf>
    <xf numFmtId="2" fontId="31" fillId="41" borderId="0" xfId="0" applyNumberFormat="1" applyFont="1" applyFill="1" applyAlignment="1">
      <alignment horizontal="center" vertical="center"/>
    </xf>
    <xf numFmtId="2" fontId="30" fillId="41" borderId="21" xfId="0" applyNumberFormat="1" applyFont="1" applyFill="1" applyBorder="1" applyAlignment="1">
      <alignment horizontal="center" vertical="center"/>
    </xf>
    <xf numFmtId="1" fontId="2" fillId="0" borderId="0" xfId="0" applyNumberFormat="1" applyFont="1"/>
    <xf numFmtId="168" fontId="0" fillId="0" borderId="0" xfId="2" applyNumberFormat="1" applyFont="1"/>
    <xf numFmtId="0" fontId="0" fillId="0" borderId="0" xfId="0" applyFill="1" applyBorder="1"/>
    <xf numFmtId="1" fontId="0" fillId="0" borderId="0" xfId="0" applyNumberFormat="1" applyFill="1"/>
    <xf numFmtId="1" fontId="0" fillId="0" borderId="0" xfId="0" applyNumberFormat="1" applyFill="1" applyBorder="1"/>
    <xf numFmtId="1" fontId="0" fillId="2" borderId="1" xfId="2" applyNumberFormat="1" applyFont="1" applyFill="1" applyBorder="1" applyAlignment="1"/>
    <xf numFmtId="2" fontId="0" fillId="2" borderId="1" xfId="2" applyNumberFormat="1" applyFont="1" applyFill="1" applyBorder="1" applyAlignment="1"/>
    <xf numFmtId="0" fontId="0" fillId="2" borderId="1" xfId="0" applyFill="1" applyBorder="1"/>
    <xf numFmtId="0" fontId="41" fillId="0" borderId="0" xfId="0" applyFont="1"/>
    <xf numFmtId="0" fontId="0" fillId="0" borderId="1" xfId="0" applyBorder="1" applyAlignment="1">
      <alignment vertical="center" wrapText="1"/>
    </xf>
    <xf numFmtId="0" fontId="42" fillId="0" borderId="0" xfId="47" applyFont="1"/>
    <xf numFmtId="1" fontId="42" fillId="0" borderId="0" xfId="48" applyNumberFormat="1" applyFont="1"/>
    <xf numFmtId="0" fontId="36" fillId="0" borderId="0" xfId="47"/>
    <xf numFmtId="169" fontId="2" fillId="0" borderId="0" xfId="49" applyFont="1"/>
    <xf numFmtId="169" fontId="0" fillId="0" borderId="0" xfId="49" applyFont="1"/>
    <xf numFmtId="0" fontId="36" fillId="0" borderId="0" xfId="47" applyAlignment="1">
      <alignment wrapText="1"/>
    </xf>
    <xf numFmtId="0" fontId="36" fillId="2" borderId="0" xfId="47" applyFill="1"/>
    <xf numFmtId="169" fontId="2" fillId="2" borderId="0" xfId="49" applyFont="1" applyFill="1"/>
    <xf numFmtId="169" fontId="0" fillId="2" borderId="0" xfId="49" applyFont="1" applyFill="1"/>
    <xf numFmtId="169" fontId="22" fillId="0" borderId="0" xfId="49" applyFont="1"/>
    <xf numFmtId="169" fontId="2" fillId="2" borderId="0" xfId="49" applyNumberFormat="1" applyFont="1" applyFill="1"/>
    <xf numFmtId="169" fontId="0" fillId="2" borderId="0" xfId="49" applyNumberFormat="1" applyFont="1" applyFill="1"/>
    <xf numFmtId="2" fontId="0" fillId="4" borderId="1" xfId="0" applyNumberFormat="1" applyFill="1" applyBorder="1"/>
    <xf numFmtId="172" fontId="0" fillId="2" borderId="1" xfId="0" applyNumberFormat="1" applyFill="1" applyBorder="1" applyAlignment="1"/>
    <xf numFmtId="0" fontId="2" fillId="0" borderId="0" xfId="0" applyFont="1" applyBorder="1" applyAlignment="1">
      <alignment vertical="center"/>
    </xf>
    <xf numFmtId="6" fontId="0" fillId="0" borderId="0" xfId="0" applyNumberFormat="1" applyBorder="1"/>
    <xf numFmtId="0" fontId="0" fillId="2" borderId="1" xfId="0" applyFill="1" applyBorder="1" applyAlignment="1">
      <alignment horizontal="center"/>
    </xf>
    <xf numFmtId="0" fontId="0" fillId="0" borderId="0" xfId="0" applyFont="1" applyBorder="1" applyAlignment="1">
      <alignment vertical="center"/>
    </xf>
    <xf numFmtId="2" fontId="0" fillId="0" borderId="0" xfId="0" applyNumberFormat="1"/>
    <xf numFmtId="1" fontId="0" fillId="48" borderId="0" xfId="0" applyNumberFormat="1" applyFill="1"/>
    <xf numFmtId="1" fontId="0" fillId="0" borderId="0" xfId="0" applyNumberFormat="1" applyAlignment="1"/>
    <xf numFmtId="173" fontId="0" fillId="0" borderId="1" xfId="0" applyNumberFormat="1" applyBorder="1" applyAlignment="1">
      <alignment horizontal="center" vertical="center"/>
    </xf>
    <xf numFmtId="0" fontId="0" fillId="47" borderId="1" xfId="0" applyFill="1" applyBorder="1" applyAlignment="1">
      <alignment vertical="center"/>
    </xf>
    <xf numFmtId="0" fontId="2" fillId="47" borderId="1" xfId="0" applyFont="1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/>
    </xf>
    <xf numFmtId="1" fontId="0" fillId="0" borderId="0" xfId="0" applyNumberFormat="1" applyFo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Font="1" applyBorder="1"/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2" fontId="0" fillId="0" borderId="0" xfId="0" applyNumberFormat="1" applyAlignment="1"/>
    <xf numFmtId="0" fontId="0" fillId="2" borderId="0" xfId="0" applyFill="1" applyAlignment="1"/>
    <xf numFmtId="0" fontId="30" fillId="49" borderId="27" xfId="0" applyFont="1" applyFill="1" applyBorder="1" applyAlignment="1">
      <alignment horizontal="left" vertical="center" wrapText="1" readingOrder="1"/>
    </xf>
    <xf numFmtId="0" fontId="30" fillId="49" borderId="28" xfId="0" applyFont="1" applyFill="1" applyBorder="1" applyAlignment="1">
      <alignment horizontal="left" wrapText="1" readingOrder="1"/>
    </xf>
    <xf numFmtId="0" fontId="30" fillId="49" borderId="28" xfId="0" applyFont="1" applyFill="1" applyBorder="1" applyAlignment="1">
      <alignment horizontal="right" wrapText="1" readingOrder="1"/>
    </xf>
    <xf numFmtId="0" fontId="30" fillId="49" borderId="29" xfId="0" applyFont="1" applyFill="1" applyBorder="1" applyAlignment="1">
      <alignment horizontal="right" wrapText="1" readingOrder="1"/>
    </xf>
    <xf numFmtId="0" fontId="30" fillId="50" borderId="30" xfId="0" applyFont="1" applyFill="1" applyBorder="1" applyAlignment="1">
      <alignment horizontal="left" wrapText="1" readingOrder="1"/>
    </xf>
    <xf numFmtId="0" fontId="6" fillId="0" borderId="33" xfId="0" applyFont="1" applyBorder="1" applyAlignment="1">
      <alignment horizontal="left" wrapText="1" readingOrder="1"/>
    </xf>
    <xf numFmtId="0" fontId="6" fillId="0" borderId="35" xfId="0" applyFont="1" applyBorder="1" applyAlignment="1">
      <alignment horizontal="left" wrapText="1" readingOrder="1"/>
    </xf>
    <xf numFmtId="0" fontId="6" fillId="0" borderId="30" xfId="0" applyFont="1" applyBorder="1" applyAlignment="1">
      <alignment horizontal="left" wrapText="1" readingOrder="1"/>
    </xf>
    <xf numFmtId="0" fontId="30" fillId="51" borderId="30" xfId="0" applyFont="1" applyFill="1" applyBorder="1" applyAlignment="1">
      <alignment horizontal="left" wrapText="1" readingOrder="1"/>
    </xf>
    <xf numFmtId="0" fontId="30" fillId="50" borderId="35" xfId="0" applyFont="1" applyFill="1" applyBorder="1" applyAlignment="1">
      <alignment horizontal="left" wrapText="1" readingOrder="1"/>
    </xf>
    <xf numFmtId="2" fontId="30" fillId="50" borderId="31" xfId="0" applyNumberFormat="1" applyFont="1" applyFill="1" applyBorder="1" applyAlignment="1">
      <alignment horizontal="right" wrapText="1" readingOrder="1"/>
    </xf>
    <xf numFmtId="2" fontId="30" fillId="50" borderId="32" xfId="0" applyNumberFormat="1" applyFont="1" applyFill="1" applyBorder="1" applyAlignment="1">
      <alignment horizontal="right" wrapText="1" readingOrder="1"/>
    </xf>
    <xf numFmtId="2" fontId="6" fillId="0" borderId="0" xfId="0" applyNumberFormat="1" applyFont="1" applyAlignment="1">
      <alignment horizontal="left" wrapText="1" readingOrder="1"/>
    </xf>
    <xf numFmtId="2" fontId="6" fillId="0" borderId="0" xfId="0" applyNumberFormat="1" applyFont="1" applyAlignment="1">
      <alignment horizontal="right" wrapText="1" readingOrder="1"/>
    </xf>
    <xf numFmtId="2" fontId="6" fillId="0" borderId="34" xfId="0" applyNumberFormat="1" applyFont="1" applyBorder="1" applyAlignment="1">
      <alignment horizontal="right" wrapText="1" readingOrder="1"/>
    </xf>
    <xf numFmtId="2" fontId="43" fillId="0" borderId="0" xfId="0" applyNumberFormat="1" applyFont="1" applyAlignment="1">
      <alignment wrapText="1"/>
    </xf>
    <xf numFmtId="2" fontId="6" fillId="0" borderId="36" xfId="0" applyNumberFormat="1" applyFont="1" applyBorder="1" applyAlignment="1">
      <alignment horizontal="left" wrapText="1" readingOrder="1"/>
    </xf>
    <xf numFmtId="2" fontId="6" fillId="0" borderId="36" xfId="0" applyNumberFormat="1" applyFont="1" applyBorder="1" applyAlignment="1">
      <alignment horizontal="right" wrapText="1" readingOrder="1"/>
    </xf>
    <xf numFmtId="2" fontId="6" fillId="0" borderId="37" xfId="0" applyNumberFormat="1" applyFont="1" applyBorder="1" applyAlignment="1">
      <alignment horizontal="right" wrapText="1" readingOrder="1"/>
    </xf>
    <xf numFmtId="2" fontId="6" fillId="0" borderId="31" xfId="0" applyNumberFormat="1" applyFont="1" applyBorder="1" applyAlignment="1">
      <alignment horizontal="left" wrapText="1" readingOrder="1"/>
    </xf>
    <xf numFmtId="2" fontId="6" fillId="0" borderId="31" xfId="0" applyNumberFormat="1" applyFont="1" applyBorder="1" applyAlignment="1">
      <alignment horizontal="right" wrapText="1" readingOrder="1"/>
    </xf>
    <xf numFmtId="2" fontId="6" fillId="0" borderId="32" xfId="0" applyNumberFormat="1" applyFont="1" applyBorder="1" applyAlignment="1">
      <alignment horizontal="right" wrapText="1" readingOrder="1"/>
    </xf>
    <xf numFmtId="2" fontId="30" fillId="51" borderId="31" xfId="0" applyNumberFormat="1" applyFont="1" applyFill="1" applyBorder="1" applyAlignment="1">
      <alignment horizontal="right" wrapText="1" readingOrder="1"/>
    </xf>
    <xf numFmtId="2" fontId="30" fillId="51" borderId="32" xfId="0" applyNumberFormat="1" applyFont="1" applyFill="1" applyBorder="1" applyAlignment="1">
      <alignment horizontal="right" wrapText="1" readingOrder="1"/>
    </xf>
    <xf numFmtId="2" fontId="30" fillId="50" borderId="36" xfId="0" applyNumberFormat="1" applyFont="1" applyFill="1" applyBorder="1" applyAlignment="1">
      <alignment horizontal="left" wrapText="1" readingOrder="1"/>
    </xf>
    <xf numFmtId="10" fontId="6" fillId="0" borderId="0" xfId="2" applyNumberFormat="1" applyFont="1" applyAlignment="1">
      <alignment horizontal="right" wrapText="1" readingOrder="1"/>
    </xf>
    <xf numFmtId="10" fontId="6" fillId="0" borderId="34" xfId="2" applyNumberFormat="1" applyFont="1" applyBorder="1" applyAlignment="1">
      <alignment horizontal="right" wrapText="1" readingOrder="1"/>
    </xf>
    <xf numFmtId="10" fontId="30" fillId="50" borderId="36" xfId="2" applyNumberFormat="1" applyFont="1" applyFill="1" applyBorder="1" applyAlignment="1">
      <alignment horizontal="right" wrapText="1" readingOrder="1"/>
    </xf>
    <xf numFmtId="10" fontId="30" fillId="50" borderId="37" xfId="2" applyNumberFormat="1" applyFont="1" applyFill="1" applyBorder="1" applyAlignment="1">
      <alignment horizontal="right" wrapText="1" readingOrder="1"/>
    </xf>
    <xf numFmtId="0" fontId="0" fillId="2" borderId="1" xfId="0" applyFill="1" applyBorder="1" applyAlignment="1">
      <alignment horizontal="center"/>
    </xf>
    <xf numFmtId="9" fontId="0" fillId="2" borderId="15" xfId="2" applyFont="1" applyFill="1" applyBorder="1" applyAlignment="1">
      <alignment horizontal="center"/>
    </xf>
    <xf numFmtId="9" fontId="0" fillId="2" borderId="16" xfId="2" applyFont="1" applyFill="1" applyBorder="1" applyAlignment="1">
      <alignment horizontal="center"/>
    </xf>
    <xf numFmtId="0" fontId="33" fillId="43" borderId="17" xfId="0" applyFont="1" applyFill="1" applyBorder="1" applyAlignment="1">
      <alignment horizontal="center" vertical="center"/>
    </xf>
    <xf numFmtId="0" fontId="33" fillId="43" borderId="23" xfId="0" applyFont="1" applyFill="1" applyBorder="1" applyAlignment="1">
      <alignment horizontal="center" vertical="center"/>
    </xf>
    <xf numFmtId="0" fontId="33" fillId="44" borderId="25" xfId="0" applyFont="1" applyFill="1" applyBorder="1" applyAlignment="1">
      <alignment horizontal="center" vertical="center" wrapText="1"/>
    </xf>
    <xf numFmtId="0" fontId="33" fillId="44" borderId="18" xfId="0" applyFont="1" applyFill="1" applyBorder="1" applyAlignment="1">
      <alignment horizontal="center" vertical="center" wrapText="1"/>
    </xf>
    <xf numFmtId="0" fontId="33" fillId="44" borderId="23" xfId="0" applyFont="1" applyFill="1" applyBorder="1" applyAlignment="1">
      <alignment horizontal="center" vertical="center" wrapText="1"/>
    </xf>
    <xf numFmtId="0" fontId="33" fillId="45" borderId="25" xfId="0" applyFont="1" applyFill="1" applyBorder="1" applyAlignment="1">
      <alignment horizontal="center" vertical="center" wrapText="1"/>
    </xf>
    <xf numFmtId="0" fontId="33" fillId="45" borderId="18" xfId="0" applyFont="1" applyFill="1" applyBorder="1" applyAlignment="1">
      <alignment horizontal="center" vertical="center" wrapText="1"/>
    </xf>
    <xf numFmtId="0" fontId="33" fillId="45" borderId="23" xfId="0" applyFont="1" applyFill="1" applyBorder="1" applyAlignment="1">
      <alignment horizontal="center" vertical="center" wrapText="1"/>
    </xf>
    <xf numFmtId="0" fontId="33" fillId="46" borderId="25" xfId="0" applyFont="1" applyFill="1" applyBorder="1" applyAlignment="1">
      <alignment horizontal="center" vertical="center"/>
    </xf>
    <xf numFmtId="0" fontId="33" fillId="46" borderId="18" xfId="0" applyFont="1" applyFill="1" applyBorder="1" applyAlignment="1">
      <alignment horizontal="center" vertical="center"/>
    </xf>
    <xf numFmtId="0" fontId="33" fillId="46" borderId="23" xfId="0" applyFont="1" applyFill="1" applyBorder="1" applyAlignment="1">
      <alignment horizontal="center" vertical="center"/>
    </xf>
    <xf numFmtId="0" fontId="0" fillId="38" borderId="0" xfId="0" applyFill="1" applyAlignment="1">
      <alignment horizontal="center"/>
    </xf>
    <xf numFmtId="0" fontId="0" fillId="39" borderId="0" xfId="0" applyFill="1" applyAlignment="1">
      <alignment horizontal="center" vertical="center"/>
    </xf>
    <xf numFmtId="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51">
    <cellStyle name="20% - Accent1 2" xfId="21"/>
    <cellStyle name="20% - Accent2 2" xfId="25"/>
    <cellStyle name="20% - Accent3 2" xfId="29"/>
    <cellStyle name="20% - Accent4 2" xfId="33"/>
    <cellStyle name="20% - Accent5 2" xfId="37"/>
    <cellStyle name="20% - Accent6 2" xfId="41"/>
    <cellStyle name="40% - Accent1 2" xfId="22"/>
    <cellStyle name="40% - Accent2 2" xfId="26"/>
    <cellStyle name="40% - Accent3 2" xfId="30"/>
    <cellStyle name="40% - Accent4 2" xfId="34"/>
    <cellStyle name="40% - Accent5 2" xfId="38"/>
    <cellStyle name="40% - Accent6 2" xfId="42"/>
    <cellStyle name="60% - Accent1 2" xfId="23"/>
    <cellStyle name="60% - Accent2 2" xfId="27"/>
    <cellStyle name="60% - Accent3 2" xfId="31"/>
    <cellStyle name="60% - Accent4 2" xfId="35"/>
    <cellStyle name="60% - Accent5 2" xfId="39"/>
    <cellStyle name="60% - Accent6 2" xfId="43"/>
    <cellStyle name="Accent1 2" xfId="20"/>
    <cellStyle name="Accent2 2" xfId="24"/>
    <cellStyle name="Accent3 2" xfId="28"/>
    <cellStyle name="Accent4 2" xfId="32"/>
    <cellStyle name="Accent5 2" xfId="36"/>
    <cellStyle name="Accent6 2" xfId="40"/>
    <cellStyle name="Bad 2" xfId="9"/>
    <cellStyle name="Calculation 2" xfId="13"/>
    <cellStyle name="Check Cell 2" xfId="15"/>
    <cellStyle name="Comma 2" xfId="44"/>
    <cellStyle name="Comma 2 10" xfId="48"/>
    <cellStyle name="Currency" xfId="1" builtinId="4"/>
    <cellStyle name="Currency 15" xfId="46"/>
    <cellStyle name="Currency 2" xfId="45"/>
    <cellStyle name="Currency 2 10" xfId="49"/>
    <cellStyle name="Explanatory Text 2" xfId="18"/>
    <cellStyle name="Good 2" xfId="8"/>
    <cellStyle name="Heading 1 2" xfId="4"/>
    <cellStyle name="Heading 2 2" xfId="5"/>
    <cellStyle name="Heading 3 2" xfId="6"/>
    <cellStyle name="Heading 4 2" xfId="7"/>
    <cellStyle name="Input 2" xfId="11"/>
    <cellStyle name="Linked Cell 2" xfId="14"/>
    <cellStyle name="Neutral 2" xfId="10"/>
    <cellStyle name="Normal" xfId="0" builtinId="0" customBuiltin="1"/>
    <cellStyle name="Normal 10 10" xfId="47"/>
    <cellStyle name="Note 2" xfId="17"/>
    <cellStyle name="Output 2" xfId="12"/>
    <cellStyle name="Percent" xfId="2" builtinId="5"/>
    <cellStyle name="Percent 10 10" xfId="50"/>
    <cellStyle name="Title 2" xfId="3"/>
    <cellStyle name="Total 2" xfId="19"/>
    <cellStyle name="Warning Text 2" xfId="16"/>
  </cellStyles>
  <dxfs count="0"/>
  <tableStyles count="0" defaultTableStyle="TableStyleMedium2" defaultPivotStyle="PivotStyleLight16"/>
  <colors>
    <mruColors>
      <color rgb="FFA6A6A6"/>
      <color rgb="FFD99694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Summary!$B$46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Summary!$F$42:$X$42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Summary!$F$46:$AM$46</c:f>
              <c:numCache>
                <c:formatCode>0</c:formatCode>
                <c:ptCount val="34"/>
                <c:pt idx="0">
                  <c:v>2314.1083333333354</c:v>
                </c:pt>
                <c:pt idx="1">
                  <c:v>4606.0188156666682</c:v>
                </c:pt>
                <c:pt idx="2">
                  <c:v>7027.0958118519293</c:v>
                </c:pt>
                <c:pt idx="3">
                  <c:v>10822.45030196687</c:v>
                </c:pt>
                <c:pt idx="4">
                  <c:v>13760.539293163702</c:v>
                </c:pt>
                <c:pt idx="5">
                  <c:v>16469.828842155868</c:v>
                </c:pt>
                <c:pt idx="6">
                  <c:v>18754.965033981855</c:v>
                </c:pt>
                <c:pt idx="7">
                  <c:v>21865.677828316962</c:v>
                </c:pt>
                <c:pt idx="8">
                  <c:v>24354.8955192781</c:v>
                </c:pt>
                <c:pt idx="9">
                  <c:v>26294.601730117836</c:v>
                </c:pt>
                <c:pt idx="10">
                  <c:v>29156.308790157505</c:v>
                </c:pt>
                <c:pt idx="11">
                  <c:v>31750.146816525332</c:v>
                </c:pt>
                <c:pt idx="12">
                  <c:v>33471.942207614571</c:v>
                </c:pt>
                <c:pt idx="13">
                  <c:v>34796.345896366009</c:v>
                </c:pt>
                <c:pt idx="14">
                  <c:v>34919.363481152766</c:v>
                </c:pt>
                <c:pt idx="15">
                  <c:v>35007.895816536206</c:v>
                </c:pt>
                <c:pt idx="16">
                  <c:v>34308.699336291509</c:v>
                </c:pt>
                <c:pt idx="17">
                  <c:v>32877.563998640122</c:v>
                </c:pt>
                <c:pt idx="18">
                  <c:v>31035.088264857521</c:v>
                </c:pt>
                <c:pt idx="19">
                  <c:v>29098.351472534603</c:v>
                </c:pt>
                <c:pt idx="20">
                  <c:v>27062.531225916446</c:v>
                </c:pt>
                <c:pt idx="21">
                  <c:v>24922.558415481304</c:v>
                </c:pt>
                <c:pt idx="22">
                  <c:v>22673.104596064299</c:v>
                </c:pt>
                <c:pt idx="23">
                  <c:v>20308.568719245919</c:v>
                </c:pt>
                <c:pt idx="24">
                  <c:v>17823.063186969513</c:v>
                </c:pt>
                <c:pt idx="25">
                  <c:v>15210.399191661847</c:v>
                </c:pt>
                <c:pt idx="26">
                  <c:v>12464.071306354239</c:v>
                </c:pt>
                <c:pt idx="27">
                  <c:v>9577.2412864342914</c:v>
                </c:pt>
                <c:pt idx="28">
                  <c:v>6542.7210426952397</c:v>
                </c:pt>
                <c:pt idx="29">
                  <c:v>3352.9547432864983</c:v>
                </c:pt>
                <c:pt idx="30">
                  <c:v>5.0022208597511053E-12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383616"/>
        <c:axId val="126403712"/>
      </c:areaChart>
      <c:barChart>
        <c:barDir val="col"/>
        <c:grouping val="clustered"/>
        <c:varyColors val="0"/>
        <c:ser>
          <c:idx val="2"/>
          <c:order val="1"/>
          <c:tx>
            <c:strRef>
              <c:f>Summary!$B$45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Summary!$F$42:$X$42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Summary!$F$45:$AM$45</c:f>
              <c:numCache>
                <c:formatCode>0</c:formatCode>
                <c:ptCount val="34"/>
                <c:pt idx="0">
                  <c:v>9781.2613489017094</c:v>
                </c:pt>
                <c:pt idx="1">
                  <c:v>9661.1602683873571</c:v>
                </c:pt>
                <c:pt idx="2">
                  <c:v>9366.6720792042688</c:v>
                </c:pt>
                <c:pt idx="3">
                  <c:v>8732.5795364766345</c:v>
                </c:pt>
                <c:pt idx="4">
                  <c:v>8459.1430424360988</c:v>
                </c:pt>
                <c:pt idx="5">
                  <c:v>8628.3259032848218</c:v>
                </c:pt>
                <c:pt idx="6">
                  <c:v>8800.8924213505161</c:v>
                </c:pt>
                <c:pt idx="7">
                  <c:v>8976.910269777527</c:v>
                </c:pt>
                <c:pt idx="8">
                  <c:v>9156.4484751730779</c:v>
                </c:pt>
                <c:pt idx="9">
                  <c:v>9339.577444676539</c:v>
                </c:pt>
                <c:pt idx="10">
                  <c:v>9526.3689935700677</c:v>
                </c:pt>
                <c:pt idx="11">
                  <c:v>9716.896373441472</c:v>
                </c:pt>
                <c:pt idx="12">
                  <c:v>9911.2343009103006</c:v>
                </c:pt>
                <c:pt idx="13">
                  <c:v>10109.458986928508</c:v>
                </c:pt>
                <c:pt idx="14">
                  <c:v>10311.648166667075</c:v>
                </c:pt>
                <c:pt idx="15">
                  <c:v>10517.881130000418</c:v>
                </c:pt>
                <c:pt idx="16">
                  <c:v>10728.238752600428</c:v>
                </c:pt>
                <c:pt idx="17">
                  <c:v>10942.803527652435</c:v>
                </c:pt>
                <c:pt idx="18">
                  <c:v>9186.8130996110285</c:v>
                </c:pt>
                <c:pt idx="19">
                  <c:v>8913.336418810235</c:v>
                </c:pt>
                <c:pt idx="20">
                  <c:v>8653.0680129218563</c:v>
                </c:pt>
                <c:pt idx="21">
                  <c:v>8405.3699536016884</c:v>
                </c:pt>
                <c:pt idx="22">
                  <c:v>8169.6351229311913</c:v>
                </c:pt>
                <c:pt idx="23">
                  <c:v>7945.2857253470193</c:v>
                </c:pt>
                <c:pt idx="24">
                  <c:v>7731.7718714408311</c:v>
                </c:pt>
                <c:pt idx="25">
                  <c:v>7528.5702301581996</c:v>
                </c:pt>
                <c:pt idx="26">
                  <c:v>7335.1827460931254</c:v>
                </c:pt>
                <c:pt idx="27">
                  <c:v>7151.1354187341858</c:v>
                </c:pt>
                <c:pt idx="28">
                  <c:v>6975.9771406701748</c:v>
                </c:pt>
                <c:pt idx="29">
                  <c:v>6809.2785919076905</c:v>
                </c:pt>
                <c:pt idx="30">
                  <c:v>6650.631187590534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383616"/>
        <c:axId val="126403712"/>
      </c:barChart>
      <c:lineChart>
        <c:grouping val="standard"/>
        <c:varyColors val="0"/>
        <c:ser>
          <c:idx val="0"/>
          <c:order val="0"/>
          <c:tx>
            <c:strRef>
              <c:f>Summary!$B$43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Summary!$F$42:$AK$42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Summary!$F$43:$X$43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Summary!$B$44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Summary!$F$42:$AK$42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Summary!$F$44:$AM$44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383616"/>
        <c:axId val="126403712"/>
      </c:lineChart>
      <c:catAx>
        <c:axId val="12638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6403712"/>
        <c:crosses val="autoZero"/>
        <c:auto val="1"/>
        <c:lblAlgn val="ctr"/>
        <c:lblOffset val="100"/>
        <c:noMultiLvlLbl val="0"/>
      </c:catAx>
      <c:valAx>
        <c:axId val="1264037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2638361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'2'!$B$51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'2'!$C$51:$AM$51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'2'!$B$52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'2'!$C$50:$AM$50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'2'!$B$53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'2'!$C$50:$AM$50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'2'!$B$54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'2'!$C$50:$AM$50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'2'!$C$54:$AM$54</c:f>
              <c:numCache>
                <c:formatCode>0</c:formatCode>
                <c:ptCount val="37"/>
                <c:pt idx="3">
                  <c:v>130.48783261808913</c:v>
                </c:pt>
                <c:pt idx="4">
                  <c:v>133.32170298964928</c:v>
                </c:pt>
                <c:pt idx="5">
                  <c:v>136.22630006702136</c:v>
                </c:pt>
                <c:pt idx="6">
                  <c:v>138.53732368871545</c:v>
                </c:pt>
                <c:pt idx="7">
                  <c:v>141.86553780473957</c:v>
                </c:pt>
                <c:pt idx="8">
                  <c:v>148.23141489812735</c:v>
                </c:pt>
                <c:pt idx="9">
                  <c:v>157.34384811244072</c:v>
                </c:pt>
                <c:pt idx="10">
                  <c:v>156.24390928500054</c:v>
                </c:pt>
                <c:pt idx="11">
                  <c:v>171.08569279939596</c:v>
                </c:pt>
                <c:pt idx="12">
                  <c:v>171.11506892412015</c:v>
                </c:pt>
                <c:pt idx="13">
                  <c:v>176.88407529021239</c:v>
                </c:pt>
                <c:pt idx="14">
                  <c:v>180.95185839539732</c:v>
                </c:pt>
                <c:pt idx="15">
                  <c:v>187.32214011899717</c:v>
                </c:pt>
                <c:pt idx="16">
                  <c:v>193.76976077711572</c:v>
                </c:pt>
                <c:pt idx="17">
                  <c:v>205.64085884044286</c:v>
                </c:pt>
                <c:pt idx="18">
                  <c:v>209.51307376181992</c:v>
                </c:pt>
                <c:pt idx="19">
                  <c:v>217.79851451878281</c:v>
                </c:pt>
                <c:pt idx="20">
                  <c:v>224.95387064537331</c:v>
                </c:pt>
                <c:pt idx="21">
                  <c:v>236.97054783204652</c:v>
                </c:pt>
                <c:pt idx="22">
                  <c:v>242.3750391264015</c:v>
                </c:pt>
                <c:pt idx="23">
                  <c:v>247.80001734677793</c:v>
                </c:pt>
                <c:pt idx="24">
                  <c:v>253.25503024391043</c:v>
                </c:pt>
                <c:pt idx="25">
                  <c:v>258.74955308576955</c:v>
                </c:pt>
                <c:pt idx="26">
                  <c:v>264.29300982049818</c:v>
                </c:pt>
                <c:pt idx="27">
                  <c:v>269.89479384306685</c:v>
                </c:pt>
                <c:pt idx="28">
                  <c:v>275.56428841530982</c:v>
                </c:pt>
                <c:pt idx="29">
                  <c:v>281.31088678759528</c:v>
                </c:pt>
                <c:pt idx="30">
                  <c:v>287.14401206908803</c:v>
                </c:pt>
                <c:pt idx="31">
                  <c:v>293.07313689239515</c:v>
                </c:pt>
                <c:pt idx="32">
                  <c:v>299.10780291732334</c:v>
                </c:pt>
                <c:pt idx="33">
                  <c:v>305.25764021752826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839104"/>
        <c:axId val="518009600"/>
      </c:lineChart>
      <c:catAx>
        <c:axId val="51783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18009600"/>
        <c:crosses val="autoZero"/>
        <c:auto val="1"/>
        <c:lblAlgn val="ctr"/>
        <c:lblOffset val="100"/>
        <c:noMultiLvlLbl val="0"/>
      </c:catAx>
      <c:valAx>
        <c:axId val="518009600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Financing on Average Residential Bill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>
            <c:manualLayout>
              <c:xMode val="edge"/>
              <c:yMode val="edge"/>
              <c:x val="2.8755384565613929E-2"/>
              <c:y val="6.6733724832625824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51783910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'3'!$B$46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'3'!$F$42:$X$42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'3'!$F$46:$AM$46</c:f>
              <c:numCache>
                <c:formatCode>0</c:formatCode>
                <c:ptCount val="34"/>
                <c:pt idx="0">
                  <c:v>4674.409999999998</c:v>
                </c:pt>
                <c:pt idx="1">
                  <c:v>9323.2394822666647</c:v>
                </c:pt>
                <c:pt idx="2">
                  <c:v>13912.66550508852</c:v>
                </c:pt>
                <c:pt idx="3">
                  <c:v>19779.553835965213</c:v>
                </c:pt>
                <c:pt idx="4">
                  <c:v>24810.420052637441</c:v>
                </c:pt>
                <c:pt idx="5">
                  <c:v>29671.438086019334</c:v>
                </c:pt>
                <c:pt idx="6">
                  <c:v>34166.734775326491</c:v>
                </c:pt>
                <c:pt idx="7">
                  <c:v>39545.341644275897</c:v>
                </c:pt>
                <c:pt idx="8">
                  <c:v>44359.29453259732</c:v>
                </c:pt>
                <c:pt idx="9">
                  <c:v>48679.47480754702</c:v>
                </c:pt>
                <c:pt idx="10">
                  <c:v>53976.065947351832</c:v>
                </c:pt>
                <c:pt idx="11">
                  <c:v>59057.624760676503</c:v>
                </c:pt>
                <c:pt idx="12">
                  <c:v>63318.140887342568</c:v>
                </c:pt>
                <c:pt idx="13">
                  <c:v>67230.144863330352</c:v>
                </c:pt>
                <c:pt idx="14">
                  <c:v>69987.216799203117</c:v>
                </c:pt>
                <c:pt idx="15">
                  <c:v>72753.50418182656</c:v>
                </c:pt>
                <c:pt idx="16">
                  <c:v>74772.657995430141</c:v>
                </c:pt>
                <c:pt idx="17">
                  <c:v>76096.984971427912</c:v>
                </c:pt>
                <c:pt idx="18">
                  <c:v>75068.348794664649</c:v>
                </c:pt>
                <c:pt idx="19">
                  <c:v>73376.610011174242</c:v>
                </c:pt>
                <c:pt idx="20">
                  <c:v>70990.322336252051</c:v>
                </c:pt>
                <c:pt idx="21">
                  <c:v>67875.451110519702</c:v>
                </c:pt>
                <c:pt idx="22">
                  <c:v>63995.26081070285</c:v>
                </c:pt>
                <c:pt idx="23">
                  <c:v>59310.194971017758</c:v>
                </c:pt>
                <c:pt idx="24">
                  <c:v>53777.748187735066</c:v>
                </c:pt>
                <c:pt idx="25">
                  <c:v>47352.329858915327</c:v>
                </c:pt>
                <c:pt idx="26">
                  <c:v>39985.119289841365</c:v>
                </c:pt>
                <c:pt idx="27">
                  <c:v>31623.911772251973</c:v>
                </c:pt>
                <c:pt idx="28">
                  <c:v>22212.955222054519</c:v>
                </c:pt>
                <c:pt idx="29">
                  <c:v>11692.776935700269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502912"/>
        <c:axId val="120508800"/>
      </c:areaChart>
      <c:barChart>
        <c:barDir val="col"/>
        <c:grouping val="clustered"/>
        <c:varyColors val="0"/>
        <c:ser>
          <c:idx val="2"/>
          <c:order val="1"/>
          <c:tx>
            <c:strRef>
              <c:f>'3'!$B$45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'3'!$F$42:$X$42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'3'!$F$45:$AM$45</c:f>
              <c:numCache>
                <c:formatCode>0</c:formatCode>
                <c:ptCount val="34"/>
                <c:pt idx="0">
                  <c:v>7420.9596822350468</c:v>
                </c:pt>
                <c:pt idx="1">
                  <c:v>7424.9943017206897</c:v>
                </c:pt>
                <c:pt idx="2">
                  <c:v>7439.6560618709309</c:v>
                </c:pt>
                <c:pt idx="3">
                  <c:v>7013.3114412208679</c:v>
                </c:pt>
                <c:pt idx="4">
                  <c:v>6824.6112337600625</c:v>
                </c:pt>
                <c:pt idx="5">
                  <c:v>7041.9093185497768</c:v>
                </c:pt>
                <c:pt idx="6">
                  <c:v>7266.1262527854033</c:v>
                </c:pt>
                <c:pt idx="7">
                  <c:v>7497.4823351304221</c:v>
                </c:pt>
                <c:pt idx="8">
                  <c:v>7736.2048786372625</c:v>
                </c:pt>
                <c:pt idx="9">
                  <c:v>7982.5284340879853</c:v>
                </c:pt>
                <c:pt idx="10">
                  <c:v>8236.6950204462046</c:v>
                </c:pt>
                <c:pt idx="11">
                  <c:v>8498.9543626466875</c:v>
                </c:pt>
                <c:pt idx="12">
                  <c:v>8769.5641369562509</c:v>
                </c:pt>
                <c:pt idx="13">
                  <c:v>9048.7902241470456</c:v>
                </c:pt>
                <c:pt idx="14">
                  <c:v>9336.9069707309663</c:v>
                </c:pt>
                <c:pt idx="15">
                  <c:v>9634.1974585118733</c:v>
                </c:pt>
                <c:pt idx="16">
                  <c:v>9940.9537827204167</c:v>
                </c:pt>
                <c:pt idx="17">
                  <c:v>10257.477339004818</c:v>
                </c:pt>
                <c:pt idx="18">
                  <c:v>10584.079119559517</c:v>
                </c:pt>
                <c:pt idx="19">
                  <c:v>10921.080018682667</c:v>
                </c:pt>
                <c:pt idx="20">
                  <c:v>11268.811148062687</c:v>
                </c:pt>
                <c:pt idx="21">
                  <c:v>11627.614162103662</c:v>
                </c:pt>
                <c:pt idx="22">
                  <c:v>11997.841593609206</c:v>
                </c:pt>
                <c:pt idx="23">
                  <c:v>12379.857200154644</c:v>
                </c:pt>
                <c:pt idx="24">
                  <c:v>12774.036321487774</c:v>
                </c:pt>
                <c:pt idx="25">
                  <c:v>13180.766248309441</c:v>
                </c:pt>
                <c:pt idx="26">
                  <c:v>13600.44660279617</c:v>
                </c:pt>
                <c:pt idx="27">
                  <c:v>14033.489731238833</c:v>
                </c:pt>
                <c:pt idx="28">
                  <c:v>14480.321109183009</c:v>
                </c:pt>
                <c:pt idx="29">
                  <c:v>14941.379759469221</c:v>
                </c:pt>
                <c:pt idx="30">
                  <c:v>15417.118683583676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502912"/>
        <c:axId val="120508800"/>
      </c:barChart>
      <c:lineChart>
        <c:grouping val="standard"/>
        <c:varyColors val="0"/>
        <c:ser>
          <c:idx val="0"/>
          <c:order val="0"/>
          <c:tx>
            <c:strRef>
              <c:f>'3'!$B$43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'3'!$F$42:$AK$42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'3'!$F$43:$X$43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'3'!$B$44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'3'!$F$42:$AK$42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'3'!$F$44:$AM$44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502912"/>
        <c:axId val="120508800"/>
      </c:lineChart>
      <c:catAx>
        <c:axId val="12050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0508800"/>
        <c:crosses val="autoZero"/>
        <c:auto val="1"/>
        <c:lblAlgn val="ctr"/>
        <c:lblOffset val="100"/>
        <c:noMultiLvlLbl val="0"/>
      </c:catAx>
      <c:valAx>
        <c:axId val="120508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2050291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'3'!$B$51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'3'!$C$51:$AM$51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'3'!$B$52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'3'!$C$50:$AM$50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'3'!$C$52:$AM$52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'3'!$B$53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'3'!$C$50:$AM$50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'3'!$C$53:$AM$53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'3'!$B$54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'3'!$C$50:$AM$50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'3'!$C$54:$AM$54</c:f>
              <c:numCache>
                <c:formatCode>0</c:formatCode>
                <c:ptCount val="37"/>
                <c:pt idx="3">
                  <c:v>130.48783261808913</c:v>
                </c:pt>
                <c:pt idx="4">
                  <c:v>134.7229029896493</c:v>
                </c:pt>
                <c:pt idx="5">
                  <c:v>139.07390006702133</c:v>
                </c:pt>
                <c:pt idx="6">
                  <c:v>142.92172368871547</c:v>
                </c:pt>
                <c:pt idx="7">
                  <c:v>147.85453780473958</c:v>
                </c:pt>
                <c:pt idx="8">
                  <c:v>153.90861166559074</c:v>
                </c:pt>
                <c:pt idx="9">
                  <c:v>162.67662048106567</c:v>
                </c:pt>
                <c:pt idx="10">
                  <c:v>161.19757256692483</c:v>
                </c:pt>
                <c:pt idx="11">
                  <c:v>175.62338679847869</c:v>
                </c:pt>
                <c:pt idx="12">
                  <c:v>175.22659470018777</c:v>
                </c:pt>
                <c:pt idx="13">
                  <c:v>180.46995395854441</c:v>
                </c:pt>
                <c:pt idx="14">
                  <c:v>183.99692777707202</c:v>
                </c:pt>
                <c:pt idx="15">
                  <c:v>189.77960080352901</c:v>
                </c:pt>
                <c:pt idx="16">
                  <c:v>195.57725852775295</c:v>
                </c:pt>
                <c:pt idx="17">
                  <c:v>206.76334488373982</c:v>
                </c:pt>
                <c:pt idx="18">
                  <c:v>209.89254843555773</c:v>
                </c:pt>
                <c:pt idx="19">
                  <c:v>217.3874121385191</c:v>
                </c:pt>
                <c:pt idx="20">
                  <c:v>223.70222434247714</c:v>
                </c:pt>
                <c:pt idx="21">
                  <c:v>234.84036951905682</c:v>
                </c:pt>
                <c:pt idx="22">
                  <c:v>239.29505983386116</c:v>
                </c:pt>
                <c:pt idx="23">
                  <c:v>243.70767568476106</c:v>
                </c:pt>
                <c:pt idx="24">
                  <c:v>248.08455500941059</c:v>
                </c:pt>
                <c:pt idx="25">
                  <c:v>252.43181414224</c:v>
                </c:pt>
                <c:pt idx="26">
                  <c:v>256.75536239098938</c:v>
                </c:pt>
                <c:pt idx="27">
                  <c:v>261.06091593431921</c:v>
                </c:pt>
                <c:pt idx="28">
                  <c:v>265.35401107824435</c:v>
                </c:pt>
                <c:pt idx="29">
                  <c:v>269.64001690722569</c:v>
                </c:pt>
                <c:pt idx="30">
                  <c:v>273.92414736394886</c:v>
                </c:pt>
                <c:pt idx="31">
                  <c:v>278.21147279010574</c:v>
                </c:pt>
                <c:pt idx="32">
                  <c:v>282.50693095887556</c:v>
                </c:pt>
                <c:pt idx="33">
                  <c:v>286.81533762826831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523392"/>
        <c:axId val="120529280"/>
      </c:lineChart>
      <c:catAx>
        <c:axId val="12052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0529280"/>
        <c:crosses val="autoZero"/>
        <c:auto val="1"/>
        <c:lblAlgn val="ctr"/>
        <c:lblOffset val="100"/>
        <c:noMultiLvlLbl val="0"/>
      </c:catAx>
      <c:valAx>
        <c:axId val="120529280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Financing on Average Residential Bill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>
            <c:manualLayout>
              <c:xMode val="edge"/>
              <c:yMode val="edge"/>
              <c:x val="2.8755384565613929E-2"/>
              <c:y val="6.6733724832625824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12052339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'4'!$B$46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'4'!$F$42:$X$42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'4'!$F$46:$AM$46</c:f>
              <c:numCache>
                <c:formatCode>0</c:formatCode>
                <c:ptCount val="34"/>
                <c:pt idx="0">
                  <c:v>3539.1200000000008</c:v>
                </c:pt>
                <c:pt idx="1">
                  <c:v>7190.0113792000029</c:v>
                </c:pt>
                <c:pt idx="2">
                  <c:v>10939.9050886326</c:v>
                </c:pt>
                <c:pt idx="3">
                  <c:v>16141.312451148864</c:v>
                </c:pt>
                <c:pt idx="4">
                  <c:v>20696.710480998125</c:v>
                </c:pt>
                <c:pt idx="5">
                  <c:v>25091.247575423917</c:v>
                </c:pt>
                <c:pt idx="6">
                  <c:v>29131.670838756563</c:v>
                </c:pt>
                <c:pt idx="7">
                  <c:v>34069.86334690365</c:v>
                </c:pt>
                <c:pt idx="8">
                  <c:v>38460.95944312065</c:v>
                </c:pt>
                <c:pt idx="9">
                  <c:v>42379.202556192868</c:v>
                </c:pt>
                <c:pt idx="10">
                  <c:v>47298.419386152687</c:v>
                </c:pt>
                <c:pt idx="11">
                  <c:v>52031.109777713988</c:v>
                </c:pt>
                <c:pt idx="12">
                  <c:v>55975.525985787426</c:v>
                </c:pt>
                <c:pt idx="13">
                  <c:v>59608.801678452284</c:v>
                </c:pt>
                <c:pt idx="14">
                  <c:v>62129.482792246694</c:v>
                </c:pt>
                <c:pt idx="15">
                  <c:v>64707.068818930449</c:v>
                </c:pt>
                <c:pt idx="16">
                  <c:v>66590.973792794481</c:v>
                </c:pt>
                <c:pt idx="17">
                  <c:v>67839.704864907442</c:v>
                </c:pt>
                <c:pt idx="18">
                  <c:v>66801.791373092186</c:v>
                </c:pt>
                <c:pt idx="19">
                  <c:v>65174.254238219684</c:v>
                </c:pt>
                <c:pt idx="20">
                  <c:v>62933.333475728345</c:v>
                </c:pt>
                <c:pt idx="21">
                  <c:v>60053.239665001151</c:v>
                </c:pt>
                <c:pt idx="22">
                  <c:v>56506.07638338062</c:v>
                </c:pt>
                <c:pt idx="23">
                  <c:v>52261.757066150298</c:v>
                </c:pt>
                <c:pt idx="24">
                  <c:v>47287.916076141708</c:v>
                </c:pt>
                <c:pt idx="25">
                  <c:v>41549.813752007925</c:v>
                </c:pt>
                <c:pt idx="26">
                  <c:v>35010.235189004816</c:v>
                </c:pt>
                <c:pt idx="27">
                  <c:v>27629.382490300581</c:v>
                </c:pt>
                <c:pt idx="28">
                  <c:v>19364.760210354336</c:v>
                </c:pt>
                <c:pt idx="29">
                  <c:v>10171.053694723727</c:v>
                </c:pt>
                <c:pt idx="30">
                  <c:v>2.7370915631763637E-6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314496"/>
        <c:axId val="116316032"/>
      </c:areaChart>
      <c:barChart>
        <c:barDir val="col"/>
        <c:grouping val="clustered"/>
        <c:varyColors val="0"/>
        <c:ser>
          <c:idx val="2"/>
          <c:order val="1"/>
          <c:tx>
            <c:strRef>
              <c:f>'4'!$B$45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'4'!$F$42:$X$42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'4'!$F$45:$AM$45</c:f>
              <c:numCache>
                <c:formatCode>0</c:formatCode>
                <c:ptCount val="34"/>
                <c:pt idx="0">
                  <c:v>8556.249682235044</c:v>
                </c:pt>
                <c:pt idx="1">
                  <c:v>8364.8509683873544</c:v>
                </c:pt>
                <c:pt idx="2">
                  <c:v>8170.0524255072969</c:v>
                </c:pt>
                <c:pt idx="3">
                  <c:v>7526.7059866754125</c:v>
                </c:pt>
                <c:pt idx="4">
                  <c:v>7113.9469913358216</c:v>
                </c:pt>
                <c:pt idx="5">
                  <c:v>7297.9328758208076</c:v>
                </c:pt>
                <c:pt idx="6">
                  <c:v>7486.677132237849</c:v>
                </c:pt>
                <c:pt idx="7">
                  <c:v>7680.3028249378231</c:v>
                </c:pt>
                <c:pt idx="8">
                  <c:v>7878.9362010481191</c:v>
                </c:pt>
                <c:pt idx="9">
                  <c:v>8082.7067727878466</c:v>
                </c:pt>
                <c:pt idx="10">
                  <c:v>8291.74740191192</c:v>
                </c:pt>
                <c:pt idx="11">
                  <c:v>8506.1943863391098</c:v>
                </c:pt>
                <c:pt idx="12">
                  <c:v>8726.187549020513</c:v>
                </c:pt>
                <c:pt idx="13">
                  <c:v>8951.8703291064157</c:v>
                </c:pt>
                <c:pt idx="14">
                  <c:v>9183.3898754709644</c:v>
                </c:pt>
                <c:pt idx="15">
                  <c:v>9420.8971426556654</c:v>
                </c:pt>
                <c:pt idx="16">
                  <c:v>9664.546989294191</c:v>
                </c:pt>
                <c:pt idx="17">
                  <c:v>9914.4982790827726</c:v>
                </c:pt>
                <c:pt idx="18">
                  <c:v>10170.91398436193</c:v>
                </c:pt>
                <c:pt idx="19">
                  <c:v>10433.961292377104</c:v>
                </c:pt>
                <c:pt idx="20">
                  <c:v>10703.811714287491</c:v>
                </c:pt>
                <c:pt idx="21">
                  <c:v>10980.641196994129</c:v>
                </c:pt>
                <c:pt idx="22">
                  <c:v>11264.630237860156</c:v>
                </c:pt>
                <c:pt idx="23">
                  <c:v>11555.964002398066</c:v>
                </c:pt>
                <c:pt idx="24">
                  <c:v>11854.832445000648</c:v>
                </c:pt>
                <c:pt idx="25">
                  <c:v>12161.430432794368</c:v>
                </c:pt>
                <c:pt idx="26">
                  <c:v>12475.957872695932</c:v>
                </c:pt>
                <c:pt idx="27">
                  <c:v>12798.619841754879</c:v>
                </c:pt>
                <c:pt idx="28">
                  <c:v>13129.626720867169</c:v>
                </c:pt>
                <c:pt idx="29">
                  <c:v>13469.194331946999</c:v>
                </c:pt>
                <c:pt idx="30">
                  <c:v>13817.544078646204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314496"/>
        <c:axId val="116316032"/>
      </c:barChart>
      <c:lineChart>
        <c:grouping val="standard"/>
        <c:varyColors val="0"/>
        <c:ser>
          <c:idx val="0"/>
          <c:order val="0"/>
          <c:tx>
            <c:strRef>
              <c:f>'4'!$B$43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'4'!$F$42:$AK$42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'4'!$F$43:$X$43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'4'!$B$44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'4'!$F$42:$AK$42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'4'!$F$44:$AM$44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314496"/>
        <c:axId val="116316032"/>
      </c:lineChart>
      <c:catAx>
        <c:axId val="11631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6316032"/>
        <c:crosses val="autoZero"/>
        <c:auto val="1"/>
        <c:lblAlgn val="ctr"/>
        <c:lblOffset val="100"/>
        <c:noMultiLvlLbl val="0"/>
      </c:catAx>
      <c:valAx>
        <c:axId val="116316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163144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68952174158036783"/>
        </c:manualLayout>
      </c:layout>
      <c:lineChart>
        <c:grouping val="standard"/>
        <c:varyColors val="0"/>
        <c:ser>
          <c:idx val="4"/>
          <c:order val="0"/>
          <c:tx>
            <c:strRef>
              <c:f>'4'!$B$51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'4'!$C$51:$AM$51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'4'!$B$52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'4'!$C$50:$AM$50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'4'!$C$52:$AM$52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'4'!$B$53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'4'!$C$50:$AM$50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'4'!$C$53:$AM$53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'4'!$B$54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'4'!$C$50:$AM$50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'4'!$C$54:$AM$54</c:f>
              <c:numCache>
                <c:formatCode>0</c:formatCode>
                <c:ptCount val="37"/>
                <c:pt idx="3">
                  <c:v>137.70853261808912</c:v>
                </c:pt>
                <c:pt idx="4">
                  <c:v>140.70060298964927</c:v>
                </c:pt>
                <c:pt idx="5">
                  <c:v>143.75210006702136</c:v>
                </c:pt>
                <c:pt idx="6">
                  <c:v>146.21002368871547</c:v>
                </c:pt>
                <c:pt idx="7">
                  <c:v>149.70773780473959</c:v>
                </c:pt>
                <c:pt idx="8">
                  <c:v>155.54844650767882</c:v>
                </c:pt>
                <c:pt idx="9">
                  <c:v>164.08925227336758</c:v>
                </c:pt>
                <c:pt idx="10">
                  <c:v>162.36854063029102</c:v>
                </c:pt>
                <c:pt idx="11">
                  <c:v>176.53758312494739</c:v>
                </c:pt>
                <c:pt idx="12">
                  <c:v>175.87278917348269</c:v>
                </c:pt>
                <c:pt idx="13">
                  <c:v>180.82256531286538</c:v>
                </c:pt>
                <c:pt idx="14">
                  <c:v>184.04330024074264</c:v>
                </c:pt>
                <c:pt idx="15">
                  <c:v>189.50177308725904</c:v>
                </c:pt>
                <c:pt idx="16">
                  <c:v>194.96082617468025</c:v>
                </c:pt>
                <c:pt idx="17">
                  <c:v>205.78694159493793</c:v>
                </c:pt>
                <c:pt idx="18">
                  <c:v>208.54533150156755</c:v>
                </c:pt>
                <c:pt idx="19">
                  <c:v>215.65365110792803</c:v>
                </c:pt>
                <c:pt idx="20">
                  <c:v>221.56562408445959</c:v>
                </c:pt>
                <c:pt idx="21">
                  <c:v>232.30132405242563</c:v>
                </c:pt>
                <c:pt idx="22">
                  <c:v>236.31395227875726</c:v>
                </c:pt>
                <c:pt idx="23">
                  <c:v>240.26428071453216</c:v>
                </c:pt>
                <c:pt idx="24">
                  <c:v>244.15791606200162</c:v>
                </c:pt>
                <c:pt idx="25">
                  <c:v>248.0002195100069</c:v>
                </c:pt>
                <c:pt idx="26">
                  <c:v>251.79632057032526</c:v>
                </c:pt>
                <c:pt idx="27">
                  <c:v>255.55113021293801</c:v>
                </c:pt>
                <c:pt idx="28">
                  <c:v>259.26935333731717</c:v>
                </c:pt>
                <c:pt idx="29">
                  <c:v>262.95550061489928</c:v>
                </c:pt>
                <c:pt idx="30">
                  <c:v>266.61389973608766</c:v>
                </c:pt>
                <c:pt idx="31">
                  <c:v>270.24870609339371</c:v>
                </c:pt>
                <c:pt idx="32">
                  <c:v>273.86391293068749</c:v>
                </c:pt>
                <c:pt idx="33">
                  <c:v>277.46336098697128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582528"/>
        <c:axId val="120584064"/>
      </c:lineChart>
      <c:catAx>
        <c:axId val="12058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0584064"/>
        <c:crosses val="autoZero"/>
        <c:auto val="1"/>
        <c:lblAlgn val="ctr"/>
        <c:lblOffset val="100"/>
        <c:noMultiLvlLbl val="0"/>
      </c:catAx>
      <c:valAx>
        <c:axId val="120584064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Financing on Average Residential Bill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>
            <c:manualLayout>
              <c:xMode val="edge"/>
              <c:yMode val="edge"/>
              <c:x val="1.9638168058358163E-2"/>
              <c:y val="5.7843967967476088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1205825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'1a GA RPP'!$B$46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'1a GA RPP'!$F$42:$X$42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'1a GA RPP'!$F$46:$AM$46</c:f>
              <c:numCache>
                <c:formatCode>0</c:formatCode>
                <c:ptCount val="34"/>
                <c:pt idx="0">
                  <c:v>1499.8335733333333</c:v>
                </c:pt>
                <c:pt idx="1">
                  <c:v>3041.5958642783989</c:v>
                </c:pt>
                <c:pt idx="2">
                  <c:v>4619.8988793615499</c:v>
                </c:pt>
                <c:pt idx="3">
                  <c:v>6863.1661700296881</c:v>
                </c:pt>
                <c:pt idx="4">
                  <c:v>8794.1436712884079</c:v>
                </c:pt>
                <c:pt idx="5">
                  <c:v>10428.706816242266</c:v>
                </c:pt>
                <c:pt idx="6">
                  <c:v>11567.720689118878</c:v>
                </c:pt>
                <c:pt idx="7">
                  <c:v>13456.934376345092</c:v>
                </c:pt>
                <c:pt idx="8">
                  <c:v>14645.085072149133</c:v>
                </c:pt>
                <c:pt idx="9">
                  <c:v>15199.744186756443</c:v>
                </c:pt>
                <c:pt idx="10">
                  <c:v>16587.779277245292</c:v>
                </c:pt>
                <c:pt idx="11">
                  <c:v>17614.431094947431</c:v>
                </c:pt>
                <c:pt idx="12">
                  <c:v>17670.37942615994</c:v>
                </c:pt>
                <c:pt idx="13">
                  <c:v>17224.858042580148</c:v>
                </c:pt>
                <c:pt idx="14">
                  <c:v>16564.986380981718</c:v>
                </c:pt>
                <c:pt idx="15">
                  <c:v>15871.355685175909</c:v>
                </c:pt>
                <c:pt idx="16">
                  <c:v>15142.238842972678</c:v>
                </c:pt>
                <c:pt idx="17">
                  <c:v>14375.820383122327</c:v>
                </c:pt>
                <c:pt idx="18">
                  <c:v>13570.191954866033</c:v>
                </c:pt>
                <c:pt idx="19">
                  <c:v>12723.347576220149</c:v>
                </c:pt>
                <c:pt idx="20">
                  <c:v>11833.178639162739</c:v>
                </c:pt>
                <c:pt idx="21">
                  <c:v>10897.468659285472</c:v>
                </c:pt>
                <c:pt idx="22">
                  <c:v>9913.8877568376847</c:v>
                </c:pt>
                <c:pt idx="23">
                  <c:v>8879.9868554206678</c:v>
                </c:pt>
                <c:pt idx="24">
                  <c:v>7793.1915838871555</c:v>
                </c:pt>
                <c:pt idx="25">
                  <c:v>6650.7958662619894</c:v>
                </c:pt>
                <c:pt idx="26">
                  <c:v>5449.9551837231193</c:v>
                </c:pt>
                <c:pt idx="27">
                  <c:v>4187.6794918655614</c:v>
                </c:pt>
                <c:pt idx="28">
                  <c:v>2860.8257756125704</c:v>
                </c:pt>
                <c:pt idx="29">
                  <c:v>1466.0902232360754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924032"/>
        <c:axId val="120925568"/>
      </c:areaChart>
      <c:barChart>
        <c:barDir val="col"/>
        <c:grouping val="clustered"/>
        <c:varyColors val="0"/>
        <c:ser>
          <c:idx val="2"/>
          <c:order val="1"/>
          <c:tx>
            <c:strRef>
              <c:f>'1a GA RPP'!$B$45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'1a GA RPP'!$F$42:$X$42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'1a GA RPP'!$F$45:$AM$45</c:f>
              <c:numCache>
                <c:formatCode>0</c:formatCode>
                <c:ptCount val="34"/>
                <c:pt idx="0">
                  <c:v>10595.536108901711</c:v>
                </c:pt>
                <c:pt idx="1">
                  <c:v>10369.650163054024</c:v>
                </c:pt>
                <c:pt idx="2">
                  <c:v>10129.410182113355</c:v>
                </c:pt>
                <c:pt idx="3">
                  <c:v>10161.51454085723</c:v>
                </c:pt>
                <c:pt idx="4">
                  <c:v>9263.6975561843046</c:v>
                </c:pt>
                <c:pt idx="5">
                  <c:v>9448.9715073079915</c:v>
                </c:pt>
                <c:pt idx="6">
                  <c:v>9637.9509374541485</c:v>
                </c:pt>
                <c:pt idx="7">
                  <c:v>9830.7099562032327</c:v>
                </c:pt>
                <c:pt idx="8">
                  <c:v>10027.324155327296</c:v>
                </c:pt>
                <c:pt idx="9">
                  <c:v>10227.870638433844</c:v>
                </c:pt>
                <c:pt idx="10">
                  <c:v>10432.428051202518</c:v>
                </c:pt>
                <c:pt idx="11">
                  <c:v>10641.07661222657</c:v>
                </c:pt>
                <c:pt idx="12">
                  <c:v>10853.898144471101</c:v>
                </c:pt>
                <c:pt idx="13">
                  <c:v>11070.976107360524</c:v>
                </c:pt>
                <c:pt idx="14">
                  <c:v>10195.580094452582</c:v>
                </c:pt>
                <c:pt idx="15">
                  <c:v>10361.034228744915</c:v>
                </c:pt>
                <c:pt idx="16">
                  <c:v>9779.1337214385749</c:v>
                </c:pt>
                <c:pt idx="17">
                  <c:v>9297.5305310131989</c:v>
                </c:pt>
                <c:pt idx="18">
                  <c:v>7203.4165907148326</c:v>
                </c:pt>
                <c:pt idx="19">
                  <c:v>6929.9399099140373</c:v>
                </c:pt>
                <c:pt idx="20">
                  <c:v>6669.6715040256604</c:v>
                </c:pt>
                <c:pt idx="21">
                  <c:v>6421.9734447054925</c:v>
                </c:pt>
                <c:pt idx="22">
                  <c:v>6186.2386140349954</c:v>
                </c:pt>
                <c:pt idx="23">
                  <c:v>5961.8892164508234</c:v>
                </c:pt>
                <c:pt idx="24">
                  <c:v>5748.3753625446352</c:v>
                </c:pt>
                <c:pt idx="25">
                  <c:v>5545.1737212620028</c:v>
                </c:pt>
                <c:pt idx="26">
                  <c:v>5351.7862371969295</c:v>
                </c:pt>
                <c:pt idx="27">
                  <c:v>5167.7389098379881</c:v>
                </c:pt>
                <c:pt idx="28">
                  <c:v>4992.5806317739771</c:v>
                </c:pt>
                <c:pt idx="29">
                  <c:v>4825.8820830114946</c:v>
                </c:pt>
                <c:pt idx="30">
                  <c:v>4667.2346786943363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924032"/>
        <c:axId val="120925568"/>
      </c:barChart>
      <c:lineChart>
        <c:grouping val="standard"/>
        <c:varyColors val="0"/>
        <c:ser>
          <c:idx val="0"/>
          <c:order val="0"/>
          <c:tx>
            <c:strRef>
              <c:f>'1a GA RPP'!$B$43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'1a GA RPP'!$F$42:$AK$42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'1a GA RPP'!$F$43:$X$43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'1a GA RPP'!$B$44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'1a GA RPP'!$F$42:$AK$42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'1a GA RPP'!$F$44:$AM$44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24032"/>
        <c:axId val="120925568"/>
      </c:lineChart>
      <c:catAx>
        <c:axId val="12092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0925568"/>
        <c:crosses val="autoZero"/>
        <c:auto val="1"/>
        <c:lblAlgn val="ctr"/>
        <c:lblOffset val="100"/>
        <c:noMultiLvlLbl val="0"/>
      </c:catAx>
      <c:valAx>
        <c:axId val="1209255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209240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'1a GA RPP'!$B$51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'1a GA RPP'!$C$51:$AM$51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'1a GA RPP'!$B$52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'1a GA RPP'!$C$52:$AM$52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'1a GA RPP'!$B$53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'1a GA RPP'!$C$53:$AM$53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'1a GA RPP'!$B$54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'1a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'1a GA RPP'!$C$54:$AM$54</c:f>
              <c:numCache>
                <c:formatCode>0</c:formatCode>
                <c:ptCount val="37"/>
                <c:pt idx="3">
                  <c:v>139.76513261808913</c:v>
                </c:pt>
                <c:pt idx="4">
                  <c:v>142.79110298964929</c:v>
                </c:pt>
                <c:pt idx="5">
                  <c:v>145.87650006702134</c:v>
                </c:pt>
                <c:pt idx="6">
                  <c:v>148.37962368871547</c:v>
                </c:pt>
                <c:pt idx="7">
                  <c:v>151.89993780473958</c:v>
                </c:pt>
                <c:pt idx="8">
                  <c:v>160.64489204784851</c:v>
                </c:pt>
                <c:pt idx="9">
                  <c:v>173.43130950568317</c:v>
                </c:pt>
                <c:pt idx="10">
                  <c:v>166.63469280207099</c:v>
                </c:pt>
                <c:pt idx="11">
                  <c:v>186.63635148641697</c:v>
                </c:pt>
                <c:pt idx="12">
                  <c:v>191.14603613929731</c:v>
                </c:pt>
                <c:pt idx="13">
                  <c:v>190.06061060144583</c:v>
                </c:pt>
                <c:pt idx="14">
                  <c:v>196.4127398208926</c:v>
                </c:pt>
                <c:pt idx="15">
                  <c:v>209.32334756408687</c:v>
                </c:pt>
                <c:pt idx="16">
                  <c:v>218.25889282757055</c:v>
                </c:pt>
                <c:pt idx="17">
                  <c:v>223.43866674935396</c:v>
                </c:pt>
                <c:pt idx="18">
                  <c:v>225.61938354336712</c:v>
                </c:pt>
                <c:pt idx="19">
                  <c:v>227.43168820736969</c:v>
                </c:pt>
                <c:pt idx="20">
                  <c:v>228.70574503150306</c:v>
                </c:pt>
                <c:pt idx="21">
                  <c:v>224.9001232458034</c:v>
                </c:pt>
                <c:pt idx="22">
                  <c:v>225.65996936982751</c:v>
                </c:pt>
                <c:pt idx="23">
                  <c:v>226.42364625022114</c:v>
                </c:pt>
                <c:pt idx="24">
                  <c:v>227.19116680439993</c:v>
                </c:pt>
                <c:pt idx="25">
                  <c:v>227.96254401503003</c:v>
                </c:pt>
                <c:pt idx="26">
                  <c:v>228.73779093024731</c:v>
                </c:pt>
                <c:pt idx="27">
                  <c:v>229.51692066387844</c:v>
                </c:pt>
                <c:pt idx="28">
                  <c:v>230.29994639566237</c:v>
                </c:pt>
                <c:pt idx="29">
                  <c:v>231.08688137147365</c:v>
                </c:pt>
                <c:pt idx="30">
                  <c:v>231.87773890354609</c:v>
                </c:pt>
                <c:pt idx="31">
                  <c:v>232.67253237069824</c:v>
                </c:pt>
                <c:pt idx="32">
                  <c:v>233.47127521855961</c:v>
                </c:pt>
                <c:pt idx="33">
                  <c:v>234.273980959798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64992"/>
        <c:axId val="120966528"/>
      </c:lineChart>
      <c:catAx>
        <c:axId val="12096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0966528"/>
        <c:crosses val="autoZero"/>
        <c:auto val="1"/>
        <c:lblAlgn val="ctr"/>
        <c:lblOffset val="100"/>
        <c:noMultiLvlLbl val="0"/>
      </c:catAx>
      <c:valAx>
        <c:axId val="120966528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w tax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2096499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'1b GA Class B'!$B$46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'1b GA Class B'!$F$42:$X$42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'1b GA Class B'!$F$46:$AM$46</c:f>
              <c:numCache>
                <c:formatCode>0</c:formatCode>
                <c:ptCount val="34"/>
                <c:pt idx="0">
                  <c:v>2829.8746666666684</c:v>
                </c:pt>
                <c:pt idx="1">
                  <c:v>5738.8601212800022</c:v>
                </c:pt>
                <c:pt idx="2">
                  <c:v>8716.7903384180154</c:v>
                </c:pt>
                <c:pt idx="3">
                  <c:v>12949.370132131487</c:v>
                </c:pt>
                <c:pt idx="4">
                  <c:v>16592.723908091331</c:v>
                </c:pt>
                <c:pt idx="5">
                  <c:v>20055.288619560026</c:v>
                </c:pt>
                <c:pt idx="6">
                  <c:v>23144.405143126372</c:v>
                </c:pt>
                <c:pt idx="7">
                  <c:v>27112.640867164246</c:v>
                </c:pt>
                <c:pt idx="8">
                  <c:v>30515.911544386123</c:v>
                </c:pt>
                <c:pt idx="9">
                  <c:v>33429.346059407559</c:v>
                </c:pt>
                <c:pt idx="10">
                  <c:v>37327.767978157608</c:v>
                </c:pt>
                <c:pt idx="11">
                  <c:v>41024.793222183915</c:v>
                </c:pt>
                <c:pt idx="12">
                  <c:v>43919.917596299048</c:v>
                </c:pt>
                <c:pt idx="13">
                  <c:v>46491.654540306241</c:v>
                </c:pt>
                <c:pt idx="14">
                  <c:v>47940.075246375054</c:v>
                </c:pt>
                <c:pt idx="15">
                  <c:v>49436.359749346491</c:v>
                </c:pt>
                <c:pt idx="16">
                  <c:v>50231.768288657186</c:v>
                </c:pt>
                <c:pt idx="17">
                  <c:v>50386.830859456692</c:v>
                </c:pt>
                <c:pt idx="18">
                  <c:v>48252.287894543842</c:v>
                </c:pt>
                <c:pt idx="19">
                  <c:v>45527.571942278439</c:v>
                </c:pt>
                <c:pt idx="20">
                  <c:v>42342.30720908763</c:v>
                </c:pt>
                <c:pt idx="21">
                  <c:v>38994.084332146784</c:v>
                </c:pt>
                <c:pt idx="22">
                  <c:v>35474.566372821639</c:v>
                </c:pt>
                <c:pt idx="23">
                  <c:v>31774.989874697421</c:v>
                </c:pt>
                <c:pt idx="24">
                  <c:v>27886.143042929172</c:v>
                </c:pt>
                <c:pt idx="25">
                  <c:v>23798.342807247653</c:v>
                </c:pt>
                <c:pt idx="26">
                  <c:v>19501.410711508666</c:v>
                </c:pt>
                <c:pt idx="27">
                  <c:v>14984.647569751676</c:v>
                </c:pt>
                <c:pt idx="28">
                  <c:v>10236.806825662399</c:v>
                </c:pt>
                <c:pt idx="29">
                  <c:v>5246.0665491055115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872320"/>
        <c:axId val="120906880"/>
      </c:areaChart>
      <c:barChart>
        <c:barDir val="col"/>
        <c:grouping val="clustered"/>
        <c:varyColors val="0"/>
        <c:ser>
          <c:idx val="2"/>
          <c:order val="1"/>
          <c:tx>
            <c:strRef>
              <c:f>'1b GA Class B'!$B$45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'1b GA Class B'!$F$42:$X$42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'1b GA Class B'!$F$45:$AM$45</c:f>
              <c:numCache>
                <c:formatCode>0</c:formatCode>
                <c:ptCount val="34"/>
                <c:pt idx="0">
                  <c:v>9265.4950155683764</c:v>
                </c:pt>
                <c:pt idx="1">
                  <c:v>9070.4719017206899</c:v>
                </c:pt>
                <c:pt idx="2">
                  <c:v>8867.7750194466953</c:v>
                </c:pt>
                <c:pt idx="3">
                  <c:v>8381.7990048572246</c:v>
                </c:pt>
                <c:pt idx="4">
                  <c:v>7862.6914761843082</c:v>
                </c:pt>
                <c:pt idx="5">
                  <c:v>8019.9453057079945</c:v>
                </c:pt>
                <c:pt idx="6">
                  <c:v>8180.3442118221528</c:v>
                </c:pt>
                <c:pt idx="7">
                  <c:v>8343.9510960585958</c:v>
                </c:pt>
                <c:pt idx="8">
                  <c:v>8510.8301179797691</c:v>
                </c:pt>
                <c:pt idx="9">
                  <c:v>8681.0467203393637</c:v>
                </c:pt>
                <c:pt idx="10">
                  <c:v>8854.6676547461502</c:v>
                </c:pt>
                <c:pt idx="11">
                  <c:v>9031.7610078410744</c:v>
                </c:pt>
                <c:pt idx="12">
                  <c:v>9212.396227997895</c:v>
                </c:pt>
                <c:pt idx="13">
                  <c:v>9396.6441525578539</c:v>
                </c:pt>
                <c:pt idx="14">
                  <c:v>9584.5770356090088</c:v>
                </c:pt>
                <c:pt idx="15">
                  <c:v>9776.2685763211903</c:v>
                </c:pt>
                <c:pt idx="16">
                  <c:v>9971.7939478476146</c:v>
                </c:pt>
                <c:pt idx="17">
                  <c:v>10171.229826804567</c:v>
                </c:pt>
                <c:pt idx="18">
                  <c:v>10374.654423340657</c:v>
                </c:pt>
                <c:pt idx="19">
                  <c:v>10582.14751180747</c:v>
                </c:pt>
                <c:pt idx="20">
                  <c:v>10643.031418726601</c:v>
                </c:pt>
                <c:pt idx="21">
                  <c:v>10395.333359406435</c:v>
                </c:pt>
                <c:pt idx="22">
                  <c:v>10159.598528735936</c:v>
                </c:pt>
                <c:pt idx="23">
                  <c:v>9935.2491311517661</c:v>
                </c:pt>
                <c:pt idx="24">
                  <c:v>9721.7352772455779</c:v>
                </c:pt>
                <c:pt idx="25">
                  <c:v>9518.5336359629455</c:v>
                </c:pt>
                <c:pt idx="26">
                  <c:v>9325.1461518978722</c:v>
                </c:pt>
                <c:pt idx="27">
                  <c:v>9141.0988245389308</c:v>
                </c:pt>
                <c:pt idx="28">
                  <c:v>8965.9405464749198</c:v>
                </c:pt>
                <c:pt idx="29">
                  <c:v>8799.2419977124373</c:v>
                </c:pt>
                <c:pt idx="30">
                  <c:v>8640.5945933952789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872320"/>
        <c:axId val="120906880"/>
      </c:barChart>
      <c:lineChart>
        <c:grouping val="standard"/>
        <c:varyColors val="0"/>
        <c:ser>
          <c:idx val="0"/>
          <c:order val="0"/>
          <c:tx>
            <c:strRef>
              <c:f>'1b GA Class B'!$B$43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'1b GA Class B'!$F$42:$AK$42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'1b GA Class B'!$F$43:$X$43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'1b GA Class B'!$B$44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'1b GA Class B'!$F$42:$AK$42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'1b GA Class B'!$F$44:$AM$44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872320"/>
        <c:axId val="120906880"/>
      </c:lineChart>
      <c:catAx>
        <c:axId val="12087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0906880"/>
        <c:crosses val="autoZero"/>
        <c:auto val="1"/>
        <c:lblAlgn val="ctr"/>
        <c:lblOffset val="100"/>
        <c:noMultiLvlLbl val="0"/>
      </c:catAx>
      <c:valAx>
        <c:axId val="1209068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2087232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'1b GA Class B'!$B$51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'1b GA Class B'!$C$51:$AM$51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'1b GA Class B'!$B$52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'1b GA Class B'!$C$52:$AM$52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'1b GA Class B'!$B$53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'1b GA Class B'!$C$53:$AM$53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'1b GA Class B'!$B$54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'1b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'1b GA Class B'!$C$54:$AM$54</c:f>
              <c:numCache>
                <c:formatCode>0</c:formatCode>
                <c:ptCount val="37"/>
                <c:pt idx="3">
                  <c:v>139.76513261808913</c:v>
                </c:pt>
                <c:pt idx="4">
                  <c:v>142.79110298964929</c:v>
                </c:pt>
                <c:pt idx="5">
                  <c:v>145.87650006702137</c:v>
                </c:pt>
                <c:pt idx="6">
                  <c:v>148.37962368871541</c:v>
                </c:pt>
                <c:pt idx="7">
                  <c:v>151.89993780473961</c:v>
                </c:pt>
                <c:pt idx="8">
                  <c:v>157.8901290647986</c:v>
                </c:pt>
                <c:pt idx="9">
                  <c:v>166.73027651457991</c:v>
                </c:pt>
                <c:pt idx="10">
                  <c:v>164.18749459270569</c:v>
                </c:pt>
                <c:pt idx="11">
                  <c:v>178.82391227860654</c:v>
                </c:pt>
                <c:pt idx="12">
                  <c:v>178.54290745774284</c:v>
                </c:pt>
                <c:pt idx="13">
                  <c:v>182.51690030902043</c:v>
                </c:pt>
                <c:pt idx="14">
                  <c:v>185.8484827434182</c:v>
                </c:pt>
                <c:pt idx="15">
                  <c:v>191.92045338934284</c:v>
                </c:pt>
                <c:pt idx="16">
                  <c:v>197.50799291372513</c:v>
                </c:pt>
                <c:pt idx="17">
                  <c:v>209.14525453226219</c:v>
                </c:pt>
                <c:pt idx="18">
                  <c:v>211.613545851672</c:v>
                </c:pt>
                <c:pt idx="19">
                  <c:v>219.06380862516119</c:v>
                </c:pt>
                <c:pt idx="20">
                  <c:v>225.21626732499564</c:v>
                </c:pt>
                <c:pt idx="21">
                  <c:v>237.50232857658895</c:v>
                </c:pt>
                <c:pt idx="22">
                  <c:v>241.55479554437863</c:v>
                </c:pt>
                <c:pt idx="23">
                  <c:v>244.47675079810682</c:v>
                </c:pt>
                <c:pt idx="24">
                  <c:v>245.16943710441231</c:v>
                </c:pt>
                <c:pt idx="25">
                  <c:v>245.86629027224424</c:v>
                </c:pt>
                <c:pt idx="26">
                  <c:v>246.56732206386769</c:v>
                </c:pt>
                <c:pt idx="27">
                  <c:v>247.27254431256844</c:v>
                </c:pt>
                <c:pt idx="28">
                  <c:v>247.98196892285287</c:v>
                </c:pt>
                <c:pt idx="29">
                  <c:v>248.69560787064901</c:v>
                </c:pt>
                <c:pt idx="30">
                  <c:v>249.41347320350837</c:v>
                </c:pt>
                <c:pt idx="31">
                  <c:v>250.13557704080966</c:v>
                </c:pt>
                <c:pt idx="32">
                  <c:v>250.86193157396315</c:v>
                </c:pt>
                <c:pt idx="33">
                  <c:v>251.59254906661644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99296"/>
        <c:axId val="121037952"/>
      </c:lineChart>
      <c:catAx>
        <c:axId val="12099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037952"/>
        <c:crosses val="autoZero"/>
        <c:auto val="1"/>
        <c:lblAlgn val="ctr"/>
        <c:lblOffset val="100"/>
        <c:noMultiLvlLbl val="0"/>
      </c:catAx>
      <c:valAx>
        <c:axId val="121037952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w tax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209992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'1c GA All'!$B$46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'1c GA All'!$F$42:$X$42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'1c GA All'!$F$46:$AM$46</c:f>
              <c:numCache>
                <c:formatCode>0</c:formatCode>
                <c:ptCount val="34"/>
                <c:pt idx="0">
                  <c:v>3215.7666666666682</c:v>
                </c:pt>
                <c:pt idx="1">
                  <c:v>6521.4319560000004</c:v>
                </c:pt>
                <c:pt idx="2">
                  <c:v>9905.4435663841177</c:v>
                </c:pt>
                <c:pt idx="3">
                  <c:v>14715.193331967603</c:v>
                </c:pt>
                <c:pt idx="4">
                  <c:v>18855.368077376523</c:v>
                </c:pt>
                <c:pt idx="5">
                  <c:v>22843.173314715968</c:v>
                </c:pt>
                <c:pt idx="6">
                  <c:v>26487.357834327482</c:v>
                </c:pt>
                <c:pt idx="7">
                  <c:v>31041.965852152185</c:v>
                </c:pt>
                <c:pt idx="8">
                  <c:v>35064.46228021619</c:v>
                </c:pt>
                <c:pt idx="9">
                  <c:v>38631.601083895192</c:v>
                </c:pt>
                <c:pt idx="10">
                  <c:v>43219.910601499621</c:v>
                </c:pt>
                <c:pt idx="11">
                  <c:v>47644.79517837883</c:v>
                </c:pt>
                <c:pt idx="12">
                  <c:v>51307.626853606693</c:v>
                </c:pt>
                <c:pt idx="13">
                  <c:v>54688.88748009238</c:v>
                </c:pt>
                <c:pt idx="14">
                  <c:v>56990.713430307216</c:v>
                </c:pt>
                <c:pt idx="15">
                  <c:v>59386.451506068777</c:v>
                </c:pt>
                <c:pt idx="16">
                  <c:v>61129.635362801979</c:v>
                </c:pt>
                <c:pt idx="17">
                  <c:v>62283.18037817943</c:v>
                </c:pt>
                <c:pt idx="18">
                  <c:v>61200.329919723234</c:v>
                </c:pt>
                <c:pt idx="19">
                  <c:v>59583.142890141367</c:v>
                </c:pt>
                <c:pt idx="20">
                  <c:v>57413.240390011786</c:v>
                </c:pt>
                <c:pt idx="21">
                  <c:v>54670.577393802509</c:v>
                </c:pt>
                <c:pt idx="22">
                  <c:v>51333.386502150774</c:v>
                </c:pt>
                <c:pt idx="23">
                  <c:v>47378.117290804636</c:v>
                </c:pt>
                <c:pt idx="24">
                  <c:v>42779.37110204401</c:v>
                </c:pt>
                <c:pt idx="25">
                  <c:v>37509.831113022803</c:v>
                </c:pt>
                <c:pt idx="26">
                  <c:v>31540.187503684072</c:v>
                </c:pt>
                <c:pt idx="27">
                  <c:v>24839.057534665899</c:v>
                </c:pt>
                <c:pt idx="28">
                  <c:v>17372.900332907782</c:v>
                </c:pt>
                <c:pt idx="29">
                  <c:v>9105.9261694528741</c:v>
                </c:pt>
                <c:pt idx="30">
                  <c:v>1.8829814507625997E-7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103488"/>
        <c:axId val="121105024"/>
      </c:areaChart>
      <c:barChart>
        <c:barDir val="col"/>
        <c:grouping val="clustered"/>
        <c:varyColors val="0"/>
        <c:ser>
          <c:idx val="2"/>
          <c:order val="1"/>
          <c:tx>
            <c:strRef>
              <c:f>'1c GA All'!$B$45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'1c GA All'!$F$42:$X$42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'1c GA All'!$F$45:$AM$45</c:f>
              <c:numCache>
                <c:formatCode>0</c:formatCode>
                <c:ptCount val="34"/>
                <c:pt idx="0">
                  <c:v>8879.6030155683766</c:v>
                </c:pt>
                <c:pt idx="1">
                  <c:v>8693.5343017206906</c:v>
                </c:pt>
                <c:pt idx="2">
                  <c:v>8501.7300012648648</c:v>
                </c:pt>
                <c:pt idx="3">
                  <c:v>7865.4405321299573</c:v>
                </c:pt>
                <c:pt idx="4">
                  <c:v>7456.2100216388517</c:v>
                </c:pt>
                <c:pt idx="5">
                  <c:v>7610.4616555378707</c:v>
                </c:pt>
                <c:pt idx="6">
                  <c:v>7767.9043967811631</c:v>
                </c:pt>
                <c:pt idx="7">
                  <c:v>7928.6042619536174</c:v>
                </c:pt>
                <c:pt idx="8">
                  <c:v>8092.628633369628</c:v>
                </c:pt>
                <c:pt idx="9">
                  <c:v>8260.0462873268698</c:v>
                </c:pt>
                <c:pt idx="10">
                  <c:v>8430.9274229445637</c:v>
                </c:pt>
                <c:pt idx="11">
                  <c:v>8605.3436915983548</c:v>
                </c:pt>
                <c:pt idx="12">
                  <c:v>8783.3682269640976</c:v>
                </c:pt>
                <c:pt idx="13">
                  <c:v>8965.0756756832197</c:v>
                </c:pt>
                <c:pt idx="14">
                  <c:v>9150.5422286624398</c:v>
                </c:pt>
                <c:pt idx="15">
                  <c:v>9339.8456530210424</c:v>
                </c:pt>
                <c:pt idx="16">
                  <c:v>9533.065324699026</c:v>
                </c:pt>
                <c:pt idx="17">
                  <c:v>9730.2822617398742</c:v>
                </c:pt>
                <c:pt idx="18">
                  <c:v>9931.5791582618585</c:v>
                </c:pt>
                <c:pt idx="19">
                  <c:v>10137.040419132112</c:v>
                </c:pt>
                <c:pt idx="20">
                  <c:v>10346.752195358049</c:v>
                </c:pt>
                <c:pt idx="21">
                  <c:v>10560.80242021095</c:v>
                </c:pt>
                <c:pt idx="22">
                  <c:v>10779.280846096837</c:v>
                </c:pt>
                <c:pt idx="23">
                  <c:v>11002.279082190162</c:v>
                </c:pt>
                <c:pt idx="24">
                  <c:v>11229.890632846002</c:v>
                </c:pt>
                <c:pt idx="25">
                  <c:v>11462.210936806949</c:v>
                </c:pt>
                <c:pt idx="26">
                  <c:v>11699.337407221075</c:v>
                </c:pt>
                <c:pt idx="27">
                  <c:v>11941.369472487811</c:v>
                </c:pt>
                <c:pt idx="28">
                  <c:v>12188.408617948769</c:v>
                </c:pt>
                <c:pt idx="29">
                  <c:v>12440.558428441131</c:v>
                </c:pt>
                <c:pt idx="30">
                  <c:v>12697.92463173129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103488"/>
        <c:axId val="121105024"/>
      </c:barChart>
      <c:lineChart>
        <c:grouping val="standard"/>
        <c:varyColors val="0"/>
        <c:ser>
          <c:idx val="0"/>
          <c:order val="0"/>
          <c:tx>
            <c:strRef>
              <c:f>'1c GA All'!$B$43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'1c GA All'!$F$42:$AK$42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'1c GA All'!$F$43:$X$43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'1c GA All'!$B$44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'1c GA All'!$F$42:$AK$42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'1c GA All'!$F$44:$AM$44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103488"/>
        <c:axId val="121105024"/>
      </c:lineChart>
      <c:catAx>
        <c:axId val="12110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105024"/>
        <c:crosses val="autoZero"/>
        <c:auto val="1"/>
        <c:lblAlgn val="ctr"/>
        <c:lblOffset val="100"/>
        <c:noMultiLvlLbl val="0"/>
      </c:catAx>
      <c:valAx>
        <c:axId val="1211050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2110348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Summary!$B$51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Summary!$C$51:$AM$51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Summary!$B$52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Summary!$C$50:$AM$50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Summary!$C$52:$AM$52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Summary!$B$53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Summary!$C$50:$AM$50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Summary!$C$53:$AM$53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Summary!$B$54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Summary!$C$50:$AM$50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Summary!$C$54:$AM$54</c:f>
              <c:numCache>
                <c:formatCode>0</c:formatCode>
                <c:ptCount val="37"/>
                <c:pt idx="3">
                  <c:v>145.49988261808912</c:v>
                </c:pt>
                <c:pt idx="4">
                  <c:v>148.94542198964928</c:v>
                </c:pt>
                <c:pt idx="5">
                  <c:v>151.41646744702138</c:v>
                </c:pt>
                <c:pt idx="6">
                  <c:v>153.93366241631554</c:v>
                </c:pt>
                <c:pt idx="7">
                  <c:v>158.32373930689167</c:v>
                </c:pt>
                <c:pt idx="8">
                  <c:v>164.06963441460653</c:v>
                </c:pt>
                <c:pt idx="9">
                  <c:v>172.50682151606964</c:v>
                </c:pt>
                <c:pt idx="10">
                  <c:v>170.67333135823205</c:v>
                </c:pt>
                <c:pt idx="11">
                  <c:v>184.72006898927575</c:v>
                </c:pt>
                <c:pt idx="12">
                  <c:v>183.98015941301378</c:v>
                </c:pt>
                <c:pt idx="13">
                  <c:v>188.73033569296368</c:v>
                </c:pt>
                <c:pt idx="14">
                  <c:v>191.79786518389741</c:v>
                </c:pt>
                <c:pt idx="15">
                  <c:v>197.09201585228311</c:v>
                </c:pt>
                <c:pt idx="16">
                  <c:v>202.3233506587645</c:v>
                </c:pt>
                <c:pt idx="17">
                  <c:v>212.96291834382126</c:v>
                </c:pt>
                <c:pt idx="18">
                  <c:v>215.47394479562001</c:v>
                </c:pt>
                <c:pt idx="19">
                  <c:v>222.32565545674038</c:v>
                </c:pt>
                <c:pt idx="20">
                  <c:v>227.97148822063778</c:v>
                </c:pt>
                <c:pt idx="21">
                  <c:v>226.25367705302531</c:v>
                </c:pt>
                <c:pt idx="22">
                  <c:v>227.00791238690246</c:v>
                </c:pt>
                <c:pt idx="23">
                  <c:v>227.76600173515769</c:v>
                </c:pt>
                <c:pt idx="24">
                  <c:v>228.52795791879694</c:v>
                </c:pt>
                <c:pt idx="25">
                  <c:v>229.29379382447615</c:v>
                </c:pt>
                <c:pt idx="26">
                  <c:v>230.06352240471912</c:v>
                </c:pt>
                <c:pt idx="27">
                  <c:v>230.83715667813669</c:v>
                </c:pt>
                <c:pt idx="28">
                  <c:v>231.61470972964671</c:v>
                </c:pt>
                <c:pt idx="29">
                  <c:v>232.39619471069562</c:v>
                </c:pt>
                <c:pt idx="30">
                  <c:v>233.18162483948066</c:v>
                </c:pt>
                <c:pt idx="31">
                  <c:v>233.97101340117351</c:v>
                </c:pt>
                <c:pt idx="32">
                  <c:v>234.764373748145</c:v>
                </c:pt>
                <c:pt idx="33">
                  <c:v>235.56171930019099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97152"/>
        <c:axId val="126498688"/>
      </c:lineChart>
      <c:catAx>
        <c:axId val="12649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6498688"/>
        <c:crosses val="autoZero"/>
        <c:auto val="1"/>
        <c:lblAlgn val="ctr"/>
        <c:lblOffset val="100"/>
        <c:noMultiLvlLbl val="0"/>
      </c:catAx>
      <c:valAx>
        <c:axId val="126498688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Financing on Average Residential Bill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>
            <c:manualLayout>
              <c:xMode val="edge"/>
              <c:yMode val="edge"/>
              <c:x val="2.8755384565613929E-2"/>
              <c:y val="6.6733724832625824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1264971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'1c GA All'!$B$51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'1c GA All'!$C$51:$AM$51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'1c GA All'!$B$52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'1c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'1c GA All'!$C$52:$AM$52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'1c GA All'!$B$53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'1c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'1c GA All'!$C$53:$AM$53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'1c GA All'!$B$54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'1c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'1c GA All'!$C$54:$AM$54</c:f>
              <c:numCache>
                <c:formatCode>0</c:formatCode>
                <c:ptCount val="37"/>
                <c:pt idx="3">
                  <c:v>139.76513261808913</c:v>
                </c:pt>
                <c:pt idx="4">
                  <c:v>142.79110298964929</c:v>
                </c:pt>
                <c:pt idx="5">
                  <c:v>145.87650006702131</c:v>
                </c:pt>
                <c:pt idx="6">
                  <c:v>148.37962368871547</c:v>
                </c:pt>
                <c:pt idx="7">
                  <c:v>151.89993780473958</c:v>
                </c:pt>
                <c:pt idx="8">
                  <c:v>157.55019817302565</c:v>
                </c:pt>
                <c:pt idx="9">
                  <c:v>165.89051725014878</c:v>
                </c:pt>
                <c:pt idx="10">
                  <c:v>163.9589151727711</c:v>
                </c:pt>
                <c:pt idx="11">
                  <c:v>177.90628645735362</c:v>
                </c:pt>
                <c:pt idx="12">
                  <c:v>177.01670726674686</c:v>
                </c:pt>
                <c:pt idx="13">
                  <c:v>181.71401549910846</c:v>
                </c:pt>
                <c:pt idx="14">
                  <c:v>184.67835307363808</c:v>
                </c:pt>
                <c:pt idx="15">
                  <c:v>189.86801621342124</c:v>
                </c:pt>
                <c:pt idx="16">
                  <c:v>195.04481515196989</c:v>
                </c:pt>
                <c:pt idx="17">
                  <c:v>205.57802316589309</c:v>
                </c:pt>
                <c:pt idx="18">
                  <c:v>208.03340568034886</c:v>
                </c:pt>
                <c:pt idx="19">
                  <c:v>214.82893264320913</c:v>
                </c:pt>
                <c:pt idx="20">
                  <c:v>220.41804384945846</c:v>
                </c:pt>
                <c:pt idx="21">
                  <c:v>230.83052713988909</c:v>
                </c:pt>
                <c:pt idx="22">
                  <c:v>234.49683252807159</c:v>
                </c:pt>
                <c:pt idx="23">
                  <c:v>238.08817773450124</c:v>
                </c:pt>
                <c:pt idx="24">
                  <c:v>241.60981068286841</c:v>
                </c:pt>
                <c:pt idx="25">
                  <c:v>245.06672462830448</c:v>
                </c:pt>
                <c:pt idx="26">
                  <c:v>248.46367177281292</c:v>
                </c:pt>
                <c:pt idx="27">
                  <c:v>251.80517617446853</c:v>
                </c:pt>
                <c:pt idx="28">
                  <c:v>255.09554598736432</c:v>
                </c:pt>
                <c:pt idx="29">
                  <c:v>258.33888506735349</c:v>
                </c:pt>
                <c:pt idx="30">
                  <c:v>261.53910397680602</c:v>
                </c:pt>
                <c:pt idx="31">
                  <c:v>264.69993041986322</c:v>
                </c:pt>
                <c:pt idx="32">
                  <c:v>267.82491913803324</c:v>
                </c:pt>
                <c:pt idx="33">
                  <c:v>270.91746129440929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226368"/>
        <c:axId val="121227904"/>
      </c:lineChart>
      <c:catAx>
        <c:axId val="12122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227904"/>
        <c:crosses val="autoZero"/>
        <c:auto val="1"/>
        <c:lblAlgn val="ctr"/>
        <c:lblOffset val="100"/>
        <c:noMultiLvlLbl val="0"/>
      </c:catAx>
      <c:valAx>
        <c:axId val="121227904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w tax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212263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'2a GA RPP'!$B$46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'2a GA RPP'!$F$42:$X$42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'2a GA RPP'!$F$46:$AM$46</c:f>
              <c:numCache>
                <c:formatCode>0</c:formatCode>
                <c:ptCount val="34"/>
                <c:pt idx="0">
                  <c:v>2180.1448240000009</c:v>
                </c:pt>
                <c:pt idx="1">
                  <c:v>4450.2812865291735</c:v>
                </c:pt>
                <c:pt idx="2">
                  <c:v>6803.3602851480064</c:v>
                </c:pt>
                <c:pt idx="3">
                  <c:v>9875.0294240028488</c:v>
                </c:pt>
                <c:pt idx="4">
                  <c:v>12691.600980001504</c:v>
                </c:pt>
                <c:pt idx="5">
                  <c:v>15271.695314149125</c:v>
                </c:pt>
                <c:pt idx="6">
                  <c:v>17419.536497324254</c:v>
                </c:pt>
                <c:pt idx="7">
                  <c:v>20384.410300418767</c:v>
                </c:pt>
                <c:pt idx="8">
                  <c:v>22718.777508001338</c:v>
                </c:pt>
                <c:pt idx="9">
                  <c:v>24494.129707999826</c:v>
                </c:pt>
                <c:pt idx="10">
                  <c:v>27181.461401735927</c:v>
                </c:pt>
                <c:pt idx="11">
                  <c:v>29590.357753707056</c:v>
                </c:pt>
                <c:pt idx="12">
                  <c:v>31116.071684697359</c:v>
                </c:pt>
                <c:pt idx="13">
                  <c:v>32232.650652818302</c:v>
                </c:pt>
                <c:pt idx="14">
                  <c:v>32135.465236573546</c:v>
                </c:pt>
                <c:pt idx="15">
                  <c:v>31990.748098345262</c:v>
                </c:pt>
                <c:pt idx="16">
                  <c:v>31044.552596630492</c:v>
                </c:pt>
                <c:pt idx="17">
                  <c:v>29473.244784450864</c:v>
                </c:pt>
                <c:pt idx="18">
                  <c:v>27821.548864600125</c:v>
                </c:pt>
                <c:pt idx="19">
                  <c:v>26085.352181489827</c:v>
                </c:pt>
                <c:pt idx="20">
                  <c:v>24260.331676071604</c:v>
                </c:pt>
                <c:pt idx="21">
                  <c:v>22341.943121596181</c:v>
                </c:pt>
                <c:pt idx="22">
                  <c:v>20325.409808673801</c:v>
                </c:pt>
                <c:pt idx="23">
                  <c:v>18205.710651462308</c:v>
                </c:pt>
                <c:pt idx="24">
                  <c:v>15977.567685367876</c:v>
                </c:pt>
                <c:pt idx="25">
                  <c:v>13635.432925128052</c:v>
                </c:pt>
                <c:pt idx="26">
                  <c:v>11173.47455055436</c:v>
                </c:pt>
                <c:pt idx="27">
                  <c:v>8585.5623855374761</c:v>
                </c:pt>
                <c:pt idx="28">
                  <c:v>5865.2526341583298</c:v>
                </c:pt>
                <c:pt idx="29">
                  <c:v>3005.7718358986249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014912"/>
        <c:axId val="121057664"/>
      </c:areaChart>
      <c:barChart>
        <c:barDir val="col"/>
        <c:grouping val="clustered"/>
        <c:varyColors val="0"/>
        <c:ser>
          <c:idx val="2"/>
          <c:order val="1"/>
          <c:tx>
            <c:strRef>
              <c:f>'2a GA RPP'!$B$45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'2a GA RPP'!$F$42:$X$42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'2a GA RPP'!$F$45:$AM$45</c:f>
              <c:numCache>
                <c:formatCode>0</c:formatCode>
                <c:ptCount val="34"/>
                <c:pt idx="0">
                  <c:v>9915.2248582350439</c:v>
                </c:pt>
                <c:pt idx="1">
                  <c:v>9676.080715054024</c:v>
                </c:pt>
                <c:pt idx="2">
                  <c:v>9426.7025447800224</c:v>
                </c:pt>
                <c:pt idx="3">
                  <c:v>9444.8185781905613</c:v>
                </c:pt>
                <c:pt idx="4">
                  <c:v>8532.1904255176378</c:v>
                </c:pt>
                <c:pt idx="5">
                  <c:v>8702.8342340279905</c:v>
                </c:pt>
                <c:pt idx="6">
                  <c:v>8876.8909187085483</c:v>
                </c:pt>
                <c:pt idx="7">
                  <c:v>9054.4287370827205</c:v>
                </c:pt>
                <c:pt idx="8">
                  <c:v>9235.5173118243747</c:v>
                </c:pt>
                <c:pt idx="9">
                  <c:v>9420.2276580608632</c:v>
                </c:pt>
                <c:pt idx="10">
                  <c:v>9608.6322112220787</c:v>
                </c:pt>
                <c:pt idx="11">
                  <c:v>9800.8048554465222</c:v>
                </c:pt>
                <c:pt idx="12">
                  <c:v>9996.8209525554503</c:v>
                </c:pt>
                <c:pt idx="13">
                  <c:v>10196.757371606562</c:v>
                </c:pt>
                <c:pt idx="14">
                  <c:v>10400.69251903869</c:v>
                </c:pt>
                <c:pt idx="15">
                  <c:v>10608.706369419466</c:v>
                </c:pt>
                <c:pt idx="16">
                  <c:v>10820.880496807855</c:v>
                </c:pt>
                <c:pt idx="17">
                  <c:v>10915.98225497961</c:v>
                </c:pt>
                <c:pt idx="18">
                  <c:v>8821.8683146812436</c:v>
                </c:pt>
                <c:pt idx="19">
                  <c:v>8548.3916338804484</c:v>
                </c:pt>
                <c:pt idx="20">
                  <c:v>8288.1232279920714</c:v>
                </c:pt>
                <c:pt idx="21">
                  <c:v>8040.4251686719035</c:v>
                </c:pt>
                <c:pt idx="22">
                  <c:v>7804.6903380014064</c:v>
                </c:pt>
                <c:pt idx="23">
                  <c:v>7580.3409404172344</c:v>
                </c:pt>
                <c:pt idx="24">
                  <c:v>7366.8270865110462</c:v>
                </c:pt>
                <c:pt idx="25">
                  <c:v>7163.6254452284138</c:v>
                </c:pt>
                <c:pt idx="26">
                  <c:v>6970.2379611633405</c:v>
                </c:pt>
                <c:pt idx="27">
                  <c:v>6786.1906338043991</c:v>
                </c:pt>
                <c:pt idx="28">
                  <c:v>6611.0323557403881</c:v>
                </c:pt>
                <c:pt idx="29">
                  <c:v>6444.3338069779056</c:v>
                </c:pt>
                <c:pt idx="30">
                  <c:v>6285.6864026607473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014912"/>
        <c:axId val="121057664"/>
      </c:barChart>
      <c:lineChart>
        <c:grouping val="standard"/>
        <c:varyColors val="0"/>
        <c:ser>
          <c:idx val="0"/>
          <c:order val="0"/>
          <c:tx>
            <c:strRef>
              <c:f>'2a GA RPP'!$B$43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'2a GA RPP'!$F$42:$AK$42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'2a GA RPP'!$F$43:$X$43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'2a GA RPP'!$B$44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'2a GA RPP'!$F$42:$AK$42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'2a GA RPP'!$F$44:$AM$44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014912"/>
        <c:axId val="121057664"/>
      </c:lineChart>
      <c:catAx>
        <c:axId val="12101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057664"/>
        <c:crosses val="autoZero"/>
        <c:auto val="1"/>
        <c:lblAlgn val="ctr"/>
        <c:lblOffset val="100"/>
        <c:noMultiLvlLbl val="0"/>
      </c:catAx>
      <c:valAx>
        <c:axId val="1210576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2101491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'2a GA RPP'!$B$51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'2a GA RPP'!$C$51:$AM$51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'2a GA RPP'!$B$52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'2a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'2a GA RPP'!$C$52:$AM$52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'2a GA RPP'!$B$53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'2a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'2a GA RPP'!$C$53:$AM$53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'2a GA RPP'!$B$54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'2a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'2a GA RPP'!$C$54:$AM$54</c:f>
              <c:numCache>
                <c:formatCode>0</c:formatCode>
                <c:ptCount val="37"/>
                <c:pt idx="3">
                  <c:v>130.4878326180891</c:v>
                </c:pt>
                <c:pt idx="4">
                  <c:v>133.33300298964932</c:v>
                </c:pt>
                <c:pt idx="5">
                  <c:v>136.22630006702133</c:v>
                </c:pt>
                <c:pt idx="6">
                  <c:v>138.53732368871545</c:v>
                </c:pt>
                <c:pt idx="7">
                  <c:v>141.85423780473957</c:v>
                </c:pt>
                <c:pt idx="8">
                  <c:v>150.39827804784849</c:v>
                </c:pt>
                <c:pt idx="9">
                  <c:v>162.97976322568317</c:v>
                </c:pt>
                <c:pt idx="10">
                  <c:v>155.97411559647099</c:v>
                </c:pt>
                <c:pt idx="11">
                  <c:v>175.76256273670498</c:v>
                </c:pt>
                <c:pt idx="12">
                  <c:v>179.97611016406125</c:v>
                </c:pt>
                <c:pt idx="13">
                  <c:v>178.74752078624547</c:v>
                </c:pt>
                <c:pt idx="14">
                  <c:v>184.87338820938825</c:v>
                </c:pt>
                <c:pt idx="15">
                  <c:v>197.55320892035243</c:v>
                </c:pt>
                <c:pt idx="16">
                  <c:v>206.3373062460426</c:v>
                </c:pt>
                <c:pt idx="17">
                  <c:v>226.23575336926208</c:v>
                </c:pt>
                <c:pt idx="18">
                  <c:v>228.97339584110068</c:v>
                </c:pt>
                <c:pt idx="19">
                  <c:v>241.44188215702556</c:v>
                </c:pt>
                <c:pt idx="20">
                  <c:v>250.32281750976259</c:v>
                </c:pt>
                <c:pt idx="21">
                  <c:v>246.22507312300539</c:v>
                </c:pt>
                <c:pt idx="22">
                  <c:v>246.8965224518542</c:v>
                </c:pt>
                <c:pt idx="23">
                  <c:v>247.57216896200867</c:v>
                </c:pt>
                <c:pt idx="24">
                  <c:v>248.25202405196933</c:v>
                </c:pt>
                <c:pt idx="25">
                  <c:v>248.93609919178328</c:v>
                </c:pt>
                <c:pt idx="26">
                  <c:v>249.62440592323776</c:v>
                </c:pt>
                <c:pt idx="27">
                  <c:v>250.31695586005469</c:v>
                </c:pt>
                <c:pt idx="28">
                  <c:v>251.01376068808679</c:v>
                </c:pt>
                <c:pt idx="29">
                  <c:v>251.71483216551468</c:v>
                </c:pt>
                <c:pt idx="30">
                  <c:v>252.42018212304524</c:v>
                </c:pt>
                <c:pt idx="31">
                  <c:v>253.12982246411124</c:v>
                </c:pt>
                <c:pt idx="32">
                  <c:v>253.84376516507228</c:v>
                </c:pt>
                <c:pt idx="33">
                  <c:v>254.56202227541669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256576"/>
        <c:axId val="121303424"/>
      </c:lineChart>
      <c:catAx>
        <c:axId val="12125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303424"/>
        <c:crosses val="autoZero"/>
        <c:auto val="1"/>
        <c:lblAlgn val="ctr"/>
        <c:lblOffset val="100"/>
        <c:noMultiLvlLbl val="0"/>
      </c:catAx>
      <c:valAx>
        <c:axId val="121303424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Financing on Average Residential Bill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>
            <c:manualLayout>
              <c:xMode val="edge"/>
              <c:yMode val="edge"/>
              <c:x val="4.4557587196569472E-2"/>
              <c:y val="5.7843967967476088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1212565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'2b GA Class B'!$B$46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'2b GA Class B'!$F$42:$X$42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'2b GA Class B'!$F$46:$AM$46</c:f>
              <c:numCache>
                <c:formatCode>0</c:formatCode>
                <c:ptCount val="34"/>
                <c:pt idx="0">
                  <c:v>4113.4808000000003</c:v>
                </c:pt>
                <c:pt idx="1">
                  <c:v>8396.7571443946654</c:v>
                </c:pt>
                <c:pt idx="2">
                  <c:v>12836.528839901895</c:v>
                </c:pt>
                <c:pt idx="3">
                  <c:v>18632.130988684614</c:v>
                </c:pt>
                <c:pt idx="4">
                  <c:v>23946.416943399054</c:v>
                </c:pt>
                <c:pt idx="5">
                  <c:v>29092.125492808518</c:v>
                </c:pt>
                <c:pt idx="6">
                  <c:v>33872.169449947447</c:v>
                </c:pt>
                <c:pt idx="7">
                  <c:v>39534.232972199221</c:v>
                </c:pt>
                <c:pt idx="8">
                  <c:v>44628.861018296637</c:v>
                </c:pt>
                <c:pt idx="9">
                  <c:v>49225.289719463617</c:v>
                </c:pt>
                <c:pt idx="10">
                  <c:v>54791.891416561273</c:v>
                </c:pt>
                <c:pt idx="11">
                  <c:v>60135.233584977002</c:v>
                </c:pt>
                <c:pt idx="12">
                  <c:v>64647.125247714503</c:v>
                </c:pt>
                <c:pt idx="13">
                  <c:v>68797.711112396573</c:v>
                </c:pt>
                <c:pt idx="14">
                  <c:v>71777.965431310135</c:v>
                </c:pt>
                <c:pt idx="15">
                  <c:v>74749.194041519018</c:v>
                </c:pt>
                <c:pt idx="16">
                  <c:v>76951.953725249434</c:v>
                </c:pt>
                <c:pt idx="17">
                  <c:v>78435.186640965461</c:v>
                </c:pt>
                <c:pt idx="18">
                  <c:v>77537.102590468203</c:v>
                </c:pt>
                <c:pt idx="19">
                  <c:v>75943.598801258733</c:v>
                </c:pt>
                <c:pt idx="20">
                  <c:v>73618.934853413084</c:v>
                </c:pt>
                <c:pt idx="21">
                  <c:v>70524.428425183665</c:v>
                </c:pt>
                <c:pt idx="22">
                  <c:v>66618.318686460974</c:v>
                </c:pt>
                <c:pt idx="23">
                  <c:v>61855.620614055362</c:v>
                </c:pt>
                <c:pt idx="24">
                  <c:v>56187.969814845746</c:v>
                </c:pt>
                <c:pt idx="25">
                  <c:v>49563.457417432495</c:v>
                </c:pt>
                <c:pt idx="26">
                  <c:v>41926.454566363114</c:v>
                </c:pt>
                <c:pt idx="27">
                  <c:v>33217.426025202731</c:v>
                </c:pt>
                <c:pt idx="28">
                  <c:v>23372.732365625699</c:v>
                </c:pt>
                <c:pt idx="29">
                  <c:v>12324.420189234856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373440"/>
        <c:axId val="121374976"/>
      </c:areaChart>
      <c:barChart>
        <c:barDir val="col"/>
        <c:grouping val="clustered"/>
        <c:varyColors val="0"/>
        <c:ser>
          <c:idx val="2"/>
          <c:order val="1"/>
          <c:tx>
            <c:strRef>
              <c:f>'2b GA Class B'!$B$45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'2b GA Class B'!$F$42:$X$42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'2b GA Class B'!$F$45:$AM$45</c:f>
              <c:numCache>
                <c:formatCode>0</c:formatCode>
                <c:ptCount val="34"/>
                <c:pt idx="0">
                  <c:v>7981.8888822350445</c:v>
                </c:pt>
                <c:pt idx="1">
                  <c:v>7761.8503017206913</c:v>
                </c:pt>
                <c:pt idx="2">
                  <c:v>7541.9115527800241</c:v>
                </c:pt>
                <c:pt idx="3">
                  <c:v>7029.542471523896</c:v>
                </c:pt>
                <c:pt idx="4">
                  <c:v>6482.4893428509704</c:v>
                </c:pt>
                <c:pt idx="5">
                  <c:v>6713.0164034535683</c:v>
                </c:pt>
                <c:pt idx="6">
                  <c:v>6951.7413526849641</c:v>
                </c:pt>
                <c:pt idx="7">
                  <c:v>7198.9557197816621</c:v>
                </c:pt>
                <c:pt idx="8">
                  <c:v>7454.9614011978165</c:v>
                </c:pt>
                <c:pt idx="9">
                  <c:v>7720.0710292790773</c:v>
                </c:pt>
                <c:pt idx="10">
                  <c:v>7994.6083540470145</c:v>
                </c:pt>
                <c:pt idx="11">
                  <c:v>8278.908638560386</c:v>
                </c:pt>
                <c:pt idx="12">
                  <c:v>8573.3190683360299</c:v>
                </c:pt>
                <c:pt idx="13">
                  <c:v>8878.1991753293878</c:v>
                </c:pt>
                <c:pt idx="14">
                  <c:v>9193.9212769924125</c:v>
                </c:pt>
                <c:pt idx="15">
                  <c:v>9520.8709309450442</c:v>
                </c:pt>
                <c:pt idx="16">
                  <c:v>9859.4474058154556</c:v>
                </c:pt>
                <c:pt idx="17">
                  <c:v>10210.064168824112</c:v>
                </c:pt>
                <c:pt idx="18">
                  <c:v>10573.149390707065</c:v>
                </c:pt>
                <c:pt idx="19">
                  <c:v>10949.146468595032</c:v>
                </c:pt>
                <c:pt idx="20">
                  <c:v>11338.514567486876</c:v>
                </c:pt>
                <c:pt idx="21">
                  <c:v>11741.729180978695</c:v>
                </c:pt>
                <c:pt idx="22">
                  <c:v>12159.282711933256</c:v>
                </c:pt>
                <c:pt idx="23">
                  <c:v>12591.68507379895</c:v>
                </c:pt>
                <c:pt idx="24">
                  <c:v>13039.464313312496</c:v>
                </c:pt>
                <c:pt idx="25">
                  <c:v>13503.167255345934</c:v>
                </c:pt>
                <c:pt idx="26">
                  <c:v>13983.360170685322</c:v>
                </c:pt>
                <c:pt idx="27">
                  <c:v>14480.629467556677</c:v>
                </c:pt>
                <c:pt idx="28">
                  <c:v>14995.58240774355</c:v>
                </c:pt>
                <c:pt idx="29">
                  <c:v>15528.847848170917</c:v>
                </c:pt>
                <c:pt idx="30">
                  <c:v>16081.077008860811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373440"/>
        <c:axId val="121374976"/>
      </c:barChart>
      <c:lineChart>
        <c:grouping val="standard"/>
        <c:varyColors val="0"/>
        <c:ser>
          <c:idx val="0"/>
          <c:order val="0"/>
          <c:tx>
            <c:strRef>
              <c:f>'2b GA Class B'!$B$43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'2b GA Class B'!$F$42:$AK$42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'2b GA Class B'!$F$43:$X$43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'2b GA Class B'!$B$44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'2b GA Class B'!$F$42:$AK$42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'2b GA Class B'!$F$44:$AM$44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373440"/>
        <c:axId val="121374976"/>
      </c:lineChart>
      <c:catAx>
        <c:axId val="12137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374976"/>
        <c:crosses val="autoZero"/>
        <c:auto val="1"/>
        <c:lblAlgn val="ctr"/>
        <c:lblOffset val="100"/>
        <c:noMultiLvlLbl val="0"/>
      </c:catAx>
      <c:valAx>
        <c:axId val="1213749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213734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'2b GA Class B'!$B$51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'2b GA Class B'!$C$51:$AM$51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'2b GA Class B'!$B$52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'2b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'2b GA Class B'!$C$52:$AM$52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'2b GA Class B'!$B$53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'2b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'2b GA Class B'!$C$53:$AM$53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'2b GA Class B'!$B$54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'2b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'2b GA Class B'!$C$54:$AM$54</c:f>
              <c:numCache>
                <c:formatCode>0</c:formatCode>
                <c:ptCount val="37"/>
                <c:pt idx="3">
                  <c:v>130.48783261808913</c:v>
                </c:pt>
                <c:pt idx="4">
                  <c:v>133.33300298964929</c:v>
                </c:pt>
                <c:pt idx="5">
                  <c:v>136.22630006702136</c:v>
                </c:pt>
                <c:pt idx="6">
                  <c:v>138.53732368871545</c:v>
                </c:pt>
                <c:pt idx="7">
                  <c:v>141.85423780473957</c:v>
                </c:pt>
                <c:pt idx="8">
                  <c:v>148.37774290316491</c:v>
                </c:pt>
                <c:pt idx="9">
                  <c:v>157.7879807131477</c:v>
                </c:pt>
                <c:pt idx="10">
                  <c:v>155.85372972329054</c:v>
                </c:pt>
                <c:pt idx="11">
                  <c:v>171.13884926355411</c:v>
                </c:pt>
                <c:pt idx="12">
                  <c:v>171.49891076016809</c:v>
                </c:pt>
                <c:pt idx="13">
                  <c:v>176.25702176777588</c:v>
                </c:pt>
                <c:pt idx="14">
                  <c:v>180.36890198967907</c:v>
                </c:pt>
                <c:pt idx="15">
                  <c:v>187.26897715425667</c:v>
                </c:pt>
                <c:pt idx="16">
                  <c:v>193.76091702935599</c:v>
                </c:pt>
                <c:pt idx="17">
                  <c:v>206.3217788762195</c:v>
                </c:pt>
                <c:pt idx="18">
                  <c:v>209.78047078005713</c:v>
                </c:pt>
                <c:pt idx="19">
                  <c:v>218.263020615302</c:v>
                </c:pt>
                <c:pt idx="20">
                  <c:v>225.49117631982995</c:v>
                </c:pt>
                <c:pt idx="21">
                  <c:v>238.88848946026587</c:v>
                </c:pt>
                <c:pt idx="22">
                  <c:v>244.10705591586284</c:v>
                </c:pt>
                <c:pt idx="23">
                  <c:v>249.29337504657255</c:v>
                </c:pt>
                <c:pt idx="24">
                  <c:v>254.45535671621423</c:v>
                </c:pt>
                <c:pt idx="25">
                  <c:v>259.60068688327181</c:v>
                </c:pt>
                <c:pt idx="26">
                  <c:v>264.73684519636328</c:v>
                </c:pt>
                <c:pt idx="27">
                  <c:v>269.87112185481089</c:v>
                </c:pt>
                <c:pt idx="28">
                  <c:v>275.01063377846918</c:v>
                </c:pt>
                <c:pt idx="29">
                  <c:v>280.16234012884058</c:v>
                </c:pt>
                <c:pt idx="30">
                  <c:v>285.33305722149885</c:v>
                </c:pt>
                <c:pt idx="31">
                  <c:v>290.52947286794097</c:v>
                </c:pt>
                <c:pt idx="32">
                  <c:v>295.75816018319586</c:v>
                </c:pt>
                <c:pt idx="33">
                  <c:v>301.02559089382072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14400"/>
        <c:axId val="121415936"/>
      </c:lineChart>
      <c:catAx>
        <c:axId val="12141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415936"/>
        <c:crosses val="autoZero"/>
        <c:auto val="1"/>
        <c:lblAlgn val="ctr"/>
        <c:lblOffset val="100"/>
        <c:noMultiLvlLbl val="0"/>
      </c:catAx>
      <c:valAx>
        <c:axId val="121415936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Financing on Average Residential Bill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>
            <c:manualLayout>
              <c:xMode val="edge"/>
              <c:yMode val="edge"/>
              <c:x val="4.4557587196569472E-2"/>
              <c:y val="5.7843967967476088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1214144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'4a GA RPP'!$B$46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'4a GA RPP'!$F$42:$X$42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'4a GA RPP'!$F$46:$AM$46</c:f>
              <c:numCache>
                <c:formatCode>0</c:formatCode>
                <c:ptCount val="34"/>
                <c:pt idx="0">
                  <c:v>2587.8343919999988</c:v>
                </c:pt>
                <c:pt idx="1">
                  <c:v>5295.6328314947186</c:v>
                </c:pt>
                <c:pt idx="2">
                  <c:v>8114.0783031539904</c:v>
                </c:pt>
                <c:pt idx="3">
                  <c:v>11683.150490476681</c:v>
                </c:pt>
                <c:pt idx="4">
                  <c:v>15030.800661569467</c:v>
                </c:pt>
                <c:pt idx="5">
                  <c:v>18177.915095586104</c:v>
                </c:pt>
                <c:pt idx="6">
                  <c:v>20930.732059822745</c:v>
                </c:pt>
                <c:pt idx="7">
                  <c:v>24540.658076478743</c:v>
                </c:pt>
                <c:pt idx="8">
                  <c:v>27562.386757840286</c:v>
                </c:pt>
                <c:pt idx="9">
                  <c:v>30069.760401367392</c:v>
                </c:pt>
                <c:pt idx="10">
                  <c:v>33536.248203569172</c:v>
                </c:pt>
                <c:pt idx="11">
                  <c:v>36774.040427358945</c:v>
                </c:pt>
                <c:pt idx="12">
                  <c:v>39181.13224255087</c:v>
                </c:pt>
                <c:pt idx="13">
                  <c:v>41234.457601001544</c:v>
                </c:pt>
                <c:pt idx="14">
                  <c:v>42132.425278259587</c:v>
                </c:pt>
                <c:pt idx="15">
                  <c:v>43044.465678798384</c:v>
                </c:pt>
                <c:pt idx="16">
                  <c:v>43219.997692794706</c:v>
                </c:pt>
                <c:pt idx="17">
                  <c:v>42717.613510751449</c:v>
                </c:pt>
                <c:pt idx="18">
                  <c:v>40323.696300160096</c:v>
                </c:pt>
                <c:pt idx="19">
                  <c:v>37807.30628507489</c:v>
                </c:pt>
                <c:pt idx="20">
                  <c:v>35162.177756817924</c:v>
                </c:pt>
                <c:pt idx="21">
                  <c:v>32381.724453055336</c:v>
                </c:pt>
                <c:pt idx="22">
                  <c:v>29459.023158272248</c:v>
                </c:pt>
                <c:pt idx="23">
                  <c:v>26386.796465248059</c:v>
                </c:pt>
                <c:pt idx="24">
                  <c:v>23157.394654608754</c:v>
                </c:pt>
                <c:pt idx="25">
                  <c:v>19762.776647337141</c:v>
                </c:pt>
                <c:pt idx="26">
                  <c:v>16194.489982813513</c:v>
                </c:pt>
                <c:pt idx="27">
                  <c:v>12443.649772532855</c:v>
                </c:pt>
                <c:pt idx="28">
                  <c:v>8500.9165770942382</c:v>
                </c:pt>
                <c:pt idx="29">
                  <c:v>4356.4731513769802</c:v>
                </c:pt>
                <c:pt idx="30">
                  <c:v>2.7284841053187847E-11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325824"/>
        <c:axId val="121434112"/>
      </c:areaChart>
      <c:barChart>
        <c:barDir val="col"/>
        <c:grouping val="clustered"/>
        <c:varyColors val="0"/>
        <c:ser>
          <c:idx val="2"/>
          <c:order val="1"/>
          <c:tx>
            <c:strRef>
              <c:f>'4a GA RPP'!$B$45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'4a GA RPP'!$F$42:$X$42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'4a GA RPP'!$F$45:$AM$45</c:f>
              <c:numCache>
                <c:formatCode>0</c:formatCode>
                <c:ptCount val="34"/>
                <c:pt idx="0">
                  <c:v>9507.535290235046</c:v>
                </c:pt>
                <c:pt idx="1">
                  <c:v>9259.276136387356</c:v>
                </c:pt>
                <c:pt idx="2">
                  <c:v>9004.584256780021</c:v>
                </c:pt>
                <c:pt idx="3">
                  <c:v>9014.4718635238987</c:v>
                </c:pt>
                <c:pt idx="4">
                  <c:v>8093.6152841843068</c:v>
                </c:pt>
                <c:pt idx="5">
                  <c:v>8255.4875898679929</c:v>
                </c:pt>
                <c:pt idx="6">
                  <c:v>8420.5973416653524</c:v>
                </c:pt>
                <c:pt idx="7">
                  <c:v>8589.0092884986589</c:v>
                </c:pt>
                <c:pt idx="8">
                  <c:v>8760.7894742686331</c:v>
                </c:pt>
                <c:pt idx="9">
                  <c:v>8936.0052637540066</c:v>
                </c:pt>
                <c:pt idx="10">
                  <c:v>9114.7253690290836</c:v>
                </c:pt>
                <c:pt idx="11">
                  <c:v>9297.0198764096676</c:v>
                </c:pt>
                <c:pt idx="12">
                  <c:v>9482.9602739378606</c:v>
                </c:pt>
                <c:pt idx="13">
                  <c:v>9672.6194794166186</c:v>
                </c:pt>
                <c:pt idx="14">
                  <c:v>9866.0718690049489</c:v>
                </c:pt>
                <c:pt idx="15">
                  <c:v>10063.393306385049</c:v>
                </c:pt>
                <c:pt idx="16">
                  <c:v>10264.661172512751</c:v>
                </c:pt>
                <c:pt idx="17">
                  <c:v>10469.954395963005</c:v>
                </c:pt>
                <c:pt idx="18">
                  <c:v>10241.671509459398</c:v>
                </c:pt>
                <c:pt idx="19">
                  <c:v>9968.1948286586048</c:v>
                </c:pt>
                <c:pt idx="20">
                  <c:v>9707.9264227702261</c:v>
                </c:pt>
                <c:pt idx="21">
                  <c:v>9460.2283634500582</c:v>
                </c:pt>
                <c:pt idx="22">
                  <c:v>9224.4935327795611</c:v>
                </c:pt>
                <c:pt idx="23">
                  <c:v>9000.144135195389</c:v>
                </c:pt>
                <c:pt idx="24">
                  <c:v>8786.6302812892009</c:v>
                </c:pt>
                <c:pt idx="25">
                  <c:v>8583.4286400065685</c:v>
                </c:pt>
                <c:pt idx="26">
                  <c:v>8390.0411559414952</c:v>
                </c:pt>
                <c:pt idx="27">
                  <c:v>8205.9938285825556</c:v>
                </c:pt>
                <c:pt idx="28">
                  <c:v>8030.8355505185436</c:v>
                </c:pt>
                <c:pt idx="29">
                  <c:v>7864.1370017560603</c:v>
                </c:pt>
                <c:pt idx="30">
                  <c:v>7705.4895974389028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325824"/>
        <c:axId val="121434112"/>
      </c:barChart>
      <c:lineChart>
        <c:grouping val="standard"/>
        <c:varyColors val="0"/>
        <c:ser>
          <c:idx val="0"/>
          <c:order val="0"/>
          <c:tx>
            <c:strRef>
              <c:f>'4a GA RPP'!$B$43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'4a GA RPP'!$F$42:$AK$42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'4a GA RPP'!$F$43:$X$43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'4a GA RPP'!$B$44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'4a GA RPP'!$F$42:$AK$42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'4a GA RPP'!$F$44:$AM$44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325824"/>
        <c:axId val="121434112"/>
      </c:lineChart>
      <c:catAx>
        <c:axId val="121325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434112"/>
        <c:crosses val="autoZero"/>
        <c:auto val="1"/>
        <c:lblAlgn val="ctr"/>
        <c:lblOffset val="100"/>
        <c:noMultiLvlLbl val="0"/>
      </c:catAx>
      <c:valAx>
        <c:axId val="1214341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213258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'4a GA RPP'!$B$51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'4a GA RPP'!$C$51:$AM$51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'4a GA RPP'!$B$52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'4a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'4a GA RPP'!$C$52:$AM$52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'4a GA RPP'!$B$53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'4a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'4a GA RPP'!$C$53:$AM$53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'4a GA RPP'!$B$54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'4a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'4a GA RPP'!$C$54:$AM$54</c:f>
              <c:numCache>
                <c:formatCode>0</c:formatCode>
                <c:ptCount val="37"/>
                <c:pt idx="3">
                  <c:v>124.92823261808914</c:v>
                </c:pt>
                <c:pt idx="4">
                  <c:v>127.64910298964928</c:v>
                </c:pt>
                <c:pt idx="5">
                  <c:v>130.42940006702133</c:v>
                </c:pt>
                <c:pt idx="6">
                  <c:v>132.62742368871548</c:v>
                </c:pt>
                <c:pt idx="7">
                  <c:v>135.8313378047396</c:v>
                </c:pt>
                <c:pt idx="8">
                  <c:v>144.25492004784854</c:v>
                </c:pt>
                <c:pt idx="9">
                  <c:v>156.71353806568322</c:v>
                </c:pt>
                <c:pt idx="10">
                  <c:v>149.58256593327101</c:v>
                </c:pt>
                <c:pt idx="11">
                  <c:v>169.24318208024101</c:v>
                </c:pt>
                <c:pt idx="12">
                  <c:v>173.27918041737871</c:v>
                </c:pt>
                <c:pt idx="13">
                  <c:v>171.96475715126036</c:v>
                </c:pt>
                <c:pt idx="14">
                  <c:v>177.95496930170344</c:v>
                </c:pt>
                <c:pt idx="15">
                  <c:v>190.49642163451395</c:v>
                </c:pt>
                <c:pt idx="16">
                  <c:v>199.18971834058212</c:v>
                </c:pt>
                <c:pt idx="17">
                  <c:v>218.9452137056924</c:v>
                </c:pt>
                <c:pt idx="18">
                  <c:v>221.58868670687656</c:v>
                </c:pt>
                <c:pt idx="19">
                  <c:v>233.96142644919908</c:v>
                </c:pt>
                <c:pt idx="20">
                  <c:v>244.36538522252991</c:v>
                </c:pt>
                <c:pt idx="21">
                  <c:v>264.93260175409341</c:v>
                </c:pt>
                <c:pt idx="22">
                  <c:v>265.52650409754904</c:v>
                </c:pt>
                <c:pt idx="23">
                  <c:v>266.12492507230309</c:v>
                </c:pt>
                <c:pt idx="24">
                  <c:v>266.72787474437234</c:v>
                </c:pt>
                <c:pt idx="25">
                  <c:v>267.33536325684366</c:v>
                </c:pt>
                <c:pt idx="26">
                  <c:v>267.9474008300445</c:v>
                </c:pt>
                <c:pt idx="27">
                  <c:v>268.5639977617148</c:v>
                </c:pt>
                <c:pt idx="28">
                  <c:v>269.18516442718033</c:v>
                </c:pt>
                <c:pt idx="29">
                  <c:v>269.81091127952715</c:v>
                </c:pt>
                <c:pt idx="30">
                  <c:v>270.44124884977759</c:v>
                </c:pt>
                <c:pt idx="31">
                  <c:v>271.07618774706737</c:v>
                </c:pt>
                <c:pt idx="32">
                  <c:v>271.71573865882402</c:v>
                </c:pt>
                <c:pt idx="33">
                  <c:v>272.35991235094696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501952"/>
        <c:axId val="121503744"/>
      </c:lineChart>
      <c:catAx>
        <c:axId val="12150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503744"/>
        <c:crosses val="autoZero"/>
        <c:auto val="1"/>
        <c:lblAlgn val="ctr"/>
        <c:lblOffset val="100"/>
        <c:noMultiLvlLbl val="0"/>
      </c:catAx>
      <c:valAx>
        <c:axId val="121503744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Financing on Average Residential Bill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>
            <c:manualLayout>
              <c:xMode val="edge"/>
              <c:yMode val="edge"/>
              <c:x val="1.769385058343681E-2"/>
              <c:y val="7.1178603265200702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1215019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'4b GA Class B'!$B$46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'4b GA Class B'!$F$42:$X$42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'4b GA Class B'!$F$46:$AM$46</c:f>
              <c:numCache>
                <c:formatCode>0</c:formatCode>
                <c:ptCount val="34"/>
                <c:pt idx="0">
                  <c:v>4882.7063999999982</c:v>
                </c:pt>
                <c:pt idx="1">
                  <c:v>9991.7600594240012</c:v>
                </c:pt>
                <c:pt idx="2">
                  <c:v>15309.581704064134</c:v>
                </c:pt>
                <c:pt idx="3">
                  <c:v>22043.680170710722</c:v>
                </c:pt>
                <c:pt idx="4">
                  <c:v>28360.001248244283</c:v>
                </c:pt>
                <c:pt idx="5">
                  <c:v>34512.437623161553</c:v>
                </c:pt>
                <c:pt idx="6">
                  <c:v>40298.762054034261</c:v>
                </c:pt>
                <c:pt idx="7">
                  <c:v>46960.881875138533</c:v>
                </c:pt>
                <c:pt idx="8">
                  <c:v>53042.873641815313</c:v>
                </c:pt>
                <c:pt idx="9">
                  <c:v>58606.754656972334</c:v>
                </c:pt>
                <c:pt idx="10">
                  <c:v>65112.864859093948</c:v>
                </c:pt>
                <c:pt idx="11">
                  <c:v>71358.8580047414</c:v>
                </c:pt>
                <c:pt idx="12">
                  <c:v>76726.675438931736</c:v>
                </c:pt>
                <c:pt idx="13">
                  <c:v>81675.562362606986</c:v>
                </c:pt>
                <c:pt idx="14">
                  <c:v>85384.478249209118</c:v>
                </c:pt>
                <c:pt idx="15">
                  <c:v>89001.509498405561</c:v>
                </c:pt>
                <c:pt idx="16">
                  <c:v>91752.693074995434</c:v>
                </c:pt>
                <c:pt idx="17">
                  <c:v>93671.048466639491</c:v>
                </c:pt>
                <c:pt idx="18">
                  <c:v>93077.350282884698</c:v>
                </c:pt>
                <c:pt idx="19">
                  <c:v>91638.430704196886</c:v>
                </c:pt>
                <c:pt idx="20">
                  <c:v>89297.728910389254</c:v>
                </c:pt>
                <c:pt idx="21">
                  <c:v>85993.852631700604</c:v>
                </c:pt>
                <c:pt idx="22">
                  <c:v>81660.298087725256</c:v>
                </c:pt>
                <c:pt idx="23">
                  <c:v>76225.150989270696</c:v>
                </c:pt>
                <c:pt idx="24">
                  <c:v>69610.76755325761</c:v>
                </c:pt>
                <c:pt idx="25">
                  <c:v>61733.434416099873</c:v>
                </c:pt>
                <c:pt idx="26">
                  <c:v>52503.006262816067</c:v>
                </c:pt>
                <c:pt idx="27">
                  <c:v>41822.519917224723</c:v>
                </c:pt>
                <c:pt idx="28">
                  <c:v>29587.783562745037</c:v>
                </c:pt>
                <c:pt idx="29">
                  <c:v>15686.939683335559</c:v>
                </c:pt>
                <c:pt idx="30">
                  <c:v>2.2971507496549748E-4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597952"/>
        <c:axId val="121599488"/>
      </c:areaChart>
      <c:barChart>
        <c:barDir val="col"/>
        <c:grouping val="clustered"/>
        <c:varyColors val="0"/>
        <c:ser>
          <c:idx val="2"/>
          <c:order val="1"/>
          <c:tx>
            <c:strRef>
              <c:f>'4b GA Class B'!$B$45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'4b GA Class B'!$F$42:$X$42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'4b GA Class B'!$F$45:$AM$45</c:f>
              <c:numCache>
                <c:formatCode>0</c:formatCode>
                <c:ptCount val="34"/>
                <c:pt idx="0">
                  <c:v>7212.6632822350466</c:v>
                </c:pt>
                <c:pt idx="1">
                  <c:v>6975.4265683873537</c:v>
                </c:pt>
                <c:pt idx="2">
                  <c:v>6745.4619527800232</c:v>
                </c:pt>
                <c:pt idx="3">
                  <c:v>6217.5675381905648</c:v>
                </c:pt>
                <c:pt idx="4">
                  <c:v>5654.9890761843071</c:v>
                </c:pt>
                <c:pt idx="5">
                  <c:v>5932.0875509816469</c:v>
                </c:pt>
                <c:pt idx="6">
                  <c:v>6222.7640475400494</c:v>
                </c:pt>
                <c:pt idx="7">
                  <c:v>6527.6838985542536</c:v>
                </c:pt>
                <c:pt idx="8">
                  <c:v>6847.5450384928354</c:v>
                </c:pt>
                <c:pt idx="9">
                  <c:v>7183.0796011082512</c:v>
                </c:pt>
                <c:pt idx="10">
                  <c:v>7535.0555952259983</c:v>
                </c:pt>
                <c:pt idx="11">
                  <c:v>7904.2786626486395</c:v>
                </c:pt>
                <c:pt idx="12">
                  <c:v>8291.5939221983481</c:v>
                </c:pt>
                <c:pt idx="13">
                  <c:v>8697.8879041188848</c:v>
                </c:pt>
                <c:pt idx="14">
                  <c:v>9124.0905792646008</c:v>
                </c:pt>
                <c:pt idx="15">
                  <c:v>9571.1774877211883</c:v>
                </c:pt>
                <c:pt idx="16">
                  <c:v>10040.171971730293</c:v>
                </c:pt>
                <c:pt idx="17">
                  <c:v>10532.147518029082</c:v>
                </c:pt>
                <c:pt idx="18">
                  <c:v>11048.230214966077</c:v>
                </c:pt>
                <c:pt idx="19">
                  <c:v>11589.601330017409</c:v>
                </c:pt>
                <c:pt idx="20">
                  <c:v>12157.50001360319</c:v>
                </c:pt>
                <c:pt idx="21">
                  <c:v>12753.226135392835</c:v>
                </c:pt>
                <c:pt idx="22">
                  <c:v>13378.143259591316</c:v>
                </c:pt>
                <c:pt idx="23">
                  <c:v>14033.681766016585</c:v>
                </c:pt>
                <c:pt idx="24">
                  <c:v>14721.342124111978</c:v>
                </c:pt>
                <c:pt idx="25">
                  <c:v>15442.69832738757</c:v>
                </c:pt>
                <c:pt idx="26">
                  <c:v>16199.401496151577</c:v>
                </c:pt>
                <c:pt idx="27">
                  <c:v>16993.183656778172</c:v>
                </c:pt>
                <c:pt idx="28">
                  <c:v>17825.861706162053</c:v>
                </c:pt>
                <c:pt idx="29">
                  <c:v>18699.341570434179</c:v>
                </c:pt>
                <c:pt idx="30">
                  <c:v>19615.622567457438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597952"/>
        <c:axId val="121599488"/>
      </c:barChart>
      <c:lineChart>
        <c:grouping val="standard"/>
        <c:varyColors val="0"/>
        <c:ser>
          <c:idx val="0"/>
          <c:order val="0"/>
          <c:tx>
            <c:strRef>
              <c:f>'4b GA Class B'!$B$43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'4b GA Class B'!$F$42:$AK$42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'4b GA Class B'!$F$43:$X$43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'4b GA Class B'!$B$44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'4b GA Class B'!$F$42:$AK$42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'4b GA Class B'!$F$44:$AM$44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597952"/>
        <c:axId val="121599488"/>
      </c:lineChart>
      <c:catAx>
        <c:axId val="121597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599488"/>
        <c:crosses val="autoZero"/>
        <c:auto val="1"/>
        <c:lblAlgn val="ctr"/>
        <c:lblOffset val="100"/>
        <c:noMultiLvlLbl val="0"/>
      </c:catAx>
      <c:valAx>
        <c:axId val="12159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215979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'4b GA Class B'!$B$51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'4b GA Class B'!$C$51:$AM$51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'4b GA Class B'!$B$52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'4b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'4b GA Class B'!$C$52:$AM$52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'4b GA Class B'!$B$53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'4b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'4b GA Class B'!$C$53:$AM$53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'4b GA Class B'!$B$54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'4b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'4b GA Class B'!$C$54:$AM$54</c:f>
              <c:numCache>
                <c:formatCode>0</c:formatCode>
                <c:ptCount val="37"/>
                <c:pt idx="3">
                  <c:v>124.92823261808914</c:v>
                </c:pt>
                <c:pt idx="4">
                  <c:v>127.64910298964926</c:v>
                </c:pt>
                <c:pt idx="5">
                  <c:v>130.42940006702133</c:v>
                </c:pt>
                <c:pt idx="6">
                  <c:v>132.62742368871548</c:v>
                </c:pt>
                <c:pt idx="7">
                  <c:v>135.8313378047396</c:v>
                </c:pt>
                <c:pt idx="8">
                  <c:v>142.69380952571771</c:v>
                </c:pt>
                <c:pt idx="9">
                  <c:v>152.48217286266407</c:v>
                </c:pt>
                <c:pt idx="10">
                  <c:v>150.96792700523636</c:v>
                </c:pt>
                <c:pt idx="11">
                  <c:v>166.71781381703684</c:v>
                </c:pt>
                <c:pt idx="12">
                  <c:v>167.56273851164036</c:v>
                </c:pt>
                <c:pt idx="13">
                  <c:v>172.91220071744254</c:v>
                </c:pt>
                <c:pt idx="14">
                  <c:v>177.64218518630219</c:v>
                </c:pt>
                <c:pt idx="15">
                  <c:v>185.21846134051839</c:v>
                </c:pt>
                <c:pt idx="16">
                  <c:v>192.45771216537082</c:v>
                </c:pt>
                <c:pt idx="17">
                  <c:v>205.81707551339909</c:v>
                </c:pt>
                <c:pt idx="18">
                  <c:v>210.14153791138997</c:v>
                </c:pt>
                <c:pt idx="19">
                  <c:v>219.5511961376975</c:v>
                </c:pt>
                <c:pt idx="20">
                  <c:v>227.77121005229915</c:v>
                </c:pt>
                <c:pt idx="21">
                  <c:v>242.2061476553838</c:v>
                </c:pt>
                <c:pt idx="22">
                  <c:v>248.56104013652902</c:v>
                </c:pt>
                <c:pt idx="23">
                  <c:v>254.96532434676195</c:v>
                </c:pt>
                <c:pt idx="24">
                  <c:v>261.43152171597177</c:v>
                </c:pt>
                <c:pt idx="25">
                  <c:v>267.97216589767487</c:v>
                </c:pt>
                <c:pt idx="26">
                  <c:v>274.59983185288371</c:v>
                </c:pt>
                <c:pt idx="27">
                  <c:v>281.32716474160031</c:v>
                </c:pt>
                <c:pt idx="28">
                  <c:v>288.16690869123903</c:v>
                </c:pt>
                <c:pt idx="29">
                  <c:v>295.13193551030952</c:v>
                </c:pt>
                <c:pt idx="30">
                  <c:v>302.23527341488477</c:v>
                </c:pt>
                <c:pt idx="31">
                  <c:v>309.49013583473771</c:v>
                </c:pt>
                <c:pt idx="32">
                  <c:v>316.90995036555421</c:v>
                </c:pt>
                <c:pt idx="33">
                  <c:v>324.50838793331002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643008"/>
        <c:axId val="121644544"/>
      </c:lineChart>
      <c:catAx>
        <c:axId val="12164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644544"/>
        <c:crosses val="autoZero"/>
        <c:auto val="1"/>
        <c:lblAlgn val="ctr"/>
        <c:lblOffset val="100"/>
        <c:noMultiLvlLbl val="0"/>
      </c:catAx>
      <c:valAx>
        <c:axId val="121644544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Financing on Average Residential Bill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>
            <c:manualLayout>
              <c:xMode val="edge"/>
              <c:yMode val="edge"/>
              <c:x val="2.8755384565613929E-2"/>
              <c:y val="6.6733724832625824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12164300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'4c GA All'!$B$46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'4c GA All'!$F$42:$X$42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'4c GA All'!$F$46:$AM$46</c:f>
              <c:numCache>
                <c:formatCode>0</c:formatCode>
                <c:ptCount val="34"/>
                <c:pt idx="0">
                  <c:v>5548.5299999999916</c:v>
                </c:pt>
                <c:pt idx="1">
                  <c:v>11354.272794799996</c:v>
                </c:pt>
                <c:pt idx="2">
                  <c:v>17397.251936436518</c:v>
                </c:pt>
                <c:pt idx="3">
                  <c:v>25049.636557625825</c:v>
                </c:pt>
                <c:pt idx="4">
                  <c:v>32227.274145732146</c:v>
                </c:pt>
                <c:pt idx="5">
                  <c:v>39258.72073958259</c:v>
                </c:pt>
                <c:pt idx="6">
                  <c:v>45937.617945524456</c:v>
                </c:pt>
                <c:pt idx="7">
                  <c:v>53501.054149743562</c:v>
                </c:pt>
                <c:pt idx="8">
                  <c:v>60487.526542736981</c:v>
                </c:pt>
                <c:pt idx="9">
                  <c:v>66952.633611307741</c:v>
                </c:pt>
                <c:pt idx="10">
                  <c:v>74349.371065105428</c:v>
                </c:pt>
                <c:pt idx="11">
                  <c:v>81467.02957876338</c:v>
                </c:pt>
                <c:pt idx="12">
                  <c:v>87678.06704972095</c:v>
                </c:pt>
                <c:pt idx="13">
                  <c:v>93431.014643304909</c:v>
                </c:pt>
                <c:pt idx="14">
                  <c:v>97892.767591929864</c:v>
                </c:pt>
                <c:pt idx="15">
                  <c:v>102197.8681003918</c:v>
                </c:pt>
                <c:pt idx="16">
                  <c:v>105557.18831466159</c:v>
                </c:pt>
                <c:pt idx="17">
                  <c:v>107986.80983876012</c:v>
                </c:pt>
                <c:pt idx="18">
                  <c:v>107788.63121052958</c:v>
                </c:pt>
                <c:pt idx="19">
                  <c:v>106608.49156631895</c:v>
                </c:pt>
                <c:pt idx="20">
                  <c:v>104366.52657348759</c:v>
                </c:pt>
                <c:pt idx="21">
                  <c:v>100975.52064663038</c:v>
                </c:pt>
                <c:pt idx="22">
                  <c:v>96340.40050308175</c:v>
                </c:pt>
                <c:pt idx="23">
                  <c:v>90357.691435036249</c:v>
                </c:pt>
                <c:pt idx="24">
                  <c:v>82914.933856369316</c:v>
                </c:pt>
                <c:pt idx="25">
                  <c:v>73890.057516648289</c:v>
                </c:pt>
                <c:pt idx="26">
                  <c:v>63150.710598644866</c:v>
                </c:pt>
                <c:pt idx="27">
                  <c:v>50553.540728206266</c:v>
                </c:pt>
                <c:pt idx="28">
                  <c:v>35943.424725880221</c:v>
                </c:pt>
                <c:pt idx="29">
                  <c:v>19152.643717438994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533952"/>
        <c:axId val="121535488"/>
      </c:areaChart>
      <c:barChart>
        <c:barDir val="col"/>
        <c:grouping val="clustered"/>
        <c:varyColors val="0"/>
        <c:ser>
          <c:idx val="2"/>
          <c:order val="1"/>
          <c:tx>
            <c:strRef>
              <c:f>'4c GA All'!$B$45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'4c GA All'!$F$42:$X$42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'4c GA All'!$F$45:$AM$45</c:f>
              <c:numCache>
                <c:formatCode>0</c:formatCode>
                <c:ptCount val="34"/>
                <c:pt idx="0">
                  <c:v>6546.8396822350533</c:v>
                </c:pt>
                <c:pt idx="1">
                  <c:v>6312.8009683873515</c:v>
                </c:pt>
                <c:pt idx="2">
                  <c:v>6090.0106073254692</c:v>
                </c:pt>
                <c:pt idx="3">
                  <c:v>5406.0865927360192</c:v>
                </c:pt>
                <c:pt idx="4">
                  <c:v>4947.4572943661233</c:v>
                </c:pt>
                <c:pt idx="5">
                  <c:v>5250.9270134839544</c:v>
                </c:pt>
                <c:pt idx="6">
                  <c:v>5573.0111167069936</c:v>
                </c:pt>
                <c:pt idx="7">
                  <c:v>5914.8513828480491</c:v>
                </c:pt>
                <c:pt idx="8">
                  <c:v>6277.6596257449864</c:v>
                </c:pt>
                <c:pt idx="9">
                  <c:v>6662.7219901056787</c:v>
                </c:pt>
                <c:pt idx="10">
                  <c:v>7071.4035108537246</c:v>
                </c:pt>
                <c:pt idx="11">
                  <c:v>7505.1529521376988</c:v>
                </c:pt>
                <c:pt idx="12">
                  <c:v>7965.507943158068</c:v>
                </c:pt>
                <c:pt idx="13">
                  <c:v>8454.10042901817</c:v>
                </c:pt>
                <c:pt idx="14">
                  <c:v>8972.6624559222873</c:v>
                </c:pt>
                <c:pt idx="15">
                  <c:v>9523.0323112292881</c:v>
                </c:pt>
                <c:pt idx="16">
                  <c:v>10107.161040128009</c:v>
                </c:pt>
                <c:pt idx="17">
                  <c:v>10727.119362035928</c:v>
                </c:pt>
                <c:pt idx="18">
                  <c:v>11385.105011239508</c:v>
                </c:pt>
                <c:pt idx="19">
                  <c:v>12083.450527798541</c:v>
                </c:pt>
                <c:pt idx="20">
                  <c:v>12824.631526333071</c:v>
                </c:pt>
                <c:pt idx="21">
                  <c:v>13611.275472005493</c:v>
                </c:pt>
                <c:pt idx="22">
                  <c:v>14446.170994808412</c:v>
                </c:pt>
                <c:pt idx="23">
                  <c:v>15332.277775177163</c:v>
                </c:pt>
                <c:pt idx="24">
                  <c:v>16272.737035971188</c:v>
                </c:pt>
                <c:pt idx="25">
                  <c:v>17270.88267801805</c:v>
                </c:pt>
                <c:pt idx="26">
                  <c:v>18330.253098695252</c:v>
                </c:pt>
                <c:pt idx="27">
                  <c:v>19454.603735446432</c:v>
                </c:pt>
                <c:pt idx="28">
                  <c:v>20647.920378698233</c:v>
                </c:pt>
                <c:pt idx="29">
                  <c:v>21914.433301371919</c:v>
                </c:pt>
                <c:pt idx="30">
                  <c:v>23258.632255078261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533952"/>
        <c:axId val="121535488"/>
      </c:barChart>
      <c:lineChart>
        <c:grouping val="standard"/>
        <c:varyColors val="0"/>
        <c:ser>
          <c:idx val="0"/>
          <c:order val="0"/>
          <c:tx>
            <c:strRef>
              <c:f>'4c GA All'!$B$43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'4c GA All'!$F$42:$AK$42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'4c GA All'!$F$43:$X$43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'4c GA All'!$B$44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'4c GA All'!$F$42:$AK$42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'4c GA All'!$F$44:$AM$44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533952"/>
        <c:axId val="121535488"/>
      </c:lineChart>
      <c:catAx>
        <c:axId val="12153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535488"/>
        <c:crosses val="autoZero"/>
        <c:auto val="1"/>
        <c:lblAlgn val="ctr"/>
        <c:lblOffset val="100"/>
        <c:noMultiLvlLbl val="0"/>
      </c:catAx>
      <c:valAx>
        <c:axId val="121535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215339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'New Option 3 35B Max'!$B$46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'New Option 3 35B Max'!$F$42:$X$42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'New Option 3 35B Max'!$F$46:$AM$46</c:f>
              <c:numCache>
                <c:formatCode>0</c:formatCode>
                <c:ptCount val="34"/>
                <c:pt idx="0">
                  <c:v>2314.1083333333354</c:v>
                </c:pt>
                <c:pt idx="1">
                  <c:v>4606.0188156666682</c:v>
                </c:pt>
                <c:pt idx="2">
                  <c:v>7027.0958118519293</c:v>
                </c:pt>
                <c:pt idx="3">
                  <c:v>10822.45030196687</c:v>
                </c:pt>
                <c:pt idx="4">
                  <c:v>13760.539293163702</c:v>
                </c:pt>
                <c:pt idx="5">
                  <c:v>16469.828842155868</c:v>
                </c:pt>
                <c:pt idx="6">
                  <c:v>18754.965033981855</c:v>
                </c:pt>
                <c:pt idx="7">
                  <c:v>21865.677828316962</c:v>
                </c:pt>
                <c:pt idx="8">
                  <c:v>24354.8955192781</c:v>
                </c:pt>
                <c:pt idx="9">
                  <c:v>26294.601730117836</c:v>
                </c:pt>
                <c:pt idx="10">
                  <c:v>29156.308790157505</c:v>
                </c:pt>
                <c:pt idx="11">
                  <c:v>31750.146816525332</c:v>
                </c:pt>
                <c:pt idx="12">
                  <c:v>33471.942207614571</c:v>
                </c:pt>
                <c:pt idx="13">
                  <c:v>34796.345896366009</c:v>
                </c:pt>
                <c:pt idx="14">
                  <c:v>34919.363481152766</c:v>
                </c:pt>
                <c:pt idx="15">
                  <c:v>35007.895816536206</c:v>
                </c:pt>
                <c:pt idx="16">
                  <c:v>34308.699336291509</c:v>
                </c:pt>
                <c:pt idx="17">
                  <c:v>32877.563998640122</c:v>
                </c:pt>
                <c:pt idx="18">
                  <c:v>31035.088264857521</c:v>
                </c:pt>
                <c:pt idx="19">
                  <c:v>29098.351472534603</c:v>
                </c:pt>
                <c:pt idx="20">
                  <c:v>27062.531225916446</c:v>
                </c:pt>
                <c:pt idx="21">
                  <c:v>24922.558415481304</c:v>
                </c:pt>
                <c:pt idx="22">
                  <c:v>22673.104596064299</c:v>
                </c:pt>
                <c:pt idx="23">
                  <c:v>20308.568719245919</c:v>
                </c:pt>
                <c:pt idx="24">
                  <c:v>17823.063186969513</c:v>
                </c:pt>
                <c:pt idx="25">
                  <c:v>15210.399191661847</c:v>
                </c:pt>
                <c:pt idx="26">
                  <c:v>12464.071306354239</c:v>
                </c:pt>
                <c:pt idx="27">
                  <c:v>9577.2412864342914</c:v>
                </c:pt>
                <c:pt idx="28">
                  <c:v>6542.7210426952397</c:v>
                </c:pt>
                <c:pt idx="29">
                  <c:v>3352.9547432864983</c:v>
                </c:pt>
                <c:pt idx="30">
                  <c:v>5.0022208597511053E-12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022208"/>
        <c:axId val="127024128"/>
      </c:areaChart>
      <c:barChart>
        <c:barDir val="col"/>
        <c:grouping val="clustered"/>
        <c:varyColors val="0"/>
        <c:ser>
          <c:idx val="2"/>
          <c:order val="1"/>
          <c:tx>
            <c:strRef>
              <c:f>'New Option 3 35B Max'!$B$45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'New Option 3 35B Max'!$F$42:$X$42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'New Option 3 35B Max'!$F$45:$AM$45</c:f>
              <c:numCache>
                <c:formatCode>0</c:formatCode>
                <c:ptCount val="34"/>
                <c:pt idx="0">
                  <c:v>9781.2613489017094</c:v>
                </c:pt>
                <c:pt idx="1">
                  <c:v>9661.1602683873571</c:v>
                </c:pt>
                <c:pt idx="2">
                  <c:v>9366.6720792042688</c:v>
                </c:pt>
                <c:pt idx="3">
                  <c:v>8732.5795364766345</c:v>
                </c:pt>
                <c:pt idx="4">
                  <c:v>8459.1430424360988</c:v>
                </c:pt>
                <c:pt idx="5">
                  <c:v>8628.3259032848218</c:v>
                </c:pt>
                <c:pt idx="6">
                  <c:v>8800.8924213505161</c:v>
                </c:pt>
                <c:pt idx="7">
                  <c:v>8976.910269777527</c:v>
                </c:pt>
                <c:pt idx="8">
                  <c:v>9156.4484751730779</c:v>
                </c:pt>
                <c:pt idx="9">
                  <c:v>9339.577444676539</c:v>
                </c:pt>
                <c:pt idx="10">
                  <c:v>9526.3689935700677</c:v>
                </c:pt>
                <c:pt idx="11">
                  <c:v>9716.896373441472</c:v>
                </c:pt>
                <c:pt idx="12">
                  <c:v>9911.2343009103006</c:v>
                </c:pt>
                <c:pt idx="13">
                  <c:v>10109.458986928508</c:v>
                </c:pt>
                <c:pt idx="14">
                  <c:v>10311.648166667075</c:v>
                </c:pt>
                <c:pt idx="15">
                  <c:v>10517.881130000418</c:v>
                </c:pt>
                <c:pt idx="16">
                  <c:v>10728.238752600428</c:v>
                </c:pt>
                <c:pt idx="17">
                  <c:v>10942.803527652435</c:v>
                </c:pt>
                <c:pt idx="18">
                  <c:v>9186.8130996110285</c:v>
                </c:pt>
                <c:pt idx="19">
                  <c:v>8913.336418810235</c:v>
                </c:pt>
                <c:pt idx="20">
                  <c:v>8653.0680129218563</c:v>
                </c:pt>
                <c:pt idx="21">
                  <c:v>8405.3699536016884</c:v>
                </c:pt>
                <c:pt idx="22">
                  <c:v>8169.6351229311913</c:v>
                </c:pt>
                <c:pt idx="23">
                  <c:v>7945.2857253470193</c:v>
                </c:pt>
                <c:pt idx="24">
                  <c:v>7731.7718714408311</c:v>
                </c:pt>
                <c:pt idx="25">
                  <c:v>7528.5702301581996</c:v>
                </c:pt>
                <c:pt idx="26">
                  <c:v>7335.1827460931254</c:v>
                </c:pt>
                <c:pt idx="27">
                  <c:v>7151.1354187341858</c:v>
                </c:pt>
                <c:pt idx="28">
                  <c:v>6975.9771406701748</c:v>
                </c:pt>
                <c:pt idx="29">
                  <c:v>6809.2785919076905</c:v>
                </c:pt>
                <c:pt idx="30">
                  <c:v>6650.631187590534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022208"/>
        <c:axId val="127024128"/>
      </c:barChart>
      <c:lineChart>
        <c:grouping val="standard"/>
        <c:varyColors val="0"/>
        <c:ser>
          <c:idx val="0"/>
          <c:order val="0"/>
          <c:tx>
            <c:strRef>
              <c:f>'New Option 3 35B Max'!$B$43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'New Option 3 35B Max'!$F$42:$AK$42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'New Option 3 35B Max'!$F$43:$X$43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'New Option 3 35B Max'!$B$44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'New Option 3 35B Max'!$F$42:$AK$42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'New Option 3 35B Max'!$F$44:$AM$44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022208"/>
        <c:axId val="127024128"/>
      </c:lineChart>
      <c:catAx>
        <c:axId val="12702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7024128"/>
        <c:crosses val="autoZero"/>
        <c:auto val="1"/>
        <c:lblAlgn val="ctr"/>
        <c:lblOffset val="100"/>
        <c:noMultiLvlLbl val="0"/>
      </c:catAx>
      <c:valAx>
        <c:axId val="1270241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2702220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'4c GA All'!$B$51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'4c GA All'!$C$51:$AM$51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'4c GA All'!$B$52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'4c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'4c GA All'!$C$52:$AM$52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'4c GA All'!$B$53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'4c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'4c GA All'!$C$53:$AM$53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'4c GA All'!$B$54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'4c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'4c GA All'!$C$54:$AM$54</c:f>
              <c:numCache>
                <c:formatCode>0</c:formatCode>
                <c:ptCount val="37"/>
                <c:pt idx="3">
                  <c:v>124.92823261808918</c:v>
                </c:pt>
                <c:pt idx="4">
                  <c:v>127.64910298964925</c:v>
                </c:pt>
                <c:pt idx="5">
                  <c:v>130.42940006702131</c:v>
                </c:pt>
                <c:pt idx="6">
                  <c:v>132.62742368871548</c:v>
                </c:pt>
                <c:pt idx="7">
                  <c:v>135.83133780473958</c:v>
                </c:pt>
                <c:pt idx="8">
                  <c:v>142.43734231555561</c:v>
                </c:pt>
                <c:pt idx="9">
                  <c:v>151.83219186128485</c:v>
                </c:pt>
                <c:pt idx="10">
                  <c:v>151.06079685228903</c:v>
                </c:pt>
                <c:pt idx="11">
                  <c:v>166.2813819066283</c:v>
                </c:pt>
                <c:pt idx="12">
                  <c:v>166.713260969674</c:v>
                </c:pt>
                <c:pt idx="13">
                  <c:v>173.00624382582311</c:v>
                </c:pt>
                <c:pt idx="14">
                  <c:v>177.6316143799782</c:v>
                </c:pt>
                <c:pt idx="15">
                  <c:v>184.62960845266431</c:v>
                </c:pt>
                <c:pt idx="16">
                  <c:v>191.79489754184883</c:v>
                </c:pt>
                <c:pt idx="17">
                  <c:v>204.44666776328685</c:v>
                </c:pt>
                <c:pt idx="18">
                  <c:v>209.1904230388491</c:v>
                </c:pt>
                <c:pt idx="19">
                  <c:v>218.42994681113964</c:v>
                </c:pt>
                <c:pt idx="20">
                  <c:v>226.62787603623426</c:v>
                </c:pt>
                <c:pt idx="21">
                  <c:v>239.76295612102564</c:v>
                </c:pt>
                <c:pt idx="22">
                  <c:v>246.40862644386584</c:v>
                </c:pt>
                <c:pt idx="23">
                  <c:v>253.18963928482984</c:v>
                </c:pt>
                <c:pt idx="24">
                  <c:v>260.12388613758236</c:v>
                </c:pt>
                <c:pt idx="25">
                  <c:v>267.22973475165077</c:v>
                </c:pt>
                <c:pt idx="26">
                  <c:v>274.52608454720217</c:v>
                </c:pt>
                <c:pt idx="27">
                  <c:v>282.03242370658529</c:v>
                </c:pt>
                <c:pt idx="28">
                  <c:v>289.76888811535144</c:v>
                </c:pt>
                <c:pt idx="29">
                  <c:v>297.75632233126515</c:v>
                </c:pt>
                <c:pt idx="30">
                  <c:v>306.01634276615835</c:v>
                </c:pt>
                <c:pt idx="31">
                  <c:v>314.57140327237937</c:v>
                </c:pt>
                <c:pt idx="32">
                  <c:v>323.44486333307435</c:v>
                </c:pt>
                <c:pt idx="33">
                  <c:v>332.66105906362299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054144"/>
        <c:axId val="122055680"/>
      </c:lineChart>
      <c:catAx>
        <c:axId val="12205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2055680"/>
        <c:crosses val="autoZero"/>
        <c:auto val="1"/>
        <c:lblAlgn val="ctr"/>
        <c:lblOffset val="100"/>
        <c:noMultiLvlLbl val="0"/>
      </c:catAx>
      <c:valAx>
        <c:axId val="122055680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Financing on Average Residential Bill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>
            <c:manualLayout>
              <c:xMode val="edge"/>
              <c:yMode val="edge"/>
              <c:x val="2.8755384565613929E-2"/>
              <c:y val="6.6733724832625824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12205414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3"/>
          <c:order val="2"/>
          <c:tx>
            <c:strRef>
              <c:f>'Indicative graph'!$B$40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3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'Indicative graph'!$C$36:$U$36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graph'!$C$40:$U$40</c:f>
              <c:numCache>
                <c:formatCode>0</c:formatCode>
                <c:ptCount val="19"/>
                <c:pt idx="0">
                  <c:v>2195.3696822350448</c:v>
                </c:pt>
                <c:pt idx="1">
                  <c:v>4107.6802252012048</c:v>
                </c:pt>
                <c:pt idx="2">
                  <c:v>5688.4397959973248</c:v>
                </c:pt>
                <c:pt idx="3">
                  <c:v>7805.9835845343423</c:v>
                </c:pt>
                <c:pt idx="4">
                  <c:v>8557.939363481395</c:v>
                </c:pt>
                <c:pt idx="5">
                  <c:v>8945.8008229186398</c:v>
                </c:pt>
                <c:pt idx="6">
                  <c:v>8724.6539988211116</c:v>
                </c:pt>
                <c:pt idx="7">
                  <c:v>9132.0848446897362</c:v>
                </c:pt>
                <c:pt idx="8">
                  <c:v>8752.5485710220746</c:v>
                </c:pt>
                <c:pt idx="9">
                  <c:v>7641.8151900078446</c:v>
                </c:pt>
                <c:pt idx="10">
                  <c:v>7160.3412102737675</c:v>
                </c:pt>
                <c:pt idx="11">
                  <c:v>6187.7016861897109</c:v>
                </c:pt>
                <c:pt idx="12">
                  <c:v>4045.8957160982472</c:v>
                </c:pt>
                <c:pt idx="13">
                  <c:v>1212.9162355966419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285248"/>
        <c:axId val="121950592"/>
      </c:areaChart>
      <c:barChart>
        <c:barDir val="col"/>
        <c:grouping val="clustered"/>
        <c:varyColors val="0"/>
        <c:ser>
          <c:idx val="1"/>
          <c:order val="1"/>
          <c:tx>
            <c:strRef>
              <c:f>'Indicative graph'!$B$38</c:f>
              <c:strCache>
                <c:ptCount val="1"/>
                <c:pt idx="0">
                  <c:v>Amount Paid by Ratepayer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'Indicative graph'!$C$36:$U$36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graph'!$C$38:$U$38</c:f>
              <c:numCache>
                <c:formatCode>0</c:formatCode>
                <c:ptCount val="19"/>
                <c:pt idx="0">
                  <c:v>9900</c:v>
                </c:pt>
                <c:pt idx="1">
                  <c:v>10098</c:v>
                </c:pt>
                <c:pt idx="2">
                  <c:v>10299.959999999999</c:v>
                </c:pt>
                <c:pt idx="3">
                  <c:v>10505.959199999999</c:v>
                </c:pt>
                <c:pt idx="4">
                  <c:v>10716.078384</c:v>
                </c:pt>
                <c:pt idx="5">
                  <c:v>10930.399951680001</c:v>
                </c:pt>
                <c:pt idx="6">
                  <c:v>11149.007950713598</c:v>
                </c:pt>
                <c:pt idx="7">
                  <c:v>11371.988109727872</c:v>
                </c:pt>
                <c:pt idx="8">
                  <c:v>11599.427871922429</c:v>
                </c:pt>
                <c:pt idx="9">
                  <c:v>11831.416429360877</c:v>
                </c:pt>
                <c:pt idx="10">
                  <c:v>12068.044757948093</c:v>
                </c:pt>
                <c:pt idx="11">
                  <c:v>12309.405653107056</c:v>
                </c:pt>
                <c:pt idx="12">
                  <c:v>12555.593766169197</c:v>
                </c:pt>
                <c:pt idx="13">
                  <c:v>12806.705641492583</c:v>
                </c:pt>
                <c:pt idx="14">
                  <c:v>13062.839754322431</c:v>
                </c:pt>
                <c:pt idx="15">
                  <c:v>8757.5658377633827</c:v>
                </c:pt>
                <c:pt idx="16">
                  <c:v>8146.9598419964004</c:v>
                </c:pt>
                <c:pt idx="17">
                  <c:v>7669.8510360503606</c:v>
                </c:pt>
                <c:pt idx="18">
                  <c:v>5552.6253971661972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285248"/>
        <c:axId val="121950592"/>
      </c:barChart>
      <c:lineChart>
        <c:grouping val="standard"/>
        <c:varyColors val="0"/>
        <c:ser>
          <c:idx val="0"/>
          <c:order val="0"/>
          <c:tx>
            <c:strRef>
              <c:f>'Indicative graph'!$B$37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'Indicative graph'!$C$36:$U$36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graph'!$C$37:$U$37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10212.197060782577</c:v>
                </c:pt>
                <c:pt idx="7">
                  <c:v>11081.446635690807</c:v>
                </c:pt>
                <c:pt idx="8">
                  <c:v>10489.324810679589</c:v>
                </c:pt>
                <c:pt idx="9">
                  <c:v>10020.47916266488</c:v>
                </c:pt>
                <c:pt idx="10">
                  <c:v>10975.225563013388</c:v>
                </c:pt>
                <c:pt idx="11">
                  <c:v>10763.938832201098</c:v>
                </c:pt>
                <c:pt idx="12">
                  <c:v>9918.7716611825563</c:v>
                </c:pt>
                <c:pt idx="13">
                  <c:v>9650.054503703117</c:v>
                </c:pt>
                <c:pt idx="14">
                  <c:v>8586.9634337325642</c:v>
                </c:pt>
                <c:pt idx="15">
                  <c:v>8757.5658377633827</c:v>
                </c:pt>
                <c:pt idx="16">
                  <c:v>8146.9598419964004</c:v>
                </c:pt>
                <c:pt idx="17">
                  <c:v>7669.8510360503606</c:v>
                </c:pt>
                <c:pt idx="18">
                  <c:v>5552.6253971661972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285248"/>
        <c:axId val="121950592"/>
      </c:lineChart>
      <c:catAx>
        <c:axId val="12128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950592"/>
        <c:crosses val="autoZero"/>
        <c:auto val="1"/>
        <c:lblAlgn val="ctr"/>
        <c:lblOffset val="100"/>
        <c:noMultiLvlLbl val="0"/>
      </c:catAx>
      <c:valAx>
        <c:axId val="1219505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Nominal $ million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212852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Residential Bill</a:t>
            </a:r>
          </a:p>
        </c:rich>
      </c:tx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'Indicative graph'!$B$46</c:f>
              <c:strCache>
                <c:ptCount val="1"/>
                <c:pt idx="0">
                  <c:v>IESO Forecast (Case 2)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'Indicative graph'!$C$45:$U$45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graph'!$C$46:$U$46</c:f>
              <c:numCache>
                <c:formatCode>_-"$"* #,##0_-;\-"$"* #,##0_-;_-"$"* "-"??_-;_-@_-</c:formatCode>
                <c:ptCount val="19"/>
                <c:pt idx="0">
                  <c:v>160.21813261808913</c:v>
                </c:pt>
                <c:pt idx="1">
                  <c:v>162.76950298964928</c:v>
                </c:pt>
                <c:pt idx="2">
                  <c:v>165.41420006702134</c:v>
                </c:pt>
                <c:pt idx="3">
                  <c:v>175.93913634995977</c:v>
                </c:pt>
                <c:pt idx="4">
                  <c:v>173.59521544491813</c:v>
                </c:pt>
                <c:pt idx="5">
                  <c:v>176.91285983413323</c:v>
                </c:pt>
                <c:pt idx="6">
                  <c:v>181.62400566574021</c:v>
                </c:pt>
                <c:pt idx="7">
                  <c:v>184.27346390503419</c:v>
                </c:pt>
                <c:pt idx="8">
                  <c:v>193.40059926022687</c:v>
                </c:pt>
                <c:pt idx="9">
                  <c:v>188.34673981076375</c:v>
                </c:pt>
                <c:pt idx="10">
                  <c:v>198.30087601824903</c:v>
                </c:pt>
                <c:pt idx="11">
                  <c:v>198.7304092484664</c:v>
                </c:pt>
                <c:pt idx="12">
                  <c:v>197.50537476437415</c:v>
                </c:pt>
                <c:pt idx="13">
                  <c:v>199.74140225073614</c:v>
                </c:pt>
                <c:pt idx="14">
                  <c:v>202.23608967519249</c:v>
                </c:pt>
                <c:pt idx="15">
                  <c:v>204.56887182590933</c:v>
                </c:pt>
                <c:pt idx="16">
                  <c:v>206.53005862045072</c:v>
                </c:pt>
                <c:pt idx="17">
                  <c:v>207.93290009161953</c:v>
                </c:pt>
                <c:pt idx="18">
                  <c:v>204.40973222330072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'Indicative graph'!$B$47</c:f>
              <c:strCache>
                <c:ptCount val="1"/>
                <c:pt idx="0">
                  <c:v>With impact of refinanced GA - Scenario 1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'Indicative graph'!$C$45:$U$45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graph'!$C$47:$U$47</c:f>
              <c:numCache>
                <c:formatCode>_-"$"* #,##0_-;\-"$"* #,##0_-;_-"$"* "-"??_-;_-@_-</c:formatCode>
                <c:ptCount val="19"/>
                <c:pt idx="0">
                  <c:v>147.86145523215077</c:v>
                </c:pt>
                <c:pt idx="1">
                  <c:v>152.99456320510507</c:v>
                </c:pt>
                <c:pt idx="2">
                  <c:v>158.31684691660212</c:v>
                </c:pt>
                <c:pt idx="3">
                  <c:v>166.51600616097167</c:v>
                </c:pt>
                <c:pt idx="4">
                  <c:v>172.87265549265393</c:v>
                </c:pt>
                <c:pt idx="5">
                  <c:v>178.59501918799134</c:v>
                </c:pt>
                <c:pt idx="6">
                  <c:v>186.93399525140214</c:v>
                </c:pt>
                <c:pt idx="7">
                  <c:v>185.92029809315221</c:v>
                </c:pt>
                <c:pt idx="8">
                  <c:v>199.69283578049718</c:v>
                </c:pt>
                <c:pt idx="9">
                  <c:v>198.68421253191372</c:v>
                </c:pt>
                <c:pt idx="10">
                  <c:v>204.49514490056529</c:v>
                </c:pt>
                <c:pt idx="11">
                  <c:v>207.49035515878873</c:v>
                </c:pt>
                <c:pt idx="12">
                  <c:v>212.45129188298617</c:v>
                </c:pt>
                <c:pt idx="13">
                  <c:v>217.50866944279693</c:v>
                </c:pt>
                <c:pt idx="14">
                  <c:v>227.42863932203977</c:v>
                </c:pt>
                <c:pt idx="15">
                  <c:v>204.56887182590933</c:v>
                </c:pt>
                <c:pt idx="16">
                  <c:v>206.53005862045072</c:v>
                </c:pt>
                <c:pt idx="17">
                  <c:v>207.93290009161953</c:v>
                </c:pt>
                <c:pt idx="18">
                  <c:v>204.40973222330072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'Indicative graph'!$B$48</c:f>
              <c:strCache>
                <c:ptCount val="1"/>
                <c:pt idx="0">
                  <c:v>With impact of refinanced GA - Scenario 2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'Indicative graph'!$C$45:$U$45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graph'!$C$48:$U$48</c:f>
              <c:numCache>
                <c:formatCode>_-"$"* #,##0_-;\-"$"* #,##0_-;_-"$"* "-"??_-;_-@_-</c:formatCode>
                <c:ptCount val="19"/>
                <c:pt idx="0">
                  <c:v>147.86145523215077</c:v>
                </c:pt>
                <c:pt idx="1">
                  <c:v>152.99456320510507</c:v>
                </c:pt>
                <c:pt idx="2">
                  <c:v>158.31684691660212</c:v>
                </c:pt>
                <c:pt idx="3">
                  <c:v>166.51600616097167</c:v>
                </c:pt>
                <c:pt idx="4">
                  <c:v>172.87265549265393</c:v>
                </c:pt>
                <c:pt idx="5">
                  <c:v>178.59501918799134</c:v>
                </c:pt>
                <c:pt idx="6">
                  <c:v>186.93399525140214</c:v>
                </c:pt>
                <c:pt idx="7">
                  <c:v>185.92029809315221</c:v>
                </c:pt>
                <c:pt idx="8">
                  <c:v>199.69283578049718</c:v>
                </c:pt>
                <c:pt idx="9">
                  <c:v>198.68421253191372</c:v>
                </c:pt>
                <c:pt idx="10">
                  <c:v>204.49514490056529</c:v>
                </c:pt>
                <c:pt idx="11">
                  <c:v>207.49035515878873</c:v>
                </c:pt>
                <c:pt idx="12">
                  <c:v>212.45129188298617</c:v>
                </c:pt>
                <c:pt idx="13">
                  <c:v>217.50866944279693</c:v>
                </c:pt>
                <c:pt idx="14">
                  <c:v>227.42863932203977</c:v>
                </c:pt>
                <c:pt idx="15">
                  <c:v>204.56887182590933</c:v>
                </c:pt>
                <c:pt idx="16">
                  <c:v>206.53005862045072</c:v>
                </c:pt>
                <c:pt idx="17">
                  <c:v>207.93290009161953</c:v>
                </c:pt>
                <c:pt idx="18">
                  <c:v>204.40973222330072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324864"/>
        <c:axId val="122326400"/>
      </c:lineChart>
      <c:catAx>
        <c:axId val="12232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2326400"/>
        <c:crosses val="autoZero"/>
        <c:auto val="1"/>
        <c:lblAlgn val="ctr"/>
        <c:lblOffset val="100"/>
        <c:noMultiLvlLbl val="0"/>
      </c:catAx>
      <c:valAx>
        <c:axId val="122326400"/>
        <c:scaling>
          <c:orientation val="minMax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overlay val="0"/>
        </c:title>
        <c:numFmt formatCode="_-&quot;$&quot;* #,##0_-;\-&quot;$&quot;* #,##0_-;_-&quot;$&quot;* &quot;-&quot;??_-;_-@_-" sourceLinked="1"/>
        <c:majorTickMark val="out"/>
        <c:minorTickMark val="none"/>
        <c:tickLblPos val="nextTo"/>
        <c:crossAx val="1223248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'New Option 3 35B Max'!$B$51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'New Option 3 35B Max'!$C$51:$AM$51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'New Option 3 35B Max'!$B$52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'New Option 3 35B Max'!$C$50:$AM$50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'New Option 3 35B Max'!$C$52:$AM$52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'New Option 3 35B Max'!$B$53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'New Option 3 35B Max'!$C$50:$AM$50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'New Option 3 35B Max'!$C$53:$AM$53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'New Option 3 35B Max'!$B$54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'New Option 3 35B Max'!$C$50:$AM$50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'New Option 3 35B Max'!$C$54:$AM$54</c:f>
              <c:numCache>
                <c:formatCode>0</c:formatCode>
                <c:ptCount val="37"/>
                <c:pt idx="3">
                  <c:v>145.49988261808912</c:v>
                </c:pt>
                <c:pt idx="4">
                  <c:v>148.94542198964928</c:v>
                </c:pt>
                <c:pt idx="5">
                  <c:v>151.41646744702138</c:v>
                </c:pt>
                <c:pt idx="6">
                  <c:v>153.93366241631554</c:v>
                </c:pt>
                <c:pt idx="7">
                  <c:v>158.32373930689167</c:v>
                </c:pt>
                <c:pt idx="8">
                  <c:v>164.06963441460653</c:v>
                </c:pt>
                <c:pt idx="9">
                  <c:v>172.50682151606964</c:v>
                </c:pt>
                <c:pt idx="10">
                  <c:v>170.67333135823205</c:v>
                </c:pt>
                <c:pt idx="11">
                  <c:v>184.72006898927575</c:v>
                </c:pt>
                <c:pt idx="12">
                  <c:v>183.98015941301378</c:v>
                </c:pt>
                <c:pt idx="13">
                  <c:v>188.73033569296368</c:v>
                </c:pt>
                <c:pt idx="14">
                  <c:v>191.79786518389741</c:v>
                </c:pt>
                <c:pt idx="15">
                  <c:v>197.09201585228311</c:v>
                </c:pt>
                <c:pt idx="16">
                  <c:v>202.3233506587645</c:v>
                </c:pt>
                <c:pt idx="17">
                  <c:v>212.96291834382126</c:v>
                </c:pt>
                <c:pt idx="18">
                  <c:v>215.47394479562001</c:v>
                </c:pt>
                <c:pt idx="19">
                  <c:v>222.32565545674038</c:v>
                </c:pt>
                <c:pt idx="20">
                  <c:v>227.97148822063778</c:v>
                </c:pt>
                <c:pt idx="21">
                  <c:v>226.25367705302531</c:v>
                </c:pt>
                <c:pt idx="22">
                  <c:v>227.00791238690246</c:v>
                </c:pt>
                <c:pt idx="23">
                  <c:v>227.76600173515769</c:v>
                </c:pt>
                <c:pt idx="24">
                  <c:v>228.52795791879694</c:v>
                </c:pt>
                <c:pt idx="25">
                  <c:v>229.29379382447615</c:v>
                </c:pt>
                <c:pt idx="26">
                  <c:v>230.06352240471912</c:v>
                </c:pt>
                <c:pt idx="27">
                  <c:v>230.83715667813669</c:v>
                </c:pt>
                <c:pt idx="28">
                  <c:v>231.61470972964671</c:v>
                </c:pt>
                <c:pt idx="29">
                  <c:v>232.39619471069562</c:v>
                </c:pt>
                <c:pt idx="30">
                  <c:v>233.18162483948066</c:v>
                </c:pt>
                <c:pt idx="31">
                  <c:v>233.97101340117351</c:v>
                </c:pt>
                <c:pt idx="32">
                  <c:v>234.764373748145</c:v>
                </c:pt>
                <c:pt idx="33">
                  <c:v>235.56171930019099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33760"/>
        <c:axId val="166044416"/>
      </c:lineChart>
      <c:catAx>
        <c:axId val="16293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6044416"/>
        <c:crosses val="autoZero"/>
        <c:auto val="1"/>
        <c:lblAlgn val="ctr"/>
        <c:lblOffset val="100"/>
        <c:noMultiLvlLbl val="0"/>
      </c:catAx>
      <c:valAx>
        <c:axId val="166044416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Financing on Average Residential Bill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>
            <c:manualLayout>
              <c:xMode val="edge"/>
              <c:yMode val="edge"/>
              <c:x val="2.8755384565613929E-2"/>
              <c:y val="6.6733724832625824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16293376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'Original Option 3 35B Max'!$B$46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'Original Option 3 35B Max'!$F$42:$X$42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'Original Option 3 35B Max'!$F$46:$AM$46</c:f>
              <c:numCache>
                <c:formatCode>0</c:formatCode>
                <c:ptCount val="34"/>
                <c:pt idx="0">
                  <c:v>1376.9166666666424</c:v>
                </c:pt>
                <c:pt idx="1">
                  <c:v>2742.7811501056026</c:v>
                </c:pt>
                <c:pt idx="2">
                  <c:v>4094.1689175759288</c:v>
                </c:pt>
                <c:pt idx="3">
                  <c:v>6751.6434419253937</c:v>
                </c:pt>
                <c:pt idx="4">
                  <c:v>8610.7883959867213</c:v>
                </c:pt>
                <c:pt idx="5">
                  <c:v>10418.666898072725</c:v>
                </c:pt>
                <c:pt idx="6">
                  <c:v>11991.958422976008</c:v>
                </c:pt>
                <c:pt idx="7">
                  <c:v>14593.11256982825</c:v>
                </c:pt>
                <c:pt idx="8">
                  <c:v>16788.499963820417</c:v>
                </c:pt>
                <c:pt idx="9">
                  <c:v>18664.307584386672</c:v>
                </c:pt>
                <c:pt idx="10">
                  <c:v>21707.052464515211</c:v>
                </c:pt>
                <c:pt idx="11">
                  <c:v>24742.713186054702</c:v>
                </c:pt>
                <c:pt idx="12">
                  <c:v>27183.852985479032</c:v>
                </c:pt>
                <c:pt idx="13">
                  <c:v>29522.794931275806</c:v>
                </c:pt>
                <c:pt idx="14">
                  <c:v>30974.201409593144</c:v>
                </c:pt>
                <c:pt idx="15">
                  <c:v>32724.666625362988</c:v>
                </c:pt>
                <c:pt idx="16">
                  <c:v>34041.731522652888</c:v>
                </c:pt>
                <c:pt idx="17">
                  <c:v>35003.119152269297</c:v>
                </c:pt>
                <c:pt idx="18">
                  <c:v>33977.723544349225</c:v>
                </c:pt>
                <c:pt idx="19">
                  <c:v>32684.142073159506</c:v>
                </c:pt>
                <c:pt idx="20">
                  <c:v>31121.469267725901</c:v>
                </c:pt>
                <c:pt idx="21">
                  <c:v>29288.118084136622</c:v>
                </c:pt>
                <c:pt idx="22">
                  <c:v>27181.815828446786</c:v>
                </c:pt>
                <c:pt idx="23">
                  <c:v>24799.5983830525</c:v>
                </c:pt>
                <c:pt idx="24">
                  <c:v>22137.802721609522</c:v>
                </c:pt>
                <c:pt idx="25">
                  <c:v>19192.057693336679</c:v>
                </c:pt>
                <c:pt idx="26">
                  <c:v>15957.273053260555</c:v>
                </c:pt>
                <c:pt idx="27">
                  <c:v>12427.626710614564</c:v>
                </c:pt>
                <c:pt idx="28">
                  <c:v>8596.5501631919487</c:v>
                </c:pt>
                <c:pt idx="29">
                  <c:v>4456.7120809571206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083648"/>
        <c:axId val="174627456"/>
      </c:areaChart>
      <c:barChart>
        <c:barDir val="col"/>
        <c:grouping val="clustered"/>
        <c:varyColors val="0"/>
        <c:ser>
          <c:idx val="2"/>
          <c:order val="1"/>
          <c:tx>
            <c:strRef>
              <c:f>'Original Option 3 35B Max'!$B$45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'Original Option 3 35B Max'!$F$42:$X$42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'Original Option 3 35B Max'!$F$45:$AM$45</c:f>
              <c:numCache>
                <c:formatCode>0</c:formatCode>
                <c:ptCount val="34"/>
                <c:pt idx="0">
                  <c:v>10718.453015568402</c:v>
                </c:pt>
                <c:pt idx="1">
                  <c:v>10539.259541615062</c:v>
                </c:pt>
                <c:pt idx="2">
                  <c:v>10341.038068949099</c:v>
                </c:pt>
                <c:pt idx="3">
                  <c:v>9720.4109623309505</c:v>
                </c:pt>
                <c:pt idx="4">
                  <c:v>9329.8246006118807</c:v>
                </c:pt>
                <c:pt idx="5">
                  <c:v>9266.2756942914111</c:v>
                </c:pt>
                <c:pt idx="6">
                  <c:v>9203.1596432139249</c:v>
                </c:pt>
                <c:pt idx="7">
                  <c:v>9140.4734990413344</c:v>
                </c:pt>
                <c:pt idx="8">
                  <c:v>9078.214333517768</c:v>
                </c:pt>
                <c:pt idx="9">
                  <c:v>9016.3792383328018</c:v>
                </c:pt>
                <c:pt idx="10">
                  <c:v>8954.9653249855892</c:v>
                </c:pt>
                <c:pt idx="11">
                  <c:v>8893.9697246499472</c:v>
                </c:pt>
                <c:pt idx="12">
                  <c:v>8833.3895880403252</c:v>
                </c:pt>
                <c:pt idx="13">
                  <c:v>8773.2220852787195</c:v>
                </c:pt>
                <c:pt idx="14">
                  <c:v>8713.464405762481</c:v>
                </c:pt>
                <c:pt idx="15">
                  <c:v>8654.1137580330233</c:v>
                </c:pt>
                <c:pt idx="16">
                  <c:v>8595.1673696454145</c:v>
                </c:pt>
                <c:pt idx="17">
                  <c:v>8536.6224870388796</c:v>
                </c:pt>
                <c:pt idx="18">
                  <c:v>8478.476375408176</c:v>
                </c:pt>
                <c:pt idx="19">
                  <c:v>8420.7263185758329</c:v>
                </c:pt>
                <c:pt idx="20">
                  <c:v>8363.3696188652702</c:v>
                </c:pt>
                <c:pt idx="21">
                  <c:v>8306.4035969747965</c:v>
                </c:pt>
                <c:pt idx="22">
                  <c:v>8249.8255918524301</c:v>
                </c:pt>
                <c:pt idx="23">
                  <c:v>8193.6329605716164</c:v>
                </c:pt>
                <c:pt idx="24">
                  <c:v>8137.8230782077462</c:v>
                </c:pt>
                <c:pt idx="25">
                  <c:v>8082.3933377155545</c:v>
                </c:pt>
                <c:pt idx="26">
                  <c:v>8027.3411498073256</c:v>
                </c:pt>
                <c:pt idx="27">
                  <c:v>7972.6639428319559</c:v>
                </c:pt>
                <c:pt idx="28">
                  <c:v>7918.3591626548014</c:v>
                </c:pt>
                <c:pt idx="29">
                  <c:v>7864.4242725383901</c:v>
                </c:pt>
                <c:pt idx="30">
                  <c:v>7810.8567530239043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083648"/>
        <c:axId val="174627456"/>
      </c:barChart>
      <c:lineChart>
        <c:grouping val="standard"/>
        <c:varyColors val="0"/>
        <c:ser>
          <c:idx val="0"/>
          <c:order val="0"/>
          <c:tx>
            <c:strRef>
              <c:f>'Original Option 3 35B Max'!$B$43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'Original Option 3 35B Max'!$F$42:$AK$42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'Original Option 3 35B Max'!$F$43:$X$43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'Original Option 3 35B Max'!$B$44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'Original Option 3 35B Max'!$F$42:$AK$42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'Original Option 3 35B Max'!$F$44:$AM$44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083648"/>
        <c:axId val="174627456"/>
      </c:lineChart>
      <c:catAx>
        <c:axId val="17308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4627456"/>
        <c:crosses val="autoZero"/>
        <c:auto val="1"/>
        <c:lblAlgn val="ctr"/>
        <c:lblOffset val="100"/>
        <c:noMultiLvlLbl val="0"/>
      </c:catAx>
      <c:valAx>
        <c:axId val="1746274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7308364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'Original Option 3 35B Max'!$B$51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'Original Option 3 35B Max'!$C$51:$AM$51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'Original Option 3 35B Max'!$B$52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'Original Option 3 35B Max'!$C$50:$AM$50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'Original Option 3 35B Max'!$C$52:$AM$52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'Original Option 3 35B Max'!$B$53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'Original Option 3 35B Max'!$C$50:$AM$50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'Original Option 3 35B Max'!$C$53:$AM$53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'Original Option 3 35B Max'!$B$54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'Original Option 3 35B Max'!$C$50:$AM$50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'Original Option 3 35B Max'!$C$54:$AM$54</c:f>
              <c:numCache>
                <c:formatCode>0</c:formatCode>
                <c:ptCount val="37"/>
                <c:pt idx="3">
                  <c:v>151.46063261808928</c:v>
                </c:pt>
                <c:pt idx="4">
                  <c:v>154.53033106327391</c:v>
                </c:pt>
                <c:pt idx="5">
                  <c:v>157.65729667367626</c:v>
                </c:pt>
                <c:pt idx="6">
                  <c:v>160.26073796940852</c:v>
                </c:pt>
                <c:pt idx="7">
                  <c:v>163.90046814653007</c:v>
                </c:pt>
                <c:pt idx="8">
                  <c:v>168.15571268781773</c:v>
                </c:pt>
                <c:pt idx="9">
                  <c:v>175.08334929059495</c:v>
                </c:pt>
                <c:pt idx="10">
                  <c:v>171.72095637012615</c:v>
                </c:pt>
                <c:pt idx="11">
                  <c:v>184.21897810258278</c:v>
                </c:pt>
                <c:pt idx="12">
                  <c:v>181.89538841931756</c:v>
                </c:pt>
                <c:pt idx="13">
                  <c:v>185.0704863625763</c:v>
                </c:pt>
                <c:pt idx="14">
                  <c:v>186.52700727708947</c:v>
                </c:pt>
                <c:pt idx="15">
                  <c:v>190.18840380437496</c:v>
                </c:pt>
                <c:pt idx="16">
                  <c:v>193.82458312294312</c:v>
                </c:pt>
                <c:pt idx="17">
                  <c:v>202.79810980823669</c:v>
                </c:pt>
                <c:pt idx="18">
                  <c:v>203.70228400621212</c:v>
                </c:pt>
                <c:pt idx="19">
                  <c:v>208.94596969216639</c:v>
                </c:pt>
                <c:pt idx="20">
                  <c:v>212.98209780893055</c:v>
                </c:pt>
                <c:pt idx="21">
                  <c:v>221.90069807386837</c:v>
                </c:pt>
                <c:pt idx="22">
                  <c:v>223.9931982890337</c:v>
                </c:pt>
                <c:pt idx="23">
                  <c:v>226.00043183659608</c:v>
                </c:pt>
                <c:pt idx="24">
                  <c:v>227.92730662211017</c:v>
                </c:pt>
                <c:pt idx="25">
                  <c:v>229.77847214927453</c:v>
                </c:pt>
                <c:pt idx="26">
                  <c:v>231.55833305357334</c:v>
                </c:pt>
                <c:pt idx="27">
                  <c:v>233.27106192856269</c:v>
                </c:pt>
                <c:pt idx="28">
                  <c:v>234.92061148176009</c:v>
                </c:pt>
                <c:pt idx="29">
                  <c:v>236.51072605516339</c:v>
                </c:pt>
                <c:pt idx="30">
                  <c:v>238.04495254359671</c:v>
                </c:pt>
                <c:pt idx="31">
                  <c:v>239.52665074234577</c:v>
                </c:pt>
                <c:pt idx="32">
                  <c:v>240.95900315390188</c:v>
                </c:pt>
                <c:pt idx="33">
                  <c:v>242.34502428207563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653376"/>
        <c:axId val="231654912"/>
      </c:lineChart>
      <c:catAx>
        <c:axId val="23165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1654912"/>
        <c:crosses val="autoZero"/>
        <c:auto val="1"/>
        <c:lblAlgn val="ctr"/>
        <c:lblOffset val="100"/>
        <c:noMultiLvlLbl val="0"/>
      </c:catAx>
      <c:valAx>
        <c:axId val="231654912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Financing on Average Residential Bill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>
            <c:manualLayout>
              <c:xMode val="edge"/>
              <c:yMode val="edge"/>
              <c:x val="2.8755384565613929E-2"/>
              <c:y val="6.6733724832625824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23165337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'1'!$B$46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'1'!$F$42:$X$42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'1'!$F$46:$AM$46</c:f>
              <c:numCache>
                <c:formatCode>0</c:formatCode>
                <c:ptCount val="34"/>
                <c:pt idx="0">
                  <c:v>4674.4100000000035</c:v>
                </c:pt>
                <c:pt idx="1">
                  <c:v>9541.7694822666708</c:v>
                </c:pt>
                <c:pt idx="2">
                  <c:v>14586.964590797612</c:v>
                </c:pt>
                <c:pt idx="3">
                  <c:v>21172.876123505244</c:v>
                </c:pt>
                <c:pt idx="4">
                  <c:v>27211.837435680754</c:v>
                </c:pt>
                <c:pt idx="5">
                  <c:v>33083.784368586879</c:v>
                </c:pt>
                <c:pt idx="6">
                  <c:v>38587.886721084506</c:v>
                </c:pt>
                <c:pt idx="7">
                  <c:v>44967.642513701969</c:v>
                </c:pt>
                <c:pt idx="8">
                  <c:v>50768.930600204651</c:v>
                </c:pt>
                <c:pt idx="9">
                  <c:v>56055.801568022216</c:v>
                </c:pt>
                <c:pt idx="10">
                  <c:v>62290.88050809026</c:v>
                </c:pt>
                <c:pt idx="11">
                  <c:v>68274.380693977</c:v>
                </c:pt>
                <c:pt idx="12">
                  <c:v>73391.101577696609</c:v>
                </c:pt>
                <c:pt idx="13">
                  <c:v>78103.471133015177</c:v>
                </c:pt>
                <c:pt idx="14">
                  <c:v>81593.984327921804</c:v>
                </c:pt>
                <c:pt idx="15">
                  <c:v>85014.645952543564</c:v>
                </c:pt>
                <c:pt idx="16">
                  <c:v>87595.826697887882</c:v>
                </c:pt>
                <c:pt idx="17">
                  <c:v>89375.329976107198</c:v>
                </c:pt>
                <c:pt idx="18">
                  <c:v>88679.201972120005</c:v>
                </c:pt>
                <c:pt idx="19">
                  <c:v>87180.074313626596</c:v>
                </c:pt>
                <c:pt idx="20">
                  <c:v>84827.756678885475</c:v>
                </c:pt>
                <c:pt idx="21">
                  <c:v>81567.844687867866</c:v>
                </c:pt>
                <c:pt idx="22">
                  <c:v>77341.489557519657</c:v>
                </c:pt>
                <c:pt idx="23">
                  <c:v>72085.152425722859</c:v>
                </c:pt>
                <c:pt idx="24">
                  <c:v>65730.342538451616</c:v>
                </c:pt>
                <c:pt idx="25">
                  <c:v>58203.338445733585</c:v>
                </c:pt>
                <c:pt idx="26">
                  <c:v>49424.891300620257</c:v>
                </c:pt>
                <c:pt idx="27">
                  <c:v>39309.909301293243</c:v>
                </c:pt>
                <c:pt idx="28">
                  <c:v>27767.122259535452</c:v>
                </c:pt>
                <c:pt idx="29">
                  <c:v>14698.725218913982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092736"/>
        <c:axId val="267094656"/>
      </c:areaChart>
      <c:barChart>
        <c:barDir val="col"/>
        <c:grouping val="clustered"/>
        <c:varyColors val="0"/>
        <c:ser>
          <c:idx val="2"/>
          <c:order val="1"/>
          <c:tx>
            <c:strRef>
              <c:f>'1'!$B$45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'1'!$F$42:$X$42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'1'!$F$45:$AM$45</c:f>
              <c:numCache>
                <c:formatCode>0</c:formatCode>
                <c:ptCount val="34"/>
                <c:pt idx="0">
                  <c:v>7420.9596822350413</c:v>
                </c:pt>
                <c:pt idx="1">
                  <c:v>7206.464301720689</c:v>
                </c:pt>
                <c:pt idx="2">
                  <c:v>6995.0669709618442</c:v>
                </c:pt>
                <c:pt idx="3">
                  <c:v>6328.7853806148069</c:v>
                </c:pt>
                <c:pt idx="4">
                  <c:v>5887.7985064873264</c:v>
                </c:pt>
                <c:pt idx="5">
                  <c:v>6153.8369323420402</c:v>
                </c:pt>
                <c:pt idx="6">
                  <c:v>6431.8962254110893</c:v>
                </c:pt>
                <c:pt idx="7">
                  <c:v>6722.5195450073488</c:v>
                </c:pt>
                <c:pt idx="8">
                  <c:v>7026.2745929358307</c:v>
                </c:pt>
                <c:pt idx="9">
                  <c:v>7343.7547224389082</c:v>
                </c:pt>
                <c:pt idx="10">
                  <c:v>7675.5800972488814</c:v>
                </c:pt>
                <c:pt idx="11">
                  <c:v>8022.3989030120101</c:v>
                </c:pt>
                <c:pt idx="12">
                  <c:v>8384.8886134503518</c:v>
                </c:pt>
                <c:pt idx="13">
                  <c:v>8763.7573137347808</c:v>
                </c:pt>
                <c:pt idx="14">
                  <c:v>9159.7450836541848</c:v>
                </c:pt>
                <c:pt idx="15">
                  <c:v>9573.6254432828046</c:v>
                </c:pt>
                <c:pt idx="16">
                  <c:v>10006.206863969552</c:v>
                </c:pt>
                <c:pt idx="17">
                  <c:v>10458.334347600994</c:v>
                </c:pt>
                <c:pt idx="18">
                  <c:v>10930.891077222843</c:v>
                </c:pt>
                <c:pt idx="19">
                  <c:v>11424.800142244268</c:v>
                </c:pt>
                <c:pt idx="20">
                  <c:v>11941.026341595087</c:v>
                </c:pt>
                <c:pt idx="21">
                  <c:v>12480.578068358049</c:v>
                </c:pt>
                <c:pt idx="22">
                  <c:v>13044.509279557687</c:v>
                </c:pt>
                <c:pt idx="23">
                  <c:v>13633.921554953497</c:v>
                </c:pt>
                <c:pt idx="24">
                  <c:v>14249.966248859037</c:v>
                </c:pt>
                <c:pt idx="25">
                  <c:v>14893.846739190391</c:v>
                </c:pt>
                <c:pt idx="26">
                  <c:v>15566.820778137162</c:v>
                </c:pt>
                <c:pt idx="27">
                  <c:v>16270.202949047905</c:v>
                </c:pt>
                <c:pt idx="28">
                  <c:v>17005.367234329096</c:v>
                </c:pt>
                <c:pt idx="29">
                  <c:v>17773.749699373966</c:v>
                </c:pt>
                <c:pt idx="30">
                  <c:v>18576.851297763777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7092736"/>
        <c:axId val="267094656"/>
      </c:barChart>
      <c:lineChart>
        <c:grouping val="standard"/>
        <c:varyColors val="0"/>
        <c:ser>
          <c:idx val="0"/>
          <c:order val="0"/>
          <c:tx>
            <c:strRef>
              <c:f>'1'!$B$43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'1'!$B$44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092736"/>
        <c:axId val="267094656"/>
      </c:lineChart>
      <c:catAx>
        <c:axId val="26709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67094656"/>
        <c:crosses val="autoZero"/>
        <c:auto val="1"/>
        <c:lblAlgn val="ctr"/>
        <c:lblOffset val="100"/>
        <c:noMultiLvlLbl val="0"/>
      </c:catAx>
      <c:valAx>
        <c:axId val="2670946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2670927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'1'!$B$51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'1'!$C$51:$AM$51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'1'!$B$52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'1'!$B$53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'1'!$B$54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'1'!$C$50:$AM$50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'1'!$C$54:$AM$54</c:f>
              <c:numCache>
                <c:formatCode>0</c:formatCode>
                <c:ptCount val="37"/>
                <c:pt idx="3">
                  <c:v>130.4878326180891</c:v>
                </c:pt>
                <c:pt idx="4">
                  <c:v>133.33300298964929</c:v>
                </c:pt>
                <c:pt idx="5">
                  <c:v>136.22630006702136</c:v>
                </c:pt>
                <c:pt idx="6">
                  <c:v>138.53732368871547</c:v>
                </c:pt>
                <c:pt idx="7">
                  <c:v>141.85423780473954</c:v>
                </c:pt>
                <c:pt idx="8">
                  <c:v>148.22049430356969</c:v>
                </c:pt>
                <c:pt idx="9">
                  <c:v>157.33336425970046</c:v>
                </c:pt>
                <c:pt idx="10">
                  <c:v>156.23392391634266</c:v>
                </c:pt>
                <c:pt idx="11">
                  <c:v>171.07627234402895</c:v>
                </c:pt>
                <c:pt idx="12">
                  <c:v>171.10622249686759</c:v>
                </c:pt>
                <c:pt idx="13">
                  <c:v>176.87600420141143</c:v>
                </c:pt>
                <c:pt idx="14">
                  <c:v>180.94458269122916</c:v>
                </c:pt>
                <c:pt idx="15">
                  <c:v>187.31574812892663</c:v>
                </c:pt>
                <c:pt idx="16">
                  <c:v>193.76438504501826</c:v>
                </c:pt>
                <c:pt idx="17">
                  <c:v>205.63655539557791</c:v>
                </c:pt>
                <c:pt idx="18">
                  <c:v>209.50997214018307</c:v>
                </c:pt>
                <c:pt idx="19">
                  <c:v>217.7967119534527</c:v>
                </c:pt>
                <c:pt idx="20">
                  <c:v>224.95347022462738</c:v>
                </c:pt>
                <c:pt idx="21">
                  <c:v>236.9716513089819</c:v>
                </c:pt>
                <c:pt idx="22">
                  <c:v>242.37776592770444</c:v>
                </c:pt>
                <c:pt idx="23">
                  <c:v>247.80449822643089</c:v>
                </c:pt>
                <c:pt idx="24">
                  <c:v>253.26140392838437</c:v>
                </c:pt>
                <c:pt idx="25">
                  <c:v>258.75796670713385</c:v>
                </c:pt>
                <c:pt idx="26">
                  <c:v>264.30361937160961</c:v>
                </c:pt>
                <c:pt idx="27">
                  <c:v>269.90776465591864</c:v>
                </c:pt>
                <c:pt idx="28">
                  <c:v>275.57979566367362</c:v>
                </c:pt>
                <c:pt idx="29">
                  <c:v>281.32911601514206</c:v>
                </c:pt>
                <c:pt idx="30">
                  <c:v>287.16515974423095</c:v>
                </c:pt>
                <c:pt idx="31">
                  <c:v>293.09741099115598</c:v>
                </c:pt>
                <c:pt idx="32">
                  <c:v>299.13542353558603</c:v>
                </c:pt>
                <c:pt idx="33">
                  <c:v>305.28884021410846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198720"/>
        <c:axId val="277502976"/>
      </c:lineChart>
      <c:catAx>
        <c:axId val="27719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77502976"/>
        <c:crosses val="autoZero"/>
        <c:auto val="1"/>
        <c:lblAlgn val="ctr"/>
        <c:lblOffset val="100"/>
        <c:noMultiLvlLbl val="0"/>
      </c:catAx>
      <c:valAx>
        <c:axId val="277502976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Financing on Average Residential Bill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>
            <c:manualLayout>
              <c:xMode val="edge"/>
              <c:yMode val="edge"/>
              <c:x val="1.0482611440547109E-2"/>
              <c:y val="5.7843967967476088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27719872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'2'!$B$46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'2'!$F$42:$X$42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'2'!$F$46:$AM$46</c:f>
              <c:numCache>
                <c:formatCode>0</c:formatCode>
                <c:ptCount val="34"/>
                <c:pt idx="0">
                  <c:v>4674.409999999998</c:v>
                </c:pt>
                <c:pt idx="1">
                  <c:v>9543.546148933332</c:v>
                </c:pt>
                <c:pt idx="2">
                  <c:v>14588.832151730943</c:v>
                </c:pt>
                <c:pt idx="3">
                  <c:v>21174.839228855923</c:v>
                </c:pt>
                <c:pt idx="4">
                  <c:v>27212.136731076924</c:v>
                </c:pt>
                <c:pt idx="5">
                  <c:v>33082.393969190685</c:v>
                </c:pt>
                <c:pt idx="6">
                  <c:v>38584.788369583177</c:v>
                </c:pt>
                <c:pt idx="7">
                  <c:v>44962.826658413236</c:v>
                </c:pt>
                <c:pt idx="8">
                  <c:v>50762.39757221828</c:v>
                </c:pt>
                <c:pt idx="9">
                  <c:v>56047.56286500502</c:v>
                </c:pt>
                <c:pt idx="10">
                  <c:v>62280.960192914099</c:v>
                </c:pt>
                <c:pt idx="11">
                  <c:v>68262.816916895914</c:v>
                </c:pt>
                <c:pt idx="12">
                  <c:v>73377.948231403265</c:v>
                </c:pt>
                <c:pt idx="13">
                  <c:v>78088.79965054967</c:v>
                </c:pt>
                <c:pt idx="14">
                  <c:v>81577.885634090941</c:v>
                </c:pt>
                <c:pt idx="15">
                  <c:v>84997.232580237731</c:v>
                </c:pt>
                <c:pt idx="16">
                  <c:v>87577.235081458988</c:v>
                </c:pt>
                <c:pt idx="17">
                  <c:v>89355.72293479729</c:v>
                </c:pt>
                <c:pt idx="18">
                  <c:v>88658.771397409713</c:v>
                </c:pt>
                <c:pt idx="19">
                  <c:v>87159.044075308178</c:v>
                </c:pt>
                <c:pt idx="20">
                  <c:v>84806.385765660656</c:v>
                </c:pt>
                <c:pt idx="21">
                  <c:v>81546.430599330051</c:v>
                </c:pt>
                <c:pt idx="22">
                  <c:v>77320.371965506478</c:v>
                </c:pt>
                <c:pt idx="23">
                  <c:v>72064.717124222982</c:v>
                </c:pt>
                <c:pt idx="24">
                  <c:v>65711.025702524043</c:v>
                </c:pt>
                <c:pt idx="25">
                  <c:v>58185.631221252144</c:v>
                </c:pt>
                <c:pt idx="26">
                  <c:v>49409.344748096046</c:v>
                </c:pt>
                <c:pt idx="27">
                  <c:v>39297.139718558828</c:v>
                </c:pt>
                <c:pt idx="28">
                  <c:v>27757.816909701542</c:v>
                </c:pt>
                <c:pt idx="29">
                  <c:v>14693.648491738533</c:v>
                </c:pt>
                <c:pt idx="30">
                  <c:v>1.9634517229860649E-5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484224"/>
        <c:axId val="292485760"/>
      </c:areaChart>
      <c:barChart>
        <c:barDir val="col"/>
        <c:grouping val="clustered"/>
        <c:varyColors val="0"/>
        <c:ser>
          <c:idx val="2"/>
          <c:order val="1"/>
          <c:tx>
            <c:strRef>
              <c:f>'2'!$B$45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'2'!$F$42:$X$42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'2'!$F$45:$AM$45</c:f>
              <c:numCache>
                <c:formatCode>0</c:formatCode>
                <c:ptCount val="34"/>
                <c:pt idx="0">
                  <c:v>7420.9596822350468</c:v>
                </c:pt>
                <c:pt idx="1">
                  <c:v>7204.6876350540224</c:v>
                </c:pt>
                <c:pt idx="2">
                  <c:v>6995.0669709618414</c:v>
                </c:pt>
                <c:pt idx="3">
                  <c:v>6328.7853806148059</c:v>
                </c:pt>
                <c:pt idx="4">
                  <c:v>5889.562748911575</c:v>
                </c:pt>
                <c:pt idx="5">
                  <c:v>6155.5419390868692</c:v>
                </c:pt>
                <c:pt idx="6">
                  <c:v>6433.5330446831131</c:v>
                </c:pt>
                <c:pt idx="7">
                  <c:v>6724.0785371319444</c:v>
                </c:pt>
                <c:pt idx="8">
                  <c:v>7027.7453864769068</c:v>
                </c:pt>
                <c:pt idx="9">
                  <c:v>7345.1261677579505</c:v>
                </c:pt>
                <c:pt idx="10">
                  <c:v>7676.8402173614904</c:v>
                </c:pt>
                <c:pt idx="11">
                  <c:v>8023.5348415925164</c:v>
                </c:pt>
                <c:pt idx="12">
                  <c:v>8385.8865798271454</c:v>
                </c:pt>
                <c:pt idx="13">
                  <c:v>8764.6025247105754</c:v>
                </c:pt>
                <c:pt idx="14">
                  <c:v>9160.4217019766056</c:v>
                </c:pt>
                <c:pt idx="15">
                  <c:v>9574.1165125813841</c:v>
                </c:pt>
                <c:pt idx="16">
                  <c:v>10006.494239965463</c:v>
                </c:pt>
                <c:pt idx="17">
                  <c:v>10458.398625385522</c:v>
                </c:pt>
                <c:pt idx="18">
                  <c:v>10930.711514389806</c:v>
                </c:pt>
                <c:pt idx="19">
                  <c:v>11424.354577650227</c:v>
                </c:pt>
                <c:pt idx="20">
                  <c:v>11940.291109509128</c:v>
                </c:pt>
                <c:pt idx="21">
                  <c:v>12479.527907750462</c:v>
                </c:pt>
                <c:pt idx="22">
                  <c:v>13043.117238263474</c:v>
                </c:pt>
                <c:pt idx="23">
                  <c:v>13632.158888432812</c:v>
                </c:pt>
                <c:pt idx="24">
                  <c:v>14247.802313261995</c:v>
                </c:pt>
                <c:pt idx="25">
                  <c:v>14891.248878418204</c:v>
                </c:pt>
                <c:pt idx="26">
                  <c:v>15563.754204575462</c:v>
                </c:pt>
                <c:pt idx="27">
                  <c:v>16266.630617630974</c:v>
                </c:pt>
                <c:pt idx="28">
                  <c:v>17001.249709575906</c:v>
                </c:pt>
                <c:pt idx="29">
                  <c:v>17769.045015018004</c:v>
                </c:pt>
                <c:pt idx="30">
                  <c:v>18571.514808578864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2484224"/>
        <c:axId val="292485760"/>
      </c:barChart>
      <c:lineChart>
        <c:grouping val="standard"/>
        <c:varyColors val="0"/>
        <c:ser>
          <c:idx val="0"/>
          <c:order val="0"/>
          <c:tx>
            <c:strRef>
              <c:f>'2'!$B$43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'2'!$F$42:$AK$42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'2'!$F$43:$X$43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'2'!$B$44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'2'!$F$42:$AK$42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'2'!$F$44:$AM$44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484224"/>
        <c:axId val="292485760"/>
      </c:lineChart>
      <c:catAx>
        <c:axId val="29248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92485760"/>
        <c:crosses val="autoZero"/>
        <c:auto val="1"/>
        <c:lblAlgn val="ctr"/>
        <c:lblOffset val="100"/>
        <c:noMultiLvlLbl val="0"/>
      </c:catAx>
      <c:valAx>
        <c:axId val="2924857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2924842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</xdr:row>
      <xdr:rowOff>0</xdr:rowOff>
    </xdr:from>
    <xdr:to>
      <xdr:col>26</xdr:col>
      <xdr:colOff>325211</xdr:colOff>
      <xdr:row>15</xdr:row>
      <xdr:rowOff>47625</xdr:rowOff>
    </xdr:to>
    <xdr:pic>
      <xdr:nvPicPr>
        <xdr:cNvPr id="2" name="Picture 3" descr="image00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3833"/>
        <a:stretch/>
      </xdr:blipFill>
      <xdr:spPr bwMode="auto">
        <a:xfrm>
          <a:off x="9144000" y="190500"/>
          <a:ext cx="7030811" cy="271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69633" name="Button 1" hidden="1">
              <a:extLst>
                <a:ext uri="{63B3BB69-23CF-44E3-9099-C40C66FF867C}">
                  <a14:compatExt spid="_x0000_s696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69634" name="Button 2" hidden="1">
              <a:extLst>
                <a:ext uri="{63B3BB69-23CF-44E3-9099-C40C66FF867C}">
                  <a14:compatExt spid="_x0000_s696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69635" name="Button 3" hidden="1">
              <a:extLst>
                <a:ext uri="{63B3BB69-23CF-44E3-9099-C40C66FF867C}">
                  <a14:compatExt spid="_x0000_s696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69636" name="Button 4" hidden="1">
              <a:extLst>
                <a:ext uri="{63B3BB69-23CF-44E3-9099-C40C66FF867C}">
                  <a14:compatExt spid="_x0000_s696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68609" name="Button 1" hidden="1">
              <a:extLst>
                <a:ext uri="{63B3BB69-23CF-44E3-9099-C40C66FF867C}">
                  <a14:compatExt spid="_x0000_s686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68610" name="Button 2" hidden="1">
              <a:extLst>
                <a:ext uri="{63B3BB69-23CF-44E3-9099-C40C66FF867C}">
                  <a14:compatExt spid="_x0000_s686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68611" name="Button 3" hidden="1">
              <a:extLst>
                <a:ext uri="{63B3BB69-23CF-44E3-9099-C40C66FF867C}">
                  <a14:compatExt spid="_x0000_s686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68612" name="Button 4" hidden="1">
              <a:extLst>
                <a:ext uri="{63B3BB69-23CF-44E3-9099-C40C66FF867C}">
                  <a14:compatExt spid="_x0000_s686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67585" name="Button 1" hidden="1">
              <a:extLst>
                <a:ext uri="{63B3BB69-23CF-44E3-9099-C40C66FF867C}">
                  <a14:compatExt spid="_x0000_s675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67586" name="Button 2" hidden="1">
              <a:extLst>
                <a:ext uri="{63B3BB69-23CF-44E3-9099-C40C66FF867C}">
                  <a14:compatExt spid="_x0000_s675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67587" name="Button 3" hidden="1">
              <a:extLst>
                <a:ext uri="{63B3BB69-23CF-44E3-9099-C40C66FF867C}">
                  <a14:compatExt spid="_x0000_s675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67588" name="Button 4" hidden="1">
              <a:extLst>
                <a:ext uri="{63B3BB69-23CF-44E3-9099-C40C66FF867C}">
                  <a14:compatExt spid="_x0000_s675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277905</xdr:colOff>
      <xdr:row>19</xdr:row>
      <xdr:rowOff>22691</xdr:rowOff>
    </xdr:from>
    <xdr:to>
      <xdr:col>19</xdr:col>
      <xdr:colOff>123266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93185" name="Button 1" hidden="1">
              <a:extLst>
                <a:ext uri="{63B3BB69-23CF-44E3-9099-C40C66FF867C}">
                  <a14:compatExt spid="_x0000_s93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93186" name="Button 2" hidden="1">
              <a:extLst>
                <a:ext uri="{63B3BB69-23CF-44E3-9099-C40C66FF867C}">
                  <a14:compatExt spid="_x0000_s93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93187" name="Button 3" hidden="1">
              <a:extLst>
                <a:ext uri="{63B3BB69-23CF-44E3-9099-C40C66FF867C}">
                  <a14:compatExt spid="_x0000_s93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93188" name="Button 4" hidden="1">
              <a:extLst>
                <a:ext uri="{63B3BB69-23CF-44E3-9099-C40C66FF867C}">
                  <a14:compatExt spid="_x0000_s93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277905</xdr:colOff>
      <xdr:row>19</xdr:row>
      <xdr:rowOff>22691</xdr:rowOff>
    </xdr:from>
    <xdr:to>
      <xdr:col>18</xdr:col>
      <xdr:colOff>313766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94209" name="Button 1" hidden="1">
              <a:extLst>
                <a:ext uri="{63B3BB69-23CF-44E3-9099-C40C66FF867C}">
                  <a14:compatExt spid="_x0000_s94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94210" name="Button 2" hidden="1">
              <a:extLst>
                <a:ext uri="{63B3BB69-23CF-44E3-9099-C40C66FF867C}">
                  <a14:compatExt spid="_x0000_s94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94211" name="Button 3" hidden="1">
              <a:extLst>
                <a:ext uri="{63B3BB69-23CF-44E3-9099-C40C66FF867C}">
                  <a14:compatExt spid="_x0000_s94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94212" name="Button 4" hidden="1">
              <a:extLst>
                <a:ext uri="{63B3BB69-23CF-44E3-9099-C40C66FF867C}">
                  <a14:compatExt spid="_x0000_s94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277905</xdr:colOff>
      <xdr:row>19</xdr:row>
      <xdr:rowOff>22691</xdr:rowOff>
    </xdr:from>
    <xdr:to>
      <xdr:col>19</xdr:col>
      <xdr:colOff>56030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100353" name="Button 1" hidden="1">
              <a:extLst>
                <a:ext uri="{63B3BB69-23CF-44E3-9099-C40C66FF867C}">
                  <a14:compatExt spid="_x0000_s100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100354" name="Button 2" hidden="1">
              <a:extLst>
                <a:ext uri="{63B3BB69-23CF-44E3-9099-C40C66FF867C}">
                  <a14:compatExt spid="_x0000_s100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00355" name="Button 3" hidden="1">
              <a:extLst>
                <a:ext uri="{63B3BB69-23CF-44E3-9099-C40C66FF867C}">
                  <a14:compatExt spid="_x0000_s100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00356" name="Button 4" hidden="1">
              <a:extLst>
                <a:ext uri="{63B3BB69-23CF-44E3-9099-C40C66FF867C}">
                  <a14:compatExt spid="_x0000_s100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277905</xdr:colOff>
      <xdr:row>19</xdr:row>
      <xdr:rowOff>22691</xdr:rowOff>
    </xdr:from>
    <xdr:to>
      <xdr:col>19</xdr:col>
      <xdr:colOff>56030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101377" name="Button 1" hidden="1">
              <a:extLst>
                <a:ext uri="{63B3BB69-23CF-44E3-9099-C40C66FF867C}">
                  <a14:compatExt spid="_x0000_s101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101378" name="Button 2" hidden="1">
              <a:extLst>
                <a:ext uri="{63B3BB69-23CF-44E3-9099-C40C66FF867C}">
                  <a14:compatExt spid="_x0000_s1013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01379" name="Button 3" hidden="1">
              <a:extLst>
                <a:ext uri="{63B3BB69-23CF-44E3-9099-C40C66FF867C}">
                  <a14:compatExt spid="_x0000_s1013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01380" name="Button 4" hidden="1">
              <a:extLst>
                <a:ext uri="{63B3BB69-23CF-44E3-9099-C40C66FF867C}">
                  <a14:compatExt spid="_x0000_s101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277905</xdr:colOff>
      <xdr:row>19</xdr:row>
      <xdr:rowOff>22691</xdr:rowOff>
    </xdr:from>
    <xdr:to>
      <xdr:col>19</xdr:col>
      <xdr:colOff>56030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102401" name="Button 1" hidden="1">
              <a:extLst>
                <a:ext uri="{63B3BB69-23CF-44E3-9099-C40C66FF867C}">
                  <a14:compatExt spid="_x0000_s1024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102402" name="Button 2" hidden="1">
              <a:extLst>
                <a:ext uri="{63B3BB69-23CF-44E3-9099-C40C66FF867C}">
                  <a14:compatExt spid="_x0000_s1024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02403" name="Button 3" hidden="1">
              <a:extLst>
                <a:ext uri="{63B3BB69-23CF-44E3-9099-C40C66FF867C}">
                  <a14:compatExt spid="_x0000_s1024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02404" name="Button 4" hidden="1">
              <a:extLst>
                <a:ext uri="{63B3BB69-23CF-44E3-9099-C40C66FF867C}">
                  <a14:compatExt spid="_x0000_s1024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15</xdr:row>
      <xdr:rowOff>166686</xdr:rowOff>
    </xdr:from>
    <xdr:to>
      <xdr:col>7</xdr:col>
      <xdr:colOff>571500</xdr:colOff>
      <xdr:row>32</xdr:row>
      <xdr:rowOff>133349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76200</xdr:colOff>
      <xdr:row>15</xdr:row>
      <xdr:rowOff>157161</xdr:rowOff>
    </xdr:from>
    <xdr:to>
      <xdr:col>18</xdr:col>
      <xdr:colOff>381000</xdr:colOff>
      <xdr:row>32</xdr:row>
      <xdr:rowOff>171450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66675</xdr:colOff>
          <xdr:row>11</xdr:row>
          <xdr:rowOff>95250</xdr:rowOff>
        </xdr:from>
        <xdr:to>
          <xdr:col>5</xdr:col>
          <xdr:colOff>1885950</xdr:colOff>
          <xdr:row>13</xdr:row>
          <xdr:rowOff>152400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Additional Payments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66675</xdr:colOff>
          <xdr:row>8</xdr:row>
          <xdr:rowOff>85725</xdr:rowOff>
        </xdr:from>
        <xdr:to>
          <xdr:col>5</xdr:col>
          <xdr:colOff>1847850</xdr:colOff>
          <xdr:row>10</xdr:row>
          <xdr:rowOff>95250</xdr:rowOff>
        </xdr:to>
        <xdr:sp macro="" textlink="">
          <xdr:nvSpPr>
            <xdr:cNvPr id="9219" name="Button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24</xdr:row>
      <xdr:rowOff>180975</xdr:rowOff>
    </xdr:from>
    <xdr:to>
      <xdr:col>19</xdr:col>
      <xdr:colOff>266700</xdr:colOff>
      <xdr:row>30</xdr:row>
      <xdr:rowOff>0</xdr:rowOff>
    </xdr:to>
    <xdr:pic>
      <xdr:nvPicPr>
        <xdr:cNvPr id="2" name="Picture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4819650"/>
          <a:ext cx="69723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</xdr:row>
      <xdr:rowOff>95250</xdr:rowOff>
    </xdr:from>
    <xdr:to>
      <xdr:col>12</xdr:col>
      <xdr:colOff>476250</xdr:colOff>
      <xdr:row>15</xdr:row>
      <xdr:rowOff>142875</xdr:rowOff>
    </xdr:to>
    <xdr:pic>
      <xdr:nvPicPr>
        <xdr:cNvPr id="2" name="Picture 3" descr="image00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3833"/>
        <a:stretch/>
      </xdr:blipFill>
      <xdr:spPr bwMode="auto">
        <a:xfrm>
          <a:off x="790575" y="285750"/>
          <a:ext cx="7000875" cy="271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16</xdr:col>
      <xdr:colOff>142875</xdr:colOff>
      <xdr:row>31</xdr:row>
      <xdr:rowOff>133350</xdr:rowOff>
    </xdr:to>
    <xdr:pic>
      <xdr:nvPicPr>
        <xdr:cNvPr id="3" name="Picture 4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9286875" cy="260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16</xdr:col>
      <xdr:colOff>142875</xdr:colOff>
      <xdr:row>45</xdr:row>
      <xdr:rowOff>123825</xdr:rowOff>
    </xdr:to>
    <xdr:pic>
      <xdr:nvPicPr>
        <xdr:cNvPr id="4" name="Picture 3" descr="image00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86500"/>
          <a:ext cx="9286875" cy="2409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476249</xdr:colOff>
      <xdr:row>47</xdr:row>
      <xdr:rowOff>43543</xdr:rowOff>
    </xdr:from>
    <xdr:to>
      <xdr:col>17</xdr:col>
      <xdr:colOff>322419</xdr:colOff>
      <xdr:row>61</xdr:row>
      <xdr:rowOff>176894</xdr:rowOff>
    </xdr:to>
    <xdr:pic>
      <xdr:nvPicPr>
        <xdr:cNvPr id="6" name="Picture 5" descr="image00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9" y="8997043"/>
          <a:ext cx="10255634" cy="2800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0</xdr:colOff>
      <xdr:row>16</xdr:row>
      <xdr:rowOff>54429</xdr:rowOff>
    </xdr:from>
    <xdr:to>
      <xdr:col>35</xdr:col>
      <xdr:colOff>304800</xdr:colOff>
      <xdr:row>29</xdr:row>
      <xdr:rowOff>187779</xdr:rowOff>
    </xdr:to>
    <xdr:pic>
      <xdr:nvPicPr>
        <xdr:cNvPr id="7" name="Picture 6" descr="image00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7607" y="3102429"/>
          <a:ext cx="9489622" cy="260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0</xdr:colOff>
      <xdr:row>34</xdr:row>
      <xdr:rowOff>0</xdr:rowOff>
    </xdr:from>
    <xdr:to>
      <xdr:col>35</xdr:col>
      <xdr:colOff>304800</xdr:colOff>
      <xdr:row>46</xdr:row>
      <xdr:rowOff>123825</xdr:rowOff>
    </xdr:to>
    <xdr:pic>
      <xdr:nvPicPr>
        <xdr:cNvPr id="9" name="Picture 8" descr="image004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6477000"/>
          <a:ext cx="9448800" cy="2409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277905</xdr:colOff>
      <xdr:row>19</xdr:row>
      <xdr:rowOff>22691</xdr:rowOff>
    </xdr:from>
    <xdr:to>
      <xdr:col>19</xdr:col>
      <xdr:colOff>56030</xdr:colOff>
      <xdr:row>34</xdr:row>
      <xdr:rowOff>22412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041" name="Button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042" name="Butto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277905</xdr:colOff>
      <xdr:row>19</xdr:row>
      <xdr:rowOff>22691</xdr:rowOff>
    </xdr:from>
    <xdr:to>
      <xdr:col>19</xdr:col>
      <xdr:colOff>56030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188417" name="Button 1" hidden="1">
              <a:extLst>
                <a:ext uri="{63B3BB69-23CF-44E3-9099-C40C66FF867C}">
                  <a14:compatExt spid="_x0000_s188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188418" name="Button 2" hidden="1">
              <a:extLst>
                <a:ext uri="{63B3BB69-23CF-44E3-9099-C40C66FF867C}">
                  <a14:compatExt spid="_x0000_s1884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88419" name="Button 3" hidden="1">
              <a:extLst>
                <a:ext uri="{63B3BB69-23CF-44E3-9099-C40C66FF867C}">
                  <a14:compatExt spid="_x0000_s1884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88420" name="Button 4" hidden="1">
              <a:extLst>
                <a:ext uri="{63B3BB69-23CF-44E3-9099-C40C66FF867C}">
                  <a14:compatExt spid="_x0000_s1884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277905</xdr:colOff>
      <xdr:row>19</xdr:row>
      <xdr:rowOff>22691</xdr:rowOff>
    </xdr:from>
    <xdr:to>
      <xdr:col>19</xdr:col>
      <xdr:colOff>56030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161793" name="Button 1" hidden="1">
              <a:extLst>
                <a:ext uri="{63B3BB69-23CF-44E3-9099-C40C66FF867C}">
                  <a14:compatExt spid="_x0000_s1617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161794" name="Button 2" hidden="1">
              <a:extLst>
                <a:ext uri="{63B3BB69-23CF-44E3-9099-C40C66FF867C}">
                  <a14:compatExt spid="_x0000_s1617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61795" name="Button 3" hidden="1">
              <a:extLst>
                <a:ext uri="{63B3BB69-23CF-44E3-9099-C40C66FF867C}">
                  <a14:compatExt spid="_x0000_s1617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61796" name="Button 4" hidden="1">
              <a:extLst>
                <a:ext uri="{63B3BB69-23CF-44E3-9099-C40C66FF867C}">
                  <a14:compatExt spid="_x0000_s1617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277905</xdr:colOff>
      <xdr:row>19</xdr:row>
      <xdr:rowOff>22691</xdr:rowOff>
    </xdr:from>
    <xdr:to>
      <xdr:col>18</xdr:col>
      <xdr:colOff>78442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95233" name="Button 1" hidden="1">
              <a:extLst>
                <a:ext uri="{63B3BB69-23CF-44E3-9099-C40C66FF867C}">
                  <a14:compatExt spid="_x0000_s95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95234" name="Button 2" hidden="1">
              <a:extLst>
                <a:ext uri="{63B3BB69-23CF-44E3-9099-C40C66FF867C}">
                  <a14:compatExt spid="_x0000_s95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95235" name="Button 3" hidden="1">
              <a:extLst>
                <a:ext uri="{63B3BB69-23CF-44E3-9099-C40C66FF867C}">
                  <a14:compatExt spid="_x0000_s95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95236" name="Button 4" hidden="1">
              <a:extLst>
                <a:ext uri="{63B3BB69-23CF-44E3-9099-C40C66FF867C}">
                  <a14:compatExt spid="_x0000_s95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277905</xdr:colOff>
      <xdr:row>19</xdr:row>
      <xdr:rowOff>22691</xdr:rowOff>
    </xdr:from>
    <xdr:to>
      <xdr:col>19</xdr:col>
      <xdr:colOff>56030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115713" name="Button 1" hidden="1">
              <a:extLst>
                <a:ext uri="{63B3BB69-23CF-44E3-9099-C40C66FF867C}">
                  <a14:compatExt spid="_x0000_s1157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115714" name="Button 2" hidden="1">
              <a:extLst>
                <a:ext uri="{63B3BB69-23CF-44E3-9099-C40C66FF867C}">
                  <a14:compatExt spid="_x0000_s1157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15715" name="Button 3" hidden="1">
              <a:extLst>
                <a:ext uri="{63B3BB69-23CF-44E3-9099-C40C66FF867C}">
                  <a14:compatExt spid="_x0000_s1157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15716" name="Button 4" hidden="1">
              <a:extLst>
                <a:ext uri="{63B3BB69-23CF-44E3-9099-C40C66FF867C}">
                  <a14:compatExt spid="_x0000_s1157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277905</xdr:colOff>
      <xdr:row>19</xdr:row>
      <xdr:rowOff>22691</xdr:rowOff>
    </xdr:from>
    <xdr:to>
      <xdr:col>19</xdr:col>
      <xdr:colOff>56030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139265" name="Button 1" hidden="1">
              <a:extLst>
                <a:ext uri="{63B3BB69-23CF-44E3-9099-C40C66FF867C}">
                  <a14:compatExt spid="_x0000_s139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139266" name="Button 2" hidden="1">
              <a:extLst>
                <a:ext uri="{63B3BB69-23CF-44E3-9099-C40C66FF867C}">
                  <a14:compatExt spid="_x0000_s139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39267" name="Button 3" hidden="1">
              <a:extLst>
                <a:ext uri="{63B3BB69-23CF-44E3-9099-C40C66FF867C}">
                  <a14:compatExt spid="_x0000_s139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39268" name="Button 4" hidden="1">
              <a:extLst>
                <a:ext uri="{63B3BB69-23CF-44E3-9099-C40C66FF867C}">
                  <a14:compatExt spid="_x0000_s139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277905</xdr:colOff>
      <xdr:row>19</xdr:row>
      <xdr:rowOff>22691</xdr:rowOff>
    </xdr:from>
    <xdr:to>
      <xdr:col>18</xdr:col>
      <xdr:colOff>268942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96257" name="Button 1" hidden="1">
              <a:extLst>
                <a:ext uri="{63B3BB69-23CF-44E3-9099-C40C66FF867C}">
                  <a14:compatExt spid="_x0000_s96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96258" name="Button 2" hidden="1">
              <a:extLst>
                <a:ext uri="{63B3BB69-23CF-44E3-9099-C40C66FF867C}">
                  <a14:compatExt spid="_x0000_s96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96259" name="Button 3" hidden="1">
              <a:extLst>
                <a:ext uri="{63B3BB69-23CF-44E3-9099-C40C66FF867C}">
                  <a14:compatExt spid="_x0000_s96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96260" name="Button 4" hidden="1">
              <a:extLst>
                <a:ext uri="{63B3BB69-23CF-44E3-9099-C40C66FF867C}">
                  <a14:compatExt spid="_x0000_s96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5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9.xml"/><Relationship Id="rId6" Type="http://schemas.openxmlformats.org/officeDocument/2006/relationships/ctrlProp" Target="../ctrlProps/ctrlProp28.xml"/><Relationship Id="rId5" Type="http://schemas.openxmlformats.org/officeDocument/2006/relationships/ctrlProp" Target="../ctrlProps/ctrlProp27.xml"/><Relationship Id="rId4" Type="http://schemas.openxmlformats.org/officeDocument/2006/relationships/ctrlProp" Target="../ctrlProps/ctrlProp2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9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10.xml"/><Relationship Id="rId6" Type="http://schemas.openxmlformats.org/officeDocument/2006/relationships/ctrlProp" Target="../ctrlProps/ctrlProp32.xml"/><Relationship Id="rId5" Type="http://schemas.openxmlformats.org/officeDocument/2006/relationships/ctrlProp" Target="../ctrlProps/ctrlProp31.xml"/><Relationship Id="rId4" Type="http://schemas.openxmlformats.org/officeDocument/2006/relationships/ctrlProp" Target="../ctrlProps/ctrlProp3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3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11.xml"/><Relationship Id="rId6" Type="http://schemas.openxmlformats.org/officeDocument/2006/relationships/ctrlProp" Target="../ctrlProps/ctrlProp36.xml"/><Relationship Id="rId5" Type="http://schemas.openxmlformats.org/officeDocument/2006/relationships/ctrlProp" Target="../ctrlProps/ctrlProp35.xml"/><Relationship Id="rId4" Type="http://schemas.openxmlformats.org/officeDocument/2006/relationships/ctrlProp" Target="../ctrlProps/ctrlProp34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7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2.xml"/><Relationship Id="rId6" Type="http://schemas.openxmlformats.org/officeDocument/2006/relationships/ctrlProp" Target="../ctrlProps/ctrlProp40.xml"/><Relationship Id="rId5" Type="http://schemas.openxmlformats.org/officeDocument/2006/relationships/ctrlProp" Target="../ctrlProps/ctrlProp39.xml"/><Relationship Id="rId4" Type="http://schemas.openxmlformats.org/officeDocument/2006/relationships/ctrlProp" Target="../ctrlProps/ctrlProp3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3.xml"/><Relationship Id="rId6" Type="http://schemas.openxmlformats.org/officeDocument/2006/relationships/ctrlProp" Target="../ctrlProps/ctrlProp44.xml"/><Relationship Id="rId5" Type="http://schemas.openxmlformats.org/officeDocument/2006/relationships/ctrlProp" Target="../ctrlProps/ctrlProp43.xml"/><Relationship Id="rId4" Type="http://schemas.openxmlformats.org/officeDocument/2006/relationships/ctrlProp" Target="../ctrlProps/ctrlProp4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5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4.xml"/><Relationship Id="rId6" Type="http://schemas.openxmlformats.org/officeDocument/2006/relationships/ctrlProp" Target="../ctrlProps/ctrlProp48.xml"/><Relationship Id="rId5" Type="http://schemas.openxmlformats.org/officeDocument/2006/relationships/ctrlProp" Target="../ctrlProps/ctrlProp47.xml"/><Relationship Id="rId4" Type="http://schemas.openxmlformats.org/officeDocument/2006/relationships/ctrlProp" Target="../ctrlProps/ctrlProp46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9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5.xml"/><Relationship Id="rId6" Type="http://schemas.openxmlformats.org/officeDocument/2006/relationships/ctrlProp" Target="../ctrlProps/ctrlProp52.xml"/><Relationship Id="rId5" Type="http://schemas.openxmlformats.org/officeDocument/2006/relationships/ctrlProp" Target="../ctrlProps/ctrlProp51.xml"/><Relationship Id="rId4" Type="http://schemas.openxmlformats.org/officeDocument/2006/relationships/ctrlProp" Target="../ctrlProps/ctrlProp5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3.x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6.xml"/><Relationship Id="rId6" Type="http://schemas.openxmlformats.org/officeDocument/2006/relationships/ctrlProp" Target="../ctrlProps/ctrlProp56.xml"/><Relationship Id="rId5" Type="http://schemas.openxmlformats.org/officeDocument/2006/relationships/ctrlProp" Target="../ctrlProps/ctrlProp55.xml"/><Relationship Id="rId4" Type="http://schemas.openxmlformats.org/officeDocument/2006/relationships/ctrlProp" Target="../ctrlProps/ctrlProp54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7.xml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17.xml"/><Relationship Id="rId6" Type="http://schemas.openxmlformats.org/officeDocument/2006/relationships/ctrlProp" Target="../ctrlProps/ctrlProp60.xml"/><Relationship Id="rId5" Type="http://schemas.openxmlformats.org/officeDocument/2006/relationships/ctrlProp" Target="../ctrlProps/ctrlProp59.xml"/><Relationship Id="rId4" Type="http://schemas.openxmlformats.org/officeDocument/2006/relationships/ctrlProp" Target="../ctrlProps/ctrlProp5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1.xml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18.xml"/><Relationship Id="rId5" Type="http://schemas.openxmlformats.org/officeDocument/2006/relationships/ctrlProp" Target="../ctrlProps/ctrlProp63.xml"/><Relationship Id="rId4" Type="http://schemas.openxmlformats.org/officeDocument/2006/relationships/ctrlProp" Target="../ctrlProps/ctrlProp6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5.xml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6.xml"/><Relationship Id="rId6" Type="http://schemas.openxmlformats.org/officeDocument/2006/relationships/ctrlProp" Target="../ctrlProps/ctrlProp16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7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7.xml"/><Relationship Id="rId6" Type="http://schemas.openxmlformats.org/officeDocument/2006/relationships/ctrlProp" Target="../ctrlProps/ctrlProp20.xml"/><Relationship Id="rId5" Type="http://schemas.openxmlformats.org/officeDocument/2006/relationships/ctrlProp" Target="../ctrlProps/ctrlProp19.xml"/><Relationship Id="rId4" Type="http://schemas.openxmlformats.org/officeDocument/2006/relationships/ctrlProp" Target="../ctrlProps/ctrlProp1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1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8.xml"/><Relationship Id="rId6" Type="http://schemas.openxmlformats.org/officeDocument/2006/relationships/ctrlProp" Target="../ctrlProps/ctrlProp24.xml"/><Relationship Id="rId5" Type="http://schemas.openxmlformats.org/officeDocument/2006/relationships/ctrlProp" Target="../ctrlProps/ctrlProp23.xml"/><Relationship Id="rId4" Type="http://schemas.openxmlformats.org/officeDocument/2006/relationships/ctrlProp" Target="../ctrlProps/ctrlProp2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12"/>
  <sheetViews>
    <sheetView workbookViewId="0">
      <selection activeCell="C2" sqref="C2:I12"/>
    </sheetView>
  </sheetViews>
  <sheetFormatPr defaultRowHeight="15" x14ac:dyDescent="0.25"/>
  <cols>
    <col min="3" max="3" width="20.42578125" bestFit="1" customWidth="1"/>
  </cols>
  <sheetData>
    <row r="2" spans="3:10" ht="15.75" x14ac:dyDescent="0.25">
      <c r="C2" s="167"/>
      <c r="D2" s="168">
        <v>2016</v>
      </c>
      <c r="E2" s="169">
        <v>2017</v>
      </c>
      <c r="F2" s="169">
        <v>2018</v>
      </c>
      <c r="G2" s="169">
        <v>2019</v>
      </c>
      <c r="H2" s="169">
        <v>2020</v>
      </c>
      <c r="I2" s="170">
        <v>2021</v>
      </c>
    </row>
    <row r="3" spans="3:10" ht="15.75" x14ac:dyDescent="0.25">
      <c r="C3" s="171" t="s">
        <v>258</v>
      </c>
      <c r="D3" s="177">
        <v>163</v>
      </c>
      <c r="E3" s="177">
        <v>172</v>
      </c>
      <c r="F3" s="177">
        <v>175</v>
      </c>
      <c r="G3" s="177">
        <v>178</v>
      </c>
      <c r="H3" s="177">
        <v>189</v>
      </c>
      <c r="I3" s="178">
        <v>187</v>
      </c>
    </row>
    <row r="4" spans="3:10" ht="15.75" x14ac:dyDescent="0.25">
      <c r="C4" s="172" t="s">
        <v>259</v>
      </c>
      <c r="D4" s="179">
        <v>145</v>
      </c>
      <c r="E4" s="180">
        <v>153</v>
      </c>
      <c r="F4" s="180">
        <v>155</v>
      </c>
      <c r="G4" s="180">
        <v>158</v>
      </c>
      <c r="H4" s="180">
        <v>168</v>
      </c>
      <c r="I4" s="181">
        <v>165</v>
      </c>
    </row>
    <row r="5" spans="3:10" ht="23.25" x14ac:dyDescent="0.35">
      <c r="C5" s="172" t="s">
        <v>209</v>
      </c>
      <c r="D5" s="182"/>
      <c r="E5" s="180">
        <f>Summary!J4</f>
        <v>-13.025</v>
      </c>
      <c r="F5" s="180">
        <f>(1.02/1.05)*E10-F4-F6</f>
        <v>-12.233699999999988</v>
      </c>
      <c r="G5" s="180">
        <f t="shared" ref="G5:I5" si="0">(1.02/1.05)*F10-G4-G6</f>
        <v>-12.387373999999975</v>
      </c>
      <c r="H5" s="180">
        <f t="shared" si="0"/>
        <v>-19.474921479999942</v>
      </c>
      <c r="I5" s="181">
        <f t="shared" si="0"/>
        <v>-13.515219909599933</v>
      </c>
      <c r="J5" t="s">
        <v>265</v>
      </c>
    </row>
    <row r="6" spans="3:10" ht="15.75" x14ac:dyDescent="0.25">
      <c r="C6" s="173" t="s">
        <v>260</v>
      </c>
      <c r="D6" s="183"/>
      <c r="E6" s="184">
        <v>-2.41</v>
      </c>
      <c r="F6" s="184">
        <v>-2.4500000000000002</v>
      </c>
      <c r="G6" s="184">
        <v>-2.4900000000000002</v>
      </c>
      <c r="H6" s="184">
        <v>-2.54</v>
      </c>
      <c r="I6" s="185">
        <v>-2.58</v>
      </c>
    </row>
    <row r="7" spans="3:10" ht="15.75" x14ac:dyDescent="0.25">
      <c r="C7" s="174" t="s">
        <v>154</v>
      </c>
      <c r="D7" s="186"/>
      <c r="E7" s="187">
        <f>SUM(E4:E6)</f>
        <v>137.565</v>
      </c>
      <c r="F7" s="187">
        <f t="shared" ref="F7:I7" si="1">SUM(F4:F6)</f>
        <v>140.31630000000001</v>
      </c>
      <c r="G7" s="187">
        <f t="shared" si="1"/>
        <v>143.12262600000003</v>
      </c>
      <c r="H7" s="187">
        <f t="shared" si="1"/>
        <v>145.98507852000006</v>
      </c>
      <c r="I7" s="188">
        <f t="shared" si="1"/>
        <v>148.90478009040007</v>
      </c>
    </row>
    <row r="8" spans="3:10" ht="23.25" x14ac:dyDescent="0.35">
      <c r="C8" s="172" t="s">
        <v>261</v>
      </c>
      <c r="D8" s="182"/>
      <c r="E8" s="180">
        <f>-E7*0.08</f>
        <v>-11.0052</v>
      </c>
      <c r="F8" s="180">
        <f t="shared" ref="F8:I8" si="2">-F7*0.08</f>
        <v>-11.225304000000001</v>
      </c>
      <c r="G8" s="180">
        <f t="shared" si="2"/>
        <v>-11.449810080000002</v>
      </c>
      <c r="H8" s="180">
        <f t="shared" si="2"/>
        <v>-11.678806281600005</v>
      </c>
      <c r="I8" s="181">
        <f t="shared" si="2"/>
        <v>-11.912382407232005</v>
      </c>
    </row>
    <row r="9" spans="3:10" ht="15.75" x14ac:dyDescent="0.25">
      <c r="C9" s="173" t="s">
        <v>156</v>
      </c>
      <c r="D9" s="183"/>
      <c r="E9" s="184">
        <f>E7*0.13</f>
        <v>17.88345</v>
      </c>
      <c r="F9" s="184">
        <f t="shared" ref="F9:I9" si="3">F7*0.13</f>
        <v>18.241119000000001</v>
      </c>
      <c r="G9" s="184">
        <f t="shared" si="3"/>
        <v>18.605941380000004</v>
      </c>
      <c r="H9" s="184">
        <f t="shared" si="3"/>
        <v>18.978060207600009</v>
      </c>
      <c r="I9" s="185">
        <f t="shared" si="3"/>
        <v>19.35762141175201</v>
      </c>
    </row>
    <row r="10" spans="3:10" ht="15.75" x14ac:dyDescent="0.25">
      <c r="C10" s="175" t="s">
        <v>262</v>
      </c>
      <c r="D10" s="189">
        <f>D3</f>
        <v>163</v>
      </c>
      <c r="E10" s="189">
        <f>SUM(E7:E9)</f>
        <v>144.44325000000001</v>
      </c>
      <c r="F10" s="189">
        <f t="shared" ref="F10:I10" si="4">SUM(F7:F9)</f>
        <v>147.33211500000002</v>
      </c>
      <c r="G10" s="189">
        <f t="shared" si="4"/>
        <v>150.27875730000005</v>
      </c>
      <c r="H10" s="189">
        <f t="shared" si="4"/>
        <v>153.28433244600006</v>
      </c>
      <c r="I10" s="190">
        <f t="shared" si="4"/>
        <v>156.35001909492007</v>
      </c>
    </row>
    <row r="11" spans="3:10" ht="23.25" x14ac:dyDescent="0.35">
      <c r="C11" s="172" t="s">
        <v>263</v>
      </c>
      <c r="D11" s="182"/>
      <c r="E11" s="192">
        <f>E10/D10-1</f>
        <v>-0.11384509202453985</v>
      </c>
      <c r="F11" s="192">
        <f>F10/E10-1</f>
        <v>2.0000000000000018E-2</v>
      </c>
      <c r="G11" s="192">
        <f t="shared" ref="G11:I11" si="5">G10/F10-1</f>
        <v>2.000000000000024E-2</v>
      </c>
      <c r="H11" s="192">
        <f t="shared" si="5"/>
        <v>2.0000000000000018E-2</v>
      </c>
      <c r="I11" s="193">
        <f t="shared" si="5"/>
        <v>2.0000000000000018E-2</v>
      </c>
    </row>
    <row r="12" spans="3:10" ht="31.5" x14ac:dyDescent="0.25">
      <c r="C12" s="176" t="s">
        <v>264</v>
      </c>
      <c r="D12" s="191"/>
      <c r="E12" s="194">
        <f>E10/E3-1</f>
        <v>-0.1602136627906976</v>
      </c>
      <c r="F12" s="194">
        <f t="shared" ref="F12:I12" si="6">F10/F3-1</f>
        <v>-0.15810219999999986</v>
      </c>
      <c r="G12" s="194">
        <f t="shared" si="6"/>
        <v>-0.1557373185393256</v>
      </c>
      <c r="H12" s="194">
        <f t="shared" si="6"/>
        <v>-0.18897178599999964</v>
      </c>
      <c r="I12" s="195">
        <f t="shared" si="6"/>
        <v>-0.16390364120363599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/>
  <dimension ref="A1:BT57"/>
  <sheetViews>
    <sheetView zoomScale="85" zoomScaleNormal="85" workbookViewId="0">
      <selection activeCell="K45" sqref="K45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31.7109375" style="105" customWidth="1"/>
    <col min="41" max="52" width="5.28515625" style="105" bestFit="1" customWidth="1"/>
    <col min="53" max="70" width="4.7109375" style="105" bestFit="1" customWidth="1"/>
    <col min="71" max="71" width="5.28515625" style="105" bestFit="1" customWidth="1"/>
    <col min="72" max="72" width="4.28515625" style="105" customWidth="1"/>
    <col min="73" max="16384" width="9.140625" style="105"/>
  </cols>
  <sheetData>
    <row r="1" spans="1:72" x14ac:dyDescent="0.25">
      <c r="A1" s="54"/>
      <c r="B1" s="46"/>
      <c r="I1" s="105" t="s">
        <v>232</v>
      </c>
      <c r="J1" s="105">
        <v>3</v>
      </c>
      <c r="L1" s="105" t="s">
        <v>233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53"/>
      <c r="AO3" s="154">
        <v>2017</v>
      </c>
      <c r="AP3" s="154">
        <v>2018</v>
      </c>
      <c r="AQ3" s="154">
        <v>2019</v>
      </c>
      <c r="AR3" s="154">
        <v>2020</v>
      </c>
      <c r="AS3" s="154">
        <v>2021</v>
      </c>
      <c r="AT3" s="154">
        <v>2022</v>
      </c>
      <c r="AU3" s="154">
        <v>2023</v>
      </c>
      <c r="AV3" s="154">
        <v>2024</v>
      </c>
      <c r="AW3" s="154">
        <v>2025</v>
      </c>
      <c r="AX3" s="154">
        <v>2026</v>
      </c>
      <c r="AY3" s="154">
        <v>2027</v>
      </c>
      <c r="AZ3" s="154">
        <v>2028</v>
      </c>
      <c r="BA3" s="154">
        <v>2029</v>
      </c>
      <c r="BB3" s="154">
        <v>2030</v>
      </c>
      <c r="BC3" s="154">
        <v>2031</v>
      </c>
      <c r="BD3" s="154">
        <v>2032</v>
      </c>
      <c r="BE3" s="154">
        <v>2033</v>
      </c>
      <c r="BF3" s="154">
        <v>2034</v>
      </c>
      <c r="BG3" s="154">
        <v>2035</v>
      </c>
      <c r="BH3" s="154">
        <v>2036</v>
      </c>
      <c r="BI3" s="154">
        <v>2037</v>
      </c>
      <c r="BJ3" s="154">
        <v>2038</v>
      </c>
      <c r="BK3" s="154">
        <v>2039</v>
      </c>
      <c r="BL3" s="154">
        <v>2040</v>
      </c>
      <c r="BM3" s="154">
        <v>2041</v>
      </c>
      <c r="BN3" s="154">
        <v>2042</v>
      </c>
      <c r="BO3" s="154">
        <v>2043</v>
      </c>
      <c r="BP3" s="154">
        <v>2044</v>
      </c>
      <c r="BQ3" s="154">
        <v>2045</v>
      </c>
      <c r="BR3" s="154">
        <v>2046</v>
      </c>
      <c r="BS3" s="154">
        <v>2047</v>
      </c>
      <c r="BT3" s="154">
        <v>2048</v>
      </c>
    </row>
    <row r="4" spans="1:72" ht="30" x14ac:dyDescent="0.25">
      <c r="C4" s="124"/>
      <c r="D4" s="32"/>
      <c r="I4" s="105" t="s">
        <v>237</v>
      </c>
      <c r="J4" s="59">
        <f ca="1">OFFSET('Impact Summary'!U$2, '4'!$J$1, 0)</f>
        <v>-7.75</v>
      </c>
      <c r="K4" s="59">
        <f ca="1">OFFSET('Impact Summary'!V$2, '4'!$J$1, 0)</f>
        <v>-7.2913025897127293</v>
      </c>
      <c r="L4" s="59">
        <f ca="1">OFFSET('Impact Summary'!W$2, '4'!$J$1, 0)</f>
        <v>-6.8645162772965378</v>
      </c>
      <c r="M4" s="59">
        <f ca="1">OFFSET('Impact Summary'!X$2, '4'!$J$1, 0)</f>
        <v>-13.875739574607909</v>
      </c>
      <c r="N4" s="59">
        <f ca="1">OFFSET('Impact Summary'!Y$2, '4'!$J$1, 0)</f>
        <v>-8.5800616444331776</v>
      </c>
      <c r="AN4" s="130" t="s">
        <v>221</v>
      </c>
      <c r="AO4" s="152">
        <f>'4'!F55/1.13</f>
        <v>-19.920000000000009</v>
      </c>
      <c r="AP4" s="152">
        <f>'4'!G55/1.13</f>
        <v>-19.530000000000015</v>
      </c>
      <c r="AQ4" s="152">
        <f>'4'!H55/1.13</f>
        <v>-19.169999999999984</v>
      </c>
      <c r="AR4" s="152">
        <f>'4'!I55/1.13</f>
        <v>-26.310000000000002</v>
      </c>
      <c r="AS4" s="152">
        <f>'4'!J55/1.13</f>
        <v>-21.139999999999986</v>
      </c>
      <c r="AT4" s="152">
        <f>'4'!K55/1.13</f>
        <v>-18.907228056542689</v>
      </c>
      <c r="AU4" s="152">
        <f>'4'!L55/1.13</f>
        <v>-15.625715601741764</v>
      </c>
      <c r="AV4" s="152">
        <f>'4'!M55/1.13</f>
        <v>-19.542757733630708</v>
      </c>
      <c r="AW4" s="152">
        <f>'4'!N55/1.13</f>
        <v>-15.00973931361221</v>
      </c>
      <c r="AX4" s="152">
        <f>'4'!O55/1.13</f>
        <v>-11.134605452819775</v>
      </c>
      <c r="AY4" s="152">
        <f>'4'!P55/1.13</f>
        <v>-15.593643987822825</v>
      </c>
      <c r="AZ4" s="152">
        <f>'4'!Q55/1.13</f>
        <v>-13.109894785343366</v>
      </c>
      <c r="BA4" s="152">
        <f>'4'!R55/1.13</f>
        <v>-7.2694353917733281</v>
      </c>
      <c r="BB4" s="152">
        <f>'4'!S55/1.13</f>
        <v>-4.3315259844201091</v>
      </c>
      <c r="BC4" s="152">
        <f>'4'!T55/1.13</f>
        <v>2.9769522330687668</v>
      </c>
      <c r="BD4" s="152">
        <f>'4'!U55/1.13</f>
        <v>3.3590149606928046</v>
      </c>
      <c r="BE4" s="152">
        <f>'4'!V55/1.13</f>
        <v>7.9183828440893071</v>
      </c>
      <c r="BF4" s="152">
        <f>'4'!W55/1.13</f>
        <v>11.89710722605604</v>
      </c>
      <c r="BG4" s="152">
        <f>'4'!X55/1.13</f>
        <v>24.519374119846695</v>
      </c>
      <c r="BH4" s="152">
        <f>'4'!Y55/1.13</f>
        <v>27.323454088336611</v>
      </c>
      <c r="BI4" s="152">
        <f>'4'!Z55/1.13</f>
        <v>30.069320219818675</v>
      </c>
      <c r="BJ4" s="152">
        <f>'4'!AA55/1.13</f>
        <v>32.761921486433799</v>
      </c>
      <c r="BK4" s="152">
        <f>'4'!AB55/1.13</f>
        <v>35.405989539380364</v>
      </c>
      <c r="BL4" s="152">
        <f>'4'!AC55/1.13</f>
        <v>38.006050953251929</v>
      </c>
      <c r="BM4" s="152">
        <f>'4'!AD55/1.13</f>
        <v>40.566438849950991</v>
      </c>
      <c r="BN4" s="152">
        <f>'4'!AE55/1.13</f>
        <v>43.091303935007844</v>
      </c>
      <c r="BO4" s="152">
        <f>'4'!AF55/1.13</f>
        <v>45.584624977426706</v>
      </c>
      <c r="BP4" s="152">
        <f>'4'!AG55/1.13</f>
        <v>48.050218762565308</v>
      </c>
      <c r="BQ4" s="152">
        <f>'4'!AH55/1.13</f>
        <v>50.491749546021374</v>
      </c>
      <c r="BR4" s="152">
        <f>'4'!AI55/1.13</f>
        <v>52.912738035048534</v>
      </c>
      <c r="BS4" s="152">
        <f>'4'!AJ55/1.13</f>
        <v>55.316569922646593</v>
      </c>
      <c r="BT4" s="152">
        <f>'4'!AK55/1.13</f>
        <v>0</v>
      </c>
    </row>
    <row r="5" spans="1:72" x14ac:dyDescent="0.25">
      <c r="B5" s="25"/>
      <c r="C5" s="45" t="s">
        <v>209</v>
      </c>
      <c r="I5" s="148"/>
      <c r="J5" s="146"/>
      <c r="K5" s="121"/>
      <c r="L5" s="54"/>
      <c r="AN5" s="130" t="s">
        <v>213</v>
      </c>
      <c r="AO5" s="152">
        <f>'4'!F46/1000</f>
        <v>3.5391200000000009</v>
      </c>
      <c r="AP5" s="152">
        <f>'4'!G46/1000</f>
        <v>7.1900113792000031</v>
      </c>
      <c r="AQ5" s="152">
        <f>'4'!H46/1000</f>
        <v>10.939905088632601</v>
      </c>
      <c r="AR5" s="152">
        <f>'4'!I46/1000</f>
        <v>16.141312451148863</v>
      </c>
      <c r="AS5" s="152">
        <f>'4'!J46/1000</f>
        <v>20.696710480998124</v>
      </c>
      <c r="AT5" s="152">
        <f>'4'!K46/1000</f>
        <v>25.091247575423917</v>
      </c>
      <c r="AU5" s="152">
        <f>'4'!L46/1000</f>
        <v>29.131670838756563</v>
      </c>
      <c r="AV5" s="152">
        <f>'4'!M46/1000</f>
        <v>34.069863346903652</v>
      </c>
      <c r="AW5" s="152">
        <f>'4'!N46/1000</f>
        <v>38.46095944312065</v>
      </c>
      <c r="AX5" s="152">
        <f>'4'!O46/1000</f>
        <v>42.379202556192865</v>
      </c>
      <c r="AY5" s="152">
        <f>'4'!P46/1000</f>
        <v>47.298419386152688</v>
      </c>
      <c r="AZ5" s="152">
        <f>'4'!Q46/1000</f>
        <v>52.031109777713986</v>
      </c>
      <c r="BA5" s="152">
        <f>'4'!R46/1000</f>
        <v>55.975525985787428</v>
      </c>
      <c r="BB5" s="152">
        <f>'4'!S46/1000</f>
        <v>59.608801678452281</v>
      </c>
      <c r="BC5" s="152">
        <f>'4'!T46/1000</f>
        <v>62.129482792246691</v>
      </c>
      <c r="BD5" s="152">
        <f>'4'!U46/1000</f>
        <v>64.707068818930452</v>
      </c>
      <c r="BE5" s="152">
        <f>'4'!V46/1000</f>
        <v>66.590973792794486</v>
      </c>
      <c r="BF5" s="152">
        <f>'4'!W46/1000</f>
        <v>67.839704864907446</v>
      </c>
      <c r="BG5" s="152">
        <f>'4'!X46/1000</f>
        <v>66.801791373092186</v>
      </c>
      <c r="BH5" s="152">
        <f>'4'!Y46/1000</f>
        <v>65.174254238219689</v>
      </c>
      <c r="BI5" s="152">
        <f>'4'!Z46/1000</f>
        <v>62.933333475728347</v>
      </c>
      <c r="BJ5" s="152">
        <f>'4'!AA46/1000</f>
        <v>60.053239665001151</v>
      </c>
      <c r="BK5" s="152">
        <f>'4'!AB46/1000</f>
        <v>56.506076383380616</v>
      </c>
      <c r="BL5" s="152">
        <f>'4'!AC46/1000</f>
        <v>52.261757066150295</v>
      </c>
      <c r="BM5" s="152">
        <f>'4'!AD46/1000</f>
        <v>47.287916076141705</v>
      </c>
      <c r="BN5" s="152">
        <f>'4'!AE46/1000</f>
        <v>41.549813752007928</v>
      </c>
      <c r="BO5" s="152">
        <f>'4'!AF46/1000</f>
        <v>35.010235189004817</v>
      </c>
      <c r="BP5" s="152">
        <f>'4'!AG46/1000</f>
        <v>27.629382490300582</v>
      </c>
      <c r="BQ5" s="152">
        <f>'4'!AH46/1000</f>
        <v>19.364760210354337</v>
      </c>
      <c r="BR5" s="152">
        <f>'4'!AI46/1000</f>
        <v>10.171053694723726</v>
      </c>
      <c r="BS5" s="152">
        <f>'4'!AJ46/1000</f>
        <v>2.7370915631763637E-9</v>
      </c>
      <c r="BT5" s="152">
        <f>'4'!AK46/1000</f>
        <v>0</v>
      </c>
    </row>
    <row r="6" spans="1:72" ht="30" x14ac:dyDescent="0.25">
      <c r="B6" s="24" t="s">
        <v>210</v>
      </c>
      <c r="C6" s="128">
        <v>-27.02</v>
      </c>
      <c r="I6" s="145"/>
      <c r="J6" s="146"/>
      <c r="K6" s="55"/>
      <c r="L6" s="55"/>
      <c r="AN6" s="130" t="s">
        <v>214</v>
      </c>
      <c r="AO6" s="152">
        <f>AO5</f>
        <v>3.5391200000000009</v>
      </c>
      <c r="AP6" s="152">
        <f t="shared" ref="AP6:BT6" si="0">AP5-AO5</f>
        <v>3.6508913792000022</v>
      </c>
      <c r="AQ6" s="152">
        <f t="shared" si="0"/>
        <v>3.7498937094325981</v>
      </c>
      <c r="AR6" s="152">
        <f t="shared" si="0"/>
        <v>5.201407362516262</v>
      </c>
      <c r="AS6" s="152">
        <f t="shared" si="0"/>
        <v>4.5553980298492611</v>
      </c>
      <c r="AT6" s="152">
        <f t="shared" si="0"/>
        <v>4.3945370944257931</v>
      </c>
      <c r="AU6" s="152">
        <f t="shared" si="0"/>
        <v>4.0404232633326451</v>
      </c>
      <c r="AV6" s="152">
        <f t="shared" si="0"/>
        <v>4.9381925081470897</v>
      </c>
      <c r="AW6" s="152">
        <f t="shared" si="0"/>
        <v>4.391096096216998</v>
      </c>
      <c r="AX6" s="152">
        <f t="shared" si="0"/>
        <v>3.9182431130722151</v>
      </c>
      <c r="AY6" s="152">
        <f t="shared" si="0"/>
        <v>4.9192168299598222</v>
      </c>
      <c r="AZ6" s="152">
        <f t="shared" si="0"/>
        <v>4.7326903915612988</v>
      </c>
      <c r="BA6" s="152">
        <f t="shared" si="0"/>
        <v>3.9444162080734415</v>
      </c>
      <c r="BB6" s="152">
        <f t="shared" si="0"/>
        <v>3.6332756926648528</v>
      </c>
      <c r="BC6" s="152">
        <f t="shared" si="0"/>
        <v>2.5206811137944101</v>
      </c>
      <c r="BD6" s="152">
        <f t="shared" si="0"/>
        <v>2.5775860266837611</v>
      </c>
      <c r="BE6" s="152">
        <f t="shared" si="0"/>
        <v>1.8839049738640341</v>
      </c>
      <c r="BF6" s="152">
        <f t="shared" si="0"/>
        <v>1.2487310721129603</v>
      </c>
      <c r="BG6" s="152">
        <f t="shared" si="0"/>
        <v>-1.0379134918152602</v>
      </c>
      <c r="BH6" s="152">
        <f t="shared" si="0"/>
        <v>-1.6275371348724974</v>
      </c>
      <c r="BI6" s="152">
        <f t="shared" si="0"/>
        <v>-2.2409207624913421</v>
      </c>
      <c r="BJ6" s="152">
        <f t="shared" si="0"/>
        <v>-2.8800938107271961</v>
      </c>
      <c r="BK6" s="152">
        <f t="shared" si="0"/>
        <v>-3.5471632816205343</v>
      </c>
      <c r="BL6" s="152">
        <f t="shared" si="0"/>
        <v>-4.2443193172303211</v>
      </c>
      <c r="BM6" s="152">
        <f t="shared" si="0"/>
        <v>-4.9738409900085898</v>
      </c>
      <c r="BN6" s="152">
        <f t="shared" si="0"/>
        <v>-5.7381023241337772</v>
      </c>
      <c r="BO6" s="152">
        <f t="shared" si="0"/>
        <v>-6.5395785630031114</v>
      </c>
      <c r="BP6" s="152">
        <f t="shared" si="0"/>
        <v>-7.3808526987042349</v>
      </c>
      <c r="BQ6" s="152">
        <f t="shared" si="0"/>
        <v>-8.264622279946245</v>
      </c>
      <c r="BR6" s="152">
        <f t="shared" si="0"/>
        <v>-9.1937065156306108</v>
      </c>
      <c r="BS6" s="152">
        <f t="shared" si="0"/>
        <v>-10.171053691986634</v>
      </c>
      <c r="BT6" s="152">
        <f t="shared" si="0"/>
        <v>-2.7370915631763637E-9</v>
      </c>
    </row>
    <row r="7" spans="1:72" x14ac:dyDescent="0.25">
      <c r="B7" s="24" t="s">
        <v>87</v>
      </c>
      <c r="C7" s="32">
        <v>9856.3916075683792</v>
      </c>
      <c r="D7" s="105" t="s">
        <v>234</v>
      </c>
      <c r="E7" s="50" t="s">
        <v>111</v>
      </c>
      <c r="I7" s="145"/>
      <c r="J7" s="146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5"/>
      <c r="J8" s="146"/>
    </row>
    <row r="9" spans="1:72" x14ac:dyDescent="0.25">
      <c r="B9" s="24" t="s">
        <v>187</v>
      </c>
      <c r="C9" s="126">
        <v>0</v>
      </c>
      <c r="I9" s="145"/>
      <c r="J9" s="146"/>
    </row>
    <row r="10" spans="1:72" x14ac:dyDescent="0.25">
      <c r="B10" s="24" t="s">
        <v>188</v>
      </c>
      <c r="C10" s="127">
        <v>0</v>
      </c>
      <c r="I10" s="145"/>
      <c r="J10" s="146"/>
      <c r="N10" s="129"/>
    </row>
    <row r="11" spans="1:72" x14ac:dyDescent="0.25">
      <c r="B11" s="24" t="s">
        <v>189</v>
      </c>
      <c r="C11" s="144">
        <v>5.7477461498483158E-3</v>
      </c>
      <c r="D11" s="105" t="s">
        <v>235</v>
      </c>
      <c r="I11" s="145"/>
      <c r="J11" s="146"/>
    </row>
    <row r="12" spans="1:72" x14ac:dyDescent="0.25">
      <c r="B12" s="24" t="s">
        <v>90</v>
      </c>
      <c r="C12" s="155">
        <v>5.1159999999999997E-2</v>
      </c>
    </row>
    <row r="13" spans="1:72" x14ac:dyDescent="0.25">
      <c r="B13" s="24" t="s">
        <v>106</v>
      </c>
      <c r="C13" s="60">
        <v>10000000000000</v>
      </c>
      <c r="D13" s="105" t="s">
        <v>236</v>
      </c>
      <c r="E13" s="50" t="s">
        <v>111</v>
      </c>
    </row>
    <row r="14" spans="1:72" x14ac:dyDescent="0.25">
      <c r="B14" s="24" t="s">
        <v>107</v>
      </c>
      <c r="C14" s="155">
        <v>2020</v>
      </c>
    </row>
    <row r="15" spans="1:72" x14ac:dyDescent="0.25">
      <c r="B15" s="24" t="s">
        <v>108</v>
      </c>
      <c r="C15" s="155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'4'!C15-Calcs!D15)</f>
        <v>5.0022208597511053E-12</v>
      </c>
    </row>
    <row r="18" spans="2:4" x14ac:dyDescent="0.25">
      <c r="B18" s="24" t="s">
        <v>223</v>
      </c>
      <c r="C18" s="41" t="s">
        <v>224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8556.249682235044</v>
      </c>
      <c r="G45" s="32">
        <v>8364.8509683873544</v>
      </c>
      <c r="H45" s="32">
        <v>8170.0524255072969</v>
      </c>
      <c r="I45" s="32">
        <v>7526.7059866754125</v>
      </c>
      <c r="J45" s="32">
        <v>7113.9469913358216</v>
      </c>
      <c r="K45" s="32">
        <v>7297.9328758208076</v>
      </c>
      <c r="L45" s="32">
        <v>7486.677132237849</v>
      </c>
      <c r="M45" s="32">
        <v>7680.3028249378231</v>
      </c>
      <c r="N45" s="32">
        <v>7878.9362010481191</v>
      </c>
      <c r="O45" s="32">
        <v>8082.7067727878466</v>
      </c>
      <c r="P45" s="32">
        <v>8291.74740191192</v>
      </c>
      <c r="Q45" s="32">
        <v>8506.1943863391098</v>
      </c>
      <c r="R45" s="32">
        <v>8726.187549020513</v>
      </c>
      <c r="S45" s="32">
        <v>8951.8703291064157</v>
      </c>
      <c r="T45" s="32">
        <v>9183.3898754709644</v>
      </c>
      <c r="U45" s="32">
        <v>9420.8971426556654</v>
      </c>
      <c r="V45" s="32">
        <v>9664.546989294191</v>
      </c>
      <c r="W45" s="32">
        <v>9914.4982790827726</v>
      </c>
      <c r="X45" s="32">
        <v>10170.91398436193</v>
      </c>
      <c r="Y45" s="32">
        <v>10433.961292377104</v>
      </c>
      <c r="Z45" s="32">
        <v>10703.811714287491</v>
      </c>
      <c r="AA45" s="32">
        <v>10980.641196994129</v>
      </c>
      <c r="AB45" s="32">
        <v>11264.630237860156</v>
      </c>
      <c r="AC45" s="32">
        <v>11555.964002398066</v>
      </c>
      <c r="AD45" s="32">
        <v>11854.832445000648</v>
      </c>
      <c r="AE45" s="32">
        <v>12161.430432794368</v>
      </c>
      <c r="AF45" s="32">
        <v>12475.957872695932</v>
      </c>
      <c r="AG45" s="32">
        <v>12798.619841754879</v>
      </c>
      <c r="AH45" s="32">
        <v>13129.626720867169</v>
      </c>
      <c r="AI45" s="32">
        <v>13469.194331946999</v>
      </c>
      <c r="AJ45" s="32">
        <v>13817.544078646204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3539.1200000000008</v>
      </c>
      <c r="G46" s="32">
        <v>7190.0113792000029</v>
      </c>
      <c r="H46" s="32">
        <v>10939.9050886326</v>
      </c>
      <c r="I46" s="32">
        <v>16141.312451148864</v>
      </c>
      <c r="J46" s="32">
        <v>20696.710480998125</v>
      </c>
      <c r="K46" s="32">
        <v>25091.247575423917</v>
      </c>
      <c r="L46" s="32">
        <v>29131.670838756563</v>
      </c>
      <c r="M46" s="32">
        <v>34069.86334690365</v>
      </c>
      <c r="N46" s="32">
        <v>38460.95944312065</v>
      </c>
      <c r="O46" s="32">
        <v>42379.202556192868</v>
      </c>
      <c r="P46" s="32">
        <v>47298.419386152687</v>
      </c>
      <c r="Q46" s="32">
        <v>52031.109777713988</v>
      </c>
      <c r="R46" s="32">
        <v>55975.525985787426</v>
      </c>
      <c r="S46" s="32">
        <v>59608.801678452284</v>
      </c>
      <c r="T46" s="32">
        <v>62129.482792246694</v>
      </c>
      <c r="U46" s="32">
        <v>64707.068818930449</v>
      </c>
      <c r="V46" s="32">
        <v>66590.973792794481</v>
      </c>
      <c r="W46" s="32">
        <v>67839.704864907442</v>
      </c>
      <c r="X46" s="32">
        <v>66801.791373092186</v>
      </c>
      <c r="Y46" s="32">
        <v>65174.254238219684</v>
      </c>
      <c r="Z46" s="32">
        <v>62933.333475728345</v>
      </c>
      <c r="AA46" s="32">
        <v>60053.239665001151</v>
      </c>
      <c r="AB46" s="32">
        <v>56506.07638338062</v>
      </c>
      <c r="AC46" s="32">
        <v>52261.757066150298</v>
      </c>
      <c r="AD46" s="32">
        <v>47287.916076141708</v>
      </c>
      <c r="AE46" s="32">
        <v>41549.813752007925</v>
      </c>
      <c r="AF46" s="32">
        <v>35010.235189004816</v>
      </c>
      <c r="AG46" s="32">
        <v>27629.382490300581</v>
      </c>
      <c r="AH46" s="32">
        <v>19364.760210354336</v>
      </c>
      <c r="AI46" s="32">
        <v>10171.053694723727</v>
      </c>
      <c r="AJ46" s="32">
        <v>2.7370915631763637E-6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137.70853261808912</v>
      </c>
      <c r="G54" s="32">
        <v>140.70060298964927</v>
      </c>
      <c r="H54" s="32">
        <v>143.75210006702136</v>
      </c>
      <c r="I54" s="32">
        <v>146.21002368871547</v>
      </c>
      <c r="J54" s="32">
        <v>149.70773780473959</v>
      </c>
      <c r="K54" s="32">
        <v>155.54844650767882</v>
      </c>
      <c r="L54" s="32">
        <v>164.08925227336758</v>
      </c>
      <c r="M54" s="32">
        <v>162.36854063029102</v>
      </c>
      <c r="N54" s="32">
        <v>176.53758312494739</v>
      </c>
      <c r="O54" s="32">
        <v>175.87278917348269</v>
      </c>
      <c r="P54" s="32">
        <v>180.82256531286538</v>
      </c>
      <c r="Q54" s="32">
        <v>184.04330024074264</v>
      </c>
      <c r="R54" s="32">
        <v>189.50177308725904</v>
      </c>
      <c r="S54" s="32">
        <v>194.96082617468025</v>
      </c>
      <c r="T54" s="32">
        <v>205.78694159493793</v>
      </c>
      <c r="U54" s="32">
        <v>208.54533150156755</v>
      </c>
      <c r="V54" s="32">
        <v>215.65365110792803</v>
      </c>
      <c r="W54" s="32">
        <v>221.56562408445959</v>
      </c>
      <c r="X54" s="32">
        <v>232.30132405242563</v>
      </c>
      <c r="Y54" s="32">
        <v>236.31395227875726</v>
      </c>
      <c r="Z54" s="32">
        <v>240.26428071453216</v>
      </c>
      <c r="AA54" s="32">
        <v>244.15791606200162</v>
      </c>
      <c r="AB54" s="32">
        <v>248.0002195100069</v>
      </c>
      <c r="AC54" s="32">
        <v>251.79632057032526</v>
      </c>
      <c r="AD54" s="32">
        <v>255.55113021293801</v>
      </c>
      <c r="AE54" s="32">
        <v>259.26935333731717</v>
      </c>
      <c r="AF54" s="32">
        <v>262.95550061489928</v>
      </c>
      <c r="AG54" s="32">
        <v>266.61389973608766</v>
      </c>
      <c r="AH54" s="32">
        <v>270.24870609339371</v>
      </c>
      <c r="AI54" s="32">
        <v>273.86391293068749</v>
      </c>
      <c r="AJ54" s="32">
        <v>277.46336098697128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-22.509600000000006</v>
      </c>
      <c r="G55" s="37">
        <v>-22.068900000000014</v>
      </c>
      <c r="H55" s="37">
        <v>-21.662099999999981</v>
      </c>
      <c r="I55" s="37">
        <v>-29.7303</v>
      </c>
      <c r="J55" s="37">
        <v>-23.888199999999983</v>
      </c>
      <c r="K55" s="37">
        <v>-21.365167703893235</v>
      </c>
      <c r="L55" s="37">
        <v>-17.657058629968191</v>
      </c>
      <c r="M55" s="37">
        <v>-22.083316239002698</v>
      </c>
      <c r="N55" s="37">
        <v>-16.961005424381796</v>
      </c>
      <c r="O55" s="37">
        <v>-12.582104161686345</v>
      </c>
      <c r="P55" s="37">
        <v>-17.620817706239791</v>
      </c>
      <c r="Q55" s="37">
        <v>-14.814181107438003</v>
      </c>
      <c r="R55" s="37">
        <v>-8.2144619927038605</v>
      </c>
      <c r="S55" s="37">
        <v>-4.8946243623947225</v>
      </c>
      <c r="T55" s="37">
        <v>3.3639560233677059</v>
      </c>
      <c r="U55" s="37">
        <v>3.795686905582869</v>
      </c>
      <c r="V55" s="37">
        <v>8.9477726138209164</v>
      </c>
      <c r="W55" s="37">
        <v>13.443731165443324</v>
      </c>
      <c r="X55" s="37">
        <v>27.706892755426765</v>
      </c>
      <c r="Y55" s="37">
        <v>30.875503119820365</v>
      </c>
      <c r="Z55" s="37">
        <v>33.978331848395101</v>
      </c>
      <c r="AA55" s="37">
        <v>37.020971279670192</v>
      </c>
      <c r="AB55" s="37">
        <v>40.00876817949981</v>
      </c>
      <c r="AC55" s="37">
        <v>42.946837577174676</v>
      </c>
      <c r="AD55" s="37">
        <v>45.840075900444617</v>
      </c>
      <c r="AE55" s="37">
        <v>48.693173446558859</v>
      </c>
      <c r="AF55" s="37">
        <v>51.510626224492171</v>
      </c>
      <c r="AG55" s="37">
        <v>54.296747201698793</v>
      </c>
      <c r="AH55" s="37">
        <v>57.055676987004148</v>
      </c>
      <c r="AI55" s="37">
        <v>59.791393979604834</v>
      </c>
      <c r="AJ55" s="37">
        <v>62.507724012590643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9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60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BT57"/>
  <sheetViews>
    <sheetView zoomScale="85" zoomScaleNormal="85" workbookViewId="0">
      <selection activeCell="H45" sqref="H45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55.42578125" style="105" customWidth="1"/>
    <col min="41" max="46" width="5.28515625" style="105" bestFit="1" customWidth="1"/>
    <col min="47" max="47" width="4.7109375" style="105" bestFit="1" customWidth="1"/>
    <col min="48" max="48" width="5.28515625" style="105" bestFit="1" customWidth="1"/>
    <col min="49" max="71" width="4.7109375" style="105" bestFit="1" customWidth="1"/>
    <col min="72" max="72" width="4.28515625" style="105" customWidth="1"/>
    <col min="73" max="16384" width="9.140625" style="105"/>
  </cols>
  <sheetData>
    <row r="1" spans="1:72" x14ac:dyDescent="0.25">
      <c r="A1" s="54"/>
      <c r="B1" s="46"/>
      <c r="I1" s="105" t="s">
        <v>232</v>
      </c>
      <c r="J1" s="105">
        <v>1</v>
      </c>
      <c r="L1" s="105" t="s">
        <v>233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53"/>
      <c r="AO3" s="154">
        <v>2017</v>
      </c>
      <c r="AP3" s="154">
        <v>2018</v>
      </c>
      <c r="AQ3" s="154">
        <v>2019</v>
      </c>
      <c r="AR3" s="154">
        <v>2020</v>
      </c>
      <c r="AS3" s="154">
        <v>2021</v>
      </c>
      <c r="AT3" s="154">
        <v>2022</v>
      </c>
      <c r="AU3" s="154">
        <v>2023</v>
      </c>
      <c r="AV3" s="154">
        <v>2024</v>
      </c>
      <c r="AW3" s="154">
        <v>2025</v>
      </c>
      <c r="AX3" s="154">
        <v>2026</v>
      </c>
      <c r="AY3" s="154">
        <v>2027</v>
      </c>
      <c r="AZ3" s="154">
        <v>2028</v>
      </c>
      <c r="BA3" s="154">
        <v>2029</v>
      </c>
      <c r="BB3" s="154">
        <v>2030</v>
      </c>
      <c r="BC3" s="154">
        <v>2031</v>
      </c>
      <c r="BD3" s="154">
        <v>2032</v>
      </c>
      <c r="BE3" s="154">
        <v>2033</v>
      </c>
      <c r="BF3" s="154">
        <v>2034</v>
      </c>
      <c r="BG3" s="154">
        <v>2035</v>
      </c>
      <c r="BH3" s="154">
        <v>2036</v>
      </c>
      <c r="BI3" s="154">
        <v>2037</v>
      </c>
      <c r="BJ3" s="154">
        <v>2038</v>
      </c>
      <c r="BK3" s="154">
        <v>2039</v>
      </c>
      <c r="BL3" s="154">
        <v>2040</v>
      </c>
      <c r="BM3" s="154">
        <v>2041</v>
      </c>
      <c r="BN3" s="154">
        <v>2042</v>
      </c>
      <c r="BO3" s="154">
        <v>2043</v>
      </c>
      <c r="BP3" s="154">
        <v>2044</v>
      </c>
      <c r="BQ3" s="154">
        <v>2045</v>
      </c>
      <c r="BR3" s="154">
        <v>2046</v>
      </c>
      <c r="BS3" s="154">
        <v>2047</v>
      </c>
      <c r="BT3" s="154">
        <v>2048</v>
      </c>
    </row>
    <row r="4" spans="1:72" x14ac:dyDescent="0.25">
      <c r="C4" s="124"/>
      <c r="D4" s="32"/>
      <c r="I4" s="105" t="s">
        <v>237</v>
      </c>
      <c r="J4" s="151">
        <f ca="1">OFFSET('Impact Summary'!U$2, '1a GA RPP'!$J$1, 0)</f>
        <v>-26.31</v>
      </c>
      <c r="K4" s="151">
        <f ca="1">OFFSET('Impact Summary'!V$2, '1a GA RPP'!$J$1, 0)</f>
        <v>-26.05</v>
      </c>
      <c r="L4" s="151">
        <f ca="1">OFFSET('Impact Summary'!W$2, '1a GA RPP'!$J$1, 0)</f>
        <v>-25.83</v>
      </c>
      <c r="M4" s="151">
        <f ca="1">OFFSET('Impact Summary'!X$2, '1a GA RPP'!$J$1, 0)</f>
        <v>-33.1</v>
      </c>
      <c r="N4" s="151">
        <f ca="1">OFFSET('Impact Summary'!Y$2, '1a GA RPP'!$J$1, 0)</f>
        <v>-28.09</v>
      </c>
      <c r="AN4" s="130" t="s">
        <v>221</v>
      </c>
      <c r="AO4" s="152">
        <f>'1a GA RPP'!F55/1.13</f>
        <v>-18.100000000000005</v>
      </c>
      <c r="AP4" s="152">
        <f>'1a GA RPP'!G55/1.13</f>
        <v>-17.679999999999996</v>
      </c>
      <c r="AQ4" s="152">
        <f>'1a GA RPP'!H55/1.13</f>
        <v>-17.290000000000003</v>
      </c>
      <c r="AR4" s="152">
        <f>'1a GA RPP'!I55/1.13</f>
        <v>-24.39</v>
      </c>
      <c r="AS4" s="152">
        <f>'1a GA RPP'!J55/1.13</f>
        <v>-19.2</v>
      </c>
      <c r="AT4" s="152">
        <f>'1a GA RPP'!K55/1.13</f>
        <v>-14.397099259932336</v>
      </c>
      <c r="AU4" s="152">
        <f>'1a GA RPP'!L55/1.13</f>
        <v>-7.3584083165067211</v>
      </c>
      <c r="AV4" s="152">
        <f>'1a GA RPP'!M55/1.13</f>
        <v>-15.767401829400651</v>
      </c>
      <c r="AW4" s="152">
        <f>'1a GA RPP'!N55/1.13</f>
        <v>-6.0727761618692169</v>
      </c>
      <c r="AX4" s="152">
        <f>'1a GA RPP'!O55/1.13</f>
        <v>2.3815423045382977</v>
      </c>
      <c r="AY4" s="152">
        <f>'1a GA RPP'!P55/1.13</f>
        <v>-7.4183826704949913</v>
      </c>
      <c r="AZ4" s="152">
        <f>'1a GA RPP'!Q55/1.13</f>
        <v>-2.1634880772460576</v>
      </c>
      <c r="BA4" s="152">
        <f>'1a GA RPP'!R55/1.13</f>
        <v>10.271780959401747</v>
      </c>
      <c r="BB4" s="152">
        <f>'1a GA RPP'!S55/1.13</f>
        <v>16.286232115482811</v>
      </c>
      <c r="BC4" s="152">
        <f>'1a GA RPP'!T55/1.13</f>
        <v>18.59794794494136</v>
      </c>
      <c r="BD4" s="152">
        <f>'1a GA RPP'!U55/1.13</f>
        <v>18.468795528657033</v>
      </c>
      <c r="BE4" s="152">
        <f>'1a GA RPP'!V55/1.13</f>
        <v>18.341424525011131</v>
      </c>
      <c r="BF4" s="152">
        <f>'1a GA RPP'!W55/1.13</f>
        <v>18.215798329634335</v>
      </c>
      <c r="BG4" s="152">
        <f>'1a GA RPP'!X55/1.13</f>
        <v>17.96963889274738</v>
      </c>
      <c r="BH4" s="152">
        <f>'1a GA RPP'!Y55/1.13</f>
        <v>17.895150629106741</v>
      </c>
      <c r="BI4" s="152">
        <f>'1a GA RPP'!Z55/1.13</f>
        <v>17.820971136357592</v>
      </c>
      <c r="BJ4" s="152">
        <f>'1a GA RPP'!AA55/1.13</f>
        <v>17.747099134573897</v>
      </c>
      <c r="BK4" s="152">
        <f>'1a GA RPP'!AB55/1.13</f>
        <v>17.673533349135351</v>
      </c>
      <c r="BL4" s="152">
        <f>'1a GA RPP'!AC55/1.13</f>
        <v>17.600272510705068</v>
      </c>
      <c r="BM4" s="152">
        <f>'1a GA RPP'!AD55/1.13</f>
        <v>17.52731535520801</v>
      </c>
      <c r="BN4" s="152">
        <f>'1a GA RPP'!AE55/1.13</f>
        <v>17.454660623808905</v>
      </c>
      <c r="BO4" s="152">
        <f>'1a GA RPP'!AF55/1.13</f>
        <v>17.382307062890749</v>
      </c>
      <c r="BP4" s="152">
        <f>'1a GA RPP'!AG55/1.13</f>
        <v>17.31025342403294</v>
      </c>
      <c r="BQ4" s="152">
        <f>'1a GA RPP'!AH55/1.13</f>
        <v>17.238498463989981</v>
      </c>
      <c r="BR4" s="152">
        <f>'1a GA RPP'!AI55/1.13</f>
        <v>17.167040944669875</v>
      </c>
      <c r="BS4" s="152">
        <f>'1a GA RPP'!AJ55/1.13</f>
        <v>17.095879633112705</v>
      </c>
      <c r="BT4" s="152">
        <f>'1a GA RPP'!AK55/1.13</f>
        <v>0</v>
      </c>
    </row>
    <row r="5" spans="1:72" x14ac:dyDescent="0.25">
      <c r="B5" s="25"/>
      <c r="C5" s="45" t="s">
        <v>209</v>
      </c>
      <c r="I5" s="148"/>
      <c r="J5" s="146"/>
      <c r="K5" s="121"/>
      <c r="L5" s="54"/>
      <c r="AN5" s="130" t="s">
        <v>213</v>
      </c>
      <c r="AO5" s="152">
        <f>'1a GA RPP'!F46/1000</f>
        <v>1.4998335733333332</v>
      </c>
      <c r="AP5" s="152">
        <f>'1a GA RPP'!G46/1000</f>
        <v>3.0415958642783991</v>
      </c>
      <c r="AQ5" s="152">
        <f>'1a GA RPP'!H46/1000</f>
        <v>4.6198988793615499</v>
      </c>
      <c r="AR5" s="152">
        <f>'1a GA RPP'!I46/1000</f>
        <v>6.8631661700296878</v>
      </c>
      <c r="AS5" s="152">
        <f>'1a GA RPP'!J46/1000</f>
        <v>8.794143671288408</v>
      </c>
      <c r="AT5" s="152">
        <f>'1a GA RPP'!K46/1000</f>
        <v>10.428706816242265</v>
      </c>
      <c r="AU5" s="152">
        <f>'1a GA RPP'!L46/1000</f>
        <v>11.567720689118879</v>
      </c>
      <c r="AV5" s="152">
        <f>'1a GA RPP'!M46/1000</f>
        <v>13.456934376345092</v>
      </c>
      <c r="AW5" s="152">
        <f>'1a GA RPP'!N46/1000</f>
        <v>14.645085072149133</v>
      </c>
      <c r="AX5" s="152">
        <f>'1a GA RPP'!O46/1000</f>
        <v>15.199744186756442</v>
      </c>
      <c r="AY5" s="152">
        <f>'1a GA RPP'!P46/1000</f>
        <v>16.587779277245293</v>
      </c>
      <c r="AZ5" s="152">
        <f>'1a GA RPP'!Q46/1000</f>
        <v>17.614431094947431</v>
      </c>
      <c r="BA5" s="152">
        <f>'1a GA RPP'!R46/1000</f>
        <v>17.67037942615994</v>
      </c>
      <c r="BB5" s="152">
        <f>'1a GA RPP'!S46/1000</f>
        <v>17.224858042580149</v>
      </c>
      <c r="BC5" s="152">
        <f>'1a GA RPP'!T46/1000</f>
        <v>16.564986380981718</v>
      </c>
      <c r="BD5" s="152">
        <f>'1a GA RPP'!U46/1000</f>
        <v>15.87135568517591</v>
      </c>
      <c r="BE5" s="152">
        <f>'1a GA RPP'!V46/1000</f>
        <v>15.142238842972677</v>
      </c>
      <c r="BF5" s="152">
        <f>'1a GA RPP'!W46/1000</f>
        <v>14.375820383122328</v>
      </c>
      <c r="BG5" s="152">
        <f>'1a GA RPP'!X46/1000</f>
        <v>13.570191954866033</v>
      </c>
      <c r="BH5" s="152">
        <f>'1a GA RPP'!Y46/1000</f>
        <v>12.723347576220149</v>
      </c>
      <c r="BI5" s="152">
        <f>'1a GA RPP'!Z46/1000</f>
        <v>11.833178639162739</v>
      </c>
      <c r="BJ5" s="152">
        <f>'1a GA RPP'!AA46/1000</f>
        <v>10.897468659285472</v>
      </c>
      <c r="BK5" s="152">
        <f>'1a GA RPP'!AB46/1000</f>
        <v>9.9138877568376849</v>
      </c>
      <c r="BL5" s="152">
        <f>'1a GA RPP'!AC46/1000</f>
        <v>8.8799868554206682</v>
      </c>
      <c r="BM5" s="152">
        <f>'1a GA RPP'!AD46/1000</f>
        <v>7.7931915838871557</v>
      </c>
      <c r="BN5" s="152">
        <f>'1a GA RPP'!AE46/1000</f>
        <v>6.6507958662619897</v>
      </c>
      <c r="BO5" s="152">
        <f>'1a GA RPP'!AF46/1000</f>
        <v>5.4499551837231195</v>
      </c>
      <c r="BP5" s="152">
        <f>'1a GA RPP'!AG46/1000</f>
        <v>4.1876794918655618</v>
      </c>
      <c r="BQ5" s="152">
        <f>'1a GA RPP'!AH46/1000</f>
        <v>2.8608257756125703</v>
      </c>
      <c r="BR5" s="152">
        <f>'1a GA RPP'!AI46/1000</f>
        <v>1.4660902232360755</v>
      </c>
      <c r="BS5" s="152">
        <f>'1a GA RPP'!AJ46/1000</f>
        <v>0</v>
      </c>
      <c r="BT5" s="152">
        <f>'1a GA RPP'!AK46/1000</f>
        <v>0</v>
      </c>
    </row>
    <row r="6" spans="1:72" x14ac:dyDescent="0.25">
      <c r="B6" s="24" t="s">
        <v>210</v>
      </c>
      <c r="C6" s="128">
        <v>-27.02</v>
      </c>
      <c r="I6" s="145"/>
      <c r="J6" s="146"/>
      <c r="K6" s="55"/>
      <c r="L6" s="55"/>
      <c r="AN6" s="130" t="s">
        <v>214</v>
      </c>
      <c r="AO6" s="152">
        <f>AO5</f>
        <v>1.4998335733333332</v>
      </c>
      <c r="AP6" s="152">
        <f t="shared" ref="AP6:BT6" si="0">AP5-AO5</f>
        <v>1.5417622909450659</v>
      </c>
      <c r="AQ6" s="152">
        <f t="shared" si="0"/>
        <v>1.5783030150831507</v>
      </c>
      <c r="AR6" s="152">
        <f t="shared" si="0"/>
        <v>2.2432672906681379</v>
      </c>
      <c r="AS6" s="152">
        <f t="shared" si="0"/>
        <v>1.9309775012587203</v>
      </c>
      <c r="AT6" s="152">
        <f t="shared" si="0"/>
        <v>1.6345631449538569</v>
      </c>
      <c r="AU6" s="152">
        <f t="shared" si="0"/>
        <v>1.1390138728766139</v>
      </c>
      <c r="AV6" s="152">
        <f t="shared" si="0"/>
        <v>1.8892136872262135</v>
      </c>
      <c r="AW6" s="152">
        <f t="shared" si="0"/>
        <v>1.1881506958040404</v>
      </c>
      <c r="AX6" s="152">
        <f t="shared" si="0"/>
        <v>0.55465911460730943</v>
      </c>
      <c r="AY6" s="152">
        <f t="shared" si="0"/>
        <v>1.3880350904888505</v>
      </c>
      <c r="AZ6" s="152">
        <f t="shared" si="0"/>
        <v>1.0266518177021382</v>
      </c>
      <c r="BA6" s="152">
        <f t="shared" si="0"/>
        <v>5.5948331212508862E-2</v>
      </c>
      <c r="BB6" s="152">
        <f t="shared" si="0"/>
        <v>-0.44552138357979132</v>
      </c>
      <c r="BC6" s="152">
        <f t="shared" si="0"/>
        <v>-0.65987166159843014</v>
      </c>
      <c r="BD6" s="152">
        <f t="shared" si="0"/>
        <v>-0.69363069580580827</v>
      </c>
      <c r="BE6" s="152">
        <f t="shared" si="0"/>
        <v>-0.72911684220323281</v>
      </c>
      <c r="BF6" s="152">
        <f t="shared" si="0"/>
        <v>-0.76641845985034962</v>
      </c>
      <c r="BG6" s="152">
        <f t="shared" si="0"/>
        <v>-0.80562842825629488</v>
      </c>
      <c r="BH6" s="152">
        <f t="shared" si="0"/>
        <v>-0.84684437864588347</v>
      </c>
      <c r="BI6" s="152">
        <f t="shared" si="0"/>
        <v>-0.8901689370574104</v>
      </c>
      <c r="BJ6" s="152">
        <f t="shared" si="0"/>
        <v>-0.93570997987726656</v>
      </c>
      <c r="BK6" s="152">
        <f t="shared" si="0"/>
        <v>-0.98358090244778751</v>
      </c>
      <c r="BL6" s="152">
        <f t="shared" si="0"/>
        <v>-1.0339009014170166</v>
      </c>
      <c r="BM6" s="152">
        <f t="shared" si="0"/>
        <v>-1.0867952715335125</v>
      </c>
      <c r="BN6" s="152">
        <f t="shared" si="0"/>
        <v>-1.142395717625166</v>
      </c>
      <c r="BO6" s="152">
        <f t="shared" si="0"/>
        <v>-1.2008406825388702</v>
      </c>
      <c r="BP6" s="152">
        <f t="shared" si="0"/>
        <v>-1.2622756918575577</v>
      </c>
      <c r="BQ6" s="152">
        <f t="shared" si="0"/>
        <v>-1.3268537162529914</v>
      </c>
      <c r="BR6" s="152">
        <f t="shared" si="0"/>
        <v>-1.3947355523764948</v>
      </c>
      <c r="BS6" s="152">
        <f t="shared" si="0"/>
        <v>-1.4660902232360755</v>
      </c>
      <c r="BT6" s="152">
        <f t="shared" si="0"/>
        <v>0</v>
      </c>
    </row>
    <row r="7" spans="1:72" x14ac:dyDescent="0.25">
      <c r="B7" s="24" t="s">
        <v>87</v>
      </c>
      <c r="C7" s="32">
        <v>9856.3916075683792</v>
      </c>
      <c r="D7" s="105" t="s">
        <v>234</v>
      </c>
      <c r="E7" s="50" t="s">
        <v>111</v>
      </c>
      <c r="I7" s="145"/>
      <c r="J7" s="146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5"/>
      <c r="J8" s="146"/>
    </row>
    <row r="9" spans="1:72" x14ac:dyDescent="0.25">
      <c r="B9" s="24" t="s">
        <v>187</v>
      </c>
      <c r="C9" s="126">
        <v>0</v>
      </c>
      <c r="I9" s="145"/>
      <c r="J9" s="146"/>
    </row>
    <row r="10" spans="1:72" x14ac:dyDescent="0.25">
      <c r="B10" s="24" t="s">
        <v>188</v>
      </c>
      <c r="C10" s="127">
        <v>0</v>
      </c>
      <c r="I10" s="145"/>
      <c r="J10" s="146"/>
      <c r="N10" s="129"/>
    </row>
    <row r="11" spans="1:72" x14ac:dyDescent="0.25">
      <c r="B11" s="24" t="s">
        <v>189</v>
      </c>
      <c r="C11" s="144">
        <v>0</v>
      </c>
      <c r="D11" s="105" t="s">
        <v>235</v>
      </c>
      <c r="I11" s="145"/>
      <c r="J11" s="146"/>
    </row>
    <row r="12" spans="1:72" x14ac:dyDescent="0.25">
      <c r="B12" s="24" t="s">
        <v>90</v>
      </c>
      <c r="C12" s="147">
        <v>5.1159999999999997E-2</v>
      </c>
    </row>
    <row r="13" spans="1:72" x14ac:dyDescent="0.25">
      <c r="B13" s="24" t="s">
        <v>106</v>
      </c>
      <c r="C13" s="60">
        <v>1541.0953990568337</v>
      </c>
      <c r="D13" s="105" t="s">
        <v>236</v>
      </c>
      <c r="E13" s="50" t="s">
        <v>111</v>
      </c>
    </row>
    <row r="14" spans="1:72" x14ac:dyDescent="0.25">
      <c r="B14" s="24" t="s">
        <v>107</v>
      </c>
      <c r="C14" s="147">
        <v>2020</v>
      </c>
    </row>
    <row r="15" spans="1:72" x14ac:dyDescent="0.25">
      <c r="B15" s="24" t="s">
        <v>108</v>
      </c>
      <c r="C15" s="147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'1a GA RPP'!C15-Calcs!D15)</f>
        <v>5.0022208597511053E-12</v>
      </c>
    </row>
    <row r="18" spans="2:4" x14ac:dyDescent="0.25">
      <c r="B18" s="24" t="s">
        <v>223</v>
      </c>
      <c r="C18" s="41" t="s">
        <v>229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10595.536108901711</v>
      </c>
      <c r="G45" s="32">
        <v>10369.650163054024</v>
      </c>
      <c r="H45" s="32">
        <v>10129.410182113355</v>
      </c>
      <c r="I45" s="32">
        <v>10161.51454085723</v>
      </c>
      <c r="J45" s="32">
        <v>9263.6975561843046</v>
      </c>
      <c r="K45" s="32">
        <v>9448.9715073079915</v>
      </c>
      <c r="L45" s="32">
        <v>9637.9509374541485</v>
      </c>
      <c r="M45" s="32">
        <v>9830.7099562032327</v>
      </c>
      <c r="N45" s="32">
        <v>10027.324155327296</v>
      </c>
      <c r="O45" s="32">
        <v>10227.870638433844</v>
      </c>
      <c r="P45" s="32">
        <v>10432.428051202518</v>
      </c>
      <c r="Q45" s="32">
        <v>10641.07661222657</v>
      </c>
      <c r="R45" s="32">
        <v>10853.898144471101</v>
      </c>
      <c r="S45" s="32">
        <v>11070.976107360524</v>
      </c>
      <c r="T45" s="32">
        <v>10195.580094452582</v>
      </c>
      <c r="U45" s="32">
        <v>10361.034228744915</v>
      </c>
      <c r="V45" s="32">
        <v>9779.1337214385749</v>
      </c>
      <c r="W45" s="32">
        <v>9297.5305310131989</v>
      </c>
      <c r="X45" s="32">
        <v>7203.4165907148326</v>
      </c>
      <c r="Y45" s="32">
        <v>6929.9399099140373</v>
      </c>
      <c r="Z45" s="32">
        <v>6669.6715040256604</v>
      </c>
      <c r="AA45" s="32">
        <v>6421.9734447054925</v>
      </c>
      <c r="AB45" s="32">
        <v>6186.2386140349954</v>
      </c>
      <c r="AC45" s="32">
        <v>5961.8892164508234</v>
      </c>
      <c r="AD45" s="32">
        <v>5748.3753625446352</v>
      </c>
      <c r="AE45" s="32">
        <v>5545.1737212620028</v>
      </c>
      <c r="AF45" s="32">
        <v>5351.7862371969295</v>
      </c>
      <c r="AG45" s="32">
        <v>5167.7389098379881</v>
      </c>
      <c r="AH45" s="32">
        <v>4992.5806317739771</v>
      </c>
      <c r="AI45" s="32">
        <v>4825.8820830114946</v>
      </c>
      <c r="AJ45" s="32">
        <v>4667.2346786943363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1499.8335733333333</v>
      </c>
      <c r="G46" s="32">
        <v>3041.5958642783989</v>
      </c>
      <c r="H46" s="32">
        <v>4619.8988793615499</v>
      </c>
      <c r="I46" s="32">
        <v>6863.1661700296881</v>
      </c>
      <c r="J46" s="32">
        <v>8794.1436712884079</v>
      </c>
      <c r="K46" s="32">
        <v>10428.706816242266</v>
      </c>
      <c r="L46" s="32">
        <v>11567.720689118878</v>
      </c>
      <c r="M46" s="32">
        <v>13456.934376345092</v>
      </c>
      <c r="N46" s="32">
        <v>14645.085072149133</v>
      </c>
      <c r="O46" s="32">
        <v>15199.744186756443</v>
      </c>
      <c r="P46" s="32">
        <v>16587.779277245292</v>
      </c>
      <c r="Q46" s="32">
        <v>17614.431094947431</v>
      </c>
      <c r="R46" s="32">
        <v>17670.37942615994</v>
      </c>
      <c r="S46" s="32">
        <v>17224.858042580148</v>
      </c>
      <c r="T46" s="32">
        <v>16564.986380981718</v>
      </c>
      <c r="U46" s="32">
        <v>15871.355685175909</v>
      </c>
      <c r="V46" s="32">
        <v>15142.238842972678</v>
      </c>
      <c r="W46" s="32">
        <v>14375.820383122327</v>
      </c>
      <c r="X46" s="32">
        <v>13570.191954866033</v>
      </c>
      <c r="Y46" s="32">
        <v>12723.347576220149</v>
      </c>
      <c r="Z46" s="32">
        <v>11833.178639162739</v>
      </c>
      <c r="AA46" s="32">
        <v>10897.468659285472</v>
      </c>
      <c r="AB46" s="32">
        <v>9913.8877568376847</v>
      </c>
      <c r="AC46" s="32">
        <v>8879.9868554206678</v>
      </c>
      <c r="AD46" s="32">
        <v>7793.1915838871555</v>
      </c>
      <c r="AE46" s="32">
        <v>6650.7958662619894</v>
      </c>
      <c r="AF46" s="32">
        <v>5449.9551837231193</v>
      </c>
      <c r="AG46" s="32">
        <v>4187.6794918655614</v>
      </c>
      <c r="AH46" s="32">
        <v>2860.8257756125704</v>
      </c>
      <c r="AI46" s="32">
        <v>1466.0902232360754</v>
      </c>
      <c r="AJ46" s="32">
        <v>0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139.76513261808913</v>
      </c>
      <c r="G54" s="32">
        <v>142.79110298964929</v>
      </c>
      <c r="H54" s="32">
        <v>145.87650006702134</v>
      </c>
      <c r="I54" s="32">
        <v>148.37962368871547</v>
      </c>
      <c r="J54" s="32">
        <v>151.89993780473958</v>
      </c>
      <c r="K54" s="32">
        <v>160.64489204784851</v>
      </c>
      <c r="L54" s="32">
        <v>173.43130950568317</v>
      </c>
      <c r="M54" s="32">
        <v>166.63469280207099</v>
      </c>
      <c r="N54" s="32">
        <v>186.63635148641697</v>
      </c>
      <c r="O54" s="32">
        <v>191.14603613929731</v>
      </c>
      <c r="P54" s="32">
        <v>190.06061060144583</v>
      </c>
      <c r="Q54" s="32">
        <v>196.4127398208926</v>
      </c>
      <c r="R54" s="32">
        <v>209.32334756408687</v>
      </c>
      <c r="S54" s="32">
        <v>218.25889282757055</v>
      </c>
      <c r="T54" s="32">
        <v>223.43866674935396</v>
      </c>
      <c r="U54" s="32">
        <v>225.61938354336712</v>
      </c>
      <c r="V54" s="32">
        <v>227.43168820736969</v>
      </c>
      <c r="W54" s="32">
        <v>228.70574503150306</v>
      </c>
      <c r="X54" s="32">
        <v>224.9001232458034</v>
      </c>
      <c r="Y54" s="32">
        <v>225.65996936982751</v>
      </c>
      <c r="Z54" s="32">
        <v>226.42364625022114</v>
      </c>
      <c r="AA54" s="32">
        <v>227.19116680439993</v>
      </c>
      <c r="AB54" s="32">
        <v>227.96254401503003</v>
      </c>
      <c r="AC54" s="32">
        <v>228.73779093024731</v>
      </c>
      <c r="AD54" s="32">
        <v>229.51692066387844</v>
      </c>
      <c r="AE54" s="32">
        <v>230.29994639566237</v>
      </c>
      <c r="AF54" s="32">
        <v>231.08688137147365</v>
      </c>
      <c r="AG54" s="32">
        <v>231.87773890354609</v>
      </c>
      <c r="AH54" s="32">
        <v>232.67253237069824</v>
      </c>
      <c r="AI54" s="32">
        <v>233.47127521855961</v>
      </c>
      <c r="AJ54" s="32">
        <v>234.273980959798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-20.453000000000003</v>
      </c>
      <c r="G55" s="37">
        <v>-19.978399999999993</v>
      </c>
      <c r="H55" s="37">
        <v>-19.537700000000001</v>
      </c>
      <c r="I55" s="37">
        <v>-27.560699999999997</v>
      </c>
      <c r="J55" s="37">
        <v>-21.695999999999998</v>
      </c>
      <c r="K55" s="37">
        <v>-16.268722163723538</v>
      </c>
      <c r="L55" s="37">
        <v>-8.3150013976525941</v>
      </c>
      <c r="M55" s="37">
        <v>-17.817164067222734</v>
      </c>
      <c r="N55" s="37">
        <v>-6.8622370629122145</v>
      </c>
      <c r="O55" s="37">
        <v>2.6911428041282761</v>
      </c>
      <c r="P55" s="37">
        <v>-8.3827724176593392</v>
      </c>
      <c r="Q55" s="37">
        <v>-2.4447415272880448</v>
      </c>
      <c r="R55" s="37">
        <v>11.607112484123974</v>
      </c>
      <c r="S55" s="37">
        <v>18.403442290495576</v>
      </c>
      <c r="T55" s="37">
        <v>21.015681177783733</v>
      </c>
      <c r="U55" s="37">
        <v>20.869738947382444</v>
      </c>
      <c r="V55" s="37">
        <v>20.725809713262578</v>
      </c>
      <c r="W55" s="37">
        <v>20.583852112486795</v>
      </c>
      <c r="X55" s="37">
        <v>20.305691948804537</v>
      </c>
      <c r="Y55" s="37">
        <v>20.221520210890617</v>
      </c>
      <c r="Z55" s="37">
        <v>20.137697384084078</v>
      </c>
      <c r="AA55" s="37">
        <v>20.054222022068501</v>
      </c>
      <c r="AB55" s="37">
        <v>19.971092684522944</v>
      </c>
      <c r="AC55" s="37">
        <v>19.888307937096727</v>
      </c>
      <c r="AD55" s="37">
        <v>19.805866351385049</v>
      </c>
      <c r="AE55" s="37">
        <v>19.723766504904063</v>
      </c>
      <c r="AF55" s="37">
        <v>19.642006981066544</v>
      </c>
      <c r="AG55" s="37">
        <v>19.560586369157221</v>
      </c>
      <c r="AH55" s="37">
        <v>19.479503264308676</v>
      </c>
      <c r="AI55" s="37">
        <v>19.398756267476955</v>
      </c>
      <c r="AJ55" s="37">
        <v>19.318343985417357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5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6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BT57"/>
  <sheetViews>
    <sheetView zoomScale="85" zoomScaleNormal="85" workbookViewId="0">
      <selection activeCell="F4" sqref="F4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55.42578125" style="105" customWidth="1"/>
    <col min="41" max="49" width="5.28515625" style="105" bestFit="1" customWidth="1"/>
    <col min="50" max="50" width="4.7109375" style="105" bestFit="1" customWidth="1"/>
    <col min="51" max="52" width="5.28515625" style="105" bestFit="1" customWidth="1"/>
    <col min="53" max="71" width="4.7109375" style="105" bestFit="1" customWidth="1"/>
    <col min="72" max="72" width="4.42578125" style="105" bestFit="1" customWidth="1"/>
    <col min="73" max="16384" width="9.140625" style="105"/>
  </cols>
  <sheetData>
    <row r="1" spans="1:72" x14ac:dyDescent="0.25">
      <c r="A1" s="54"/>
      <c r="B1" s="46"/>
      <c r="I1" s="105" t="s">
        <v>232</v>
      </c>
      <c r="J1" s="105">
        <v>1</v>
      </c>
      <c r="L1" s="105" t="s">
        <v>233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53"/>
      <c r="AO3" s="154">
        <v>2017</v>
      </c>
      <c r="AP3" s="154">
        <v>2018</v>
      </c>
      <c r="AQ3" s="154">
        <v>2019</v>
      </c>
      <c r="AR3" s="154">
        <v>2020</v>
      </c>
      <c r="AS3" s="154">
        <v>2021</v>
      </c>
      <c r="AT3" s="154">
        <v>2022</v>
      </c>
      <c r="AU3" s="154">
        <v>2023</v>
      </c>
      <c r="AV3" s="154">
        <v>2024</v>
      </c>
      <c r="AW3" s="154">
        <v>2025</v>
      </c>
      <c r="AX3" s="154">
        <v>2026</v>
      </c>
      <c r="AY3" s="154">
        <v>2027</v>
      </c>
      <c r="AZ3" s="154">
        <v>2028</v>
      </c>
      <c r="BA3" s="154">
        <v>2029</v>
      </c>
      <c r="BB3" s="154">
        <v>2030</v>
      </c>
      <c r="BC3" s="154">
        <v>2031</v>
      </c>
      <c r="BD3" s="154">
        <v>2032</v>
      </c>
      <c r="BE3" s="154">
        <v>2033</v>
      </c>
      <c r="BF3" s="154">
        <v>2034</v>
      </c>
      <c r="BG3" s="154">
        <v>2035</v>
      </c>
      <c r="BH3" s="154">
        <v>2036</v>
      </c>
      <c r="BI3" s="154">
        <v>2037</v>
      </c>
      <c r="BJ3" s="154">
        <v>2038</v>
      </c>
      <c r="BK3" s="154">
        <v>2039</v>
      </c>
      <c r="BL3" s="154">
        <v>2040</v>
      </c>
      <c r="BM3" s="154">
        <v>2041</v>
      </c>
      <c r="BN3" s="154">
        <v>2042</v>
      </c>
      <c r="BO3" s="154">
        <v>2043</v>
      </c>
      <c r="BP3" s="154">
        <v>2044</v>
      </c>
      <c r="BQ3" s="154">
        <v>2045</v>
      </c>
      <c r="BR3" s="154">
        <v>2046</v>
      </c>
      <c r="BS3" s="154">
        <v>2047</v>
      </c>
      <c r="BT3" s="154">
        <v>2048</v>
      </c>
    </row>
    <row r="4" spans="1:72" x14ac:dyDescent="0.25">
      <c r="C4" s="124"/>
      <c r="D4" s="32"/>
      <c r="I4" s="105" t="s">
        <v>237</v>
      </c>
      <c r="J4" s="59">
        <f ca="1">OFFSET('Impact Summary'!U$2, '1b GA Class B'!$J$1, 0)</f>
        <v>-26.31</v>
      </c>
      <c r="K4" s="59">
        <f ca="1">OFFSET('Impact Summary'!V$2, '1b GA Class B'!$J$1, 0)</f>
        <v>-26.05</v>
      </c>
      <c r="L4" s="59">
        <f ca="1">OFFSET('Impact Summary'!W$2, '1b GA Class B'!$J$1, 0)</f>
        <v>-25.83</v>
      </c>
      <c r="M4" s="59">
        <f ca="1">OFFSET('Impact Summary'!X$2, '1b GA Class B'!$J$1, 0)</f>
        <v>-33.1</v>
      </c>
      <c r="N4" s="59">
        <f ca="1">OFFSET('Impact Summary'!Y$2, '1b GA Class B'!$J$1, 0)</f>
        <v>-28.09</v>
      </c>
      <c r="AN4" s="130" t="s">
        <v>221</v>
      </c>
      <c r="AO4" s="152">
        <f>'1b GA Class B'!F55/1.13</f>
        <v>-18.100000000000005</v>
      </c>
      <c r="AP4" s="152">
        <f>'1b GA Class B'!G55/1.13</f>
        <v>-17.679999999999996</v>
      </c>
      <c r="AQ4" s="152">
        <f>'1b GA Class B'!H55/1.13</f>
        <v>-17.289999999999978</v>
      </c>
      <c r="AR4" s="152">
        <f>'1b GA Class B'!I55/1.13</f>
        <v>-24.39000000000005</v>
      </c>
      <c r="AS4" s="152">
        <f>'1b GA Class B'!J55/1.13</f>
        <v>-19.199999999999974</v>
      </c>
      <c r="AT4" s="152">
        <f>'1b GA Class B'!K55/1.13</f>
        <v>-16.83494260776412</v>
      </c>
      <c r="AU4" s="152">
        <f>'1b GA Class B'!L55/1.13</f>
        <v>-13.288526007748546</v>
      </c>
      <c r="AV4" s="152">
        <f>'1b GA Class B'!M55/1.13</f>
        <v>-17.933063961582331</v>
      </c>
      <c r="AW4" s="152">
        <f>'1b GA Class B'!N55/1.13</f>
        <v>-12.986439177630658</v>
      </c>
      <c r="AX4" s="152">
        <f>'1b GA Class B'!O55/1.13</f>
        <v>-8.7716689180762746</v>
      </c>
      <c r="AY4" s="152">
        <f>'1b GA Class B'!P55/1.13</f>
        <v>-14.094232486800657</v>
      </c>
      <c r="AZ4" s="152">
        <f>'1b GA Class B'!Q55/1.13</f>
        <v>-11.512388145807469</v>
      </c>
      <c r="BA4" s="152">
        <f>'1b GA Class B'!R55/1.13</f>
        <v>-5.1290103456814702</v>
      </c>
      <c r="BB4" s="152">
        <f>'1b GA Class B'!S55/1.13</f>
        <v>-2.0773961268582655</v>
      </c>
      <c r="BC4" s="152">
        <f>'1b GA Class B'!T55/1.13</f>
        <v>5.948910584683154</v>
      </c>
      <c r="BD4" s="152">
        <f>'1b GA Class B'!U55/1.13</f>
        <v>6.0742488988383405</v>
      </c>
      <c r="BE4" s="152">
        <f>'1b GA Class B'!V55/1.13</f>
        <v>10.936221354915112</v>
      </c>
      <c r="BF4" s="152">
        <f>'1b GA Class B'!W55/1.13</f>
        <v>15.127764961043701</v>
      </c>
      <c r="BG4" s="152">
        <f>'1b GA Class B'!X55/1.13</f>
        <v>29.122032990787691</v>
      </c>
      <c r="BH4" s="152">
        <f>'1b GA Class B'!Y55/1.13</f>
        <v>31.961368482691814</v>
      </c>
      <c r="BI4" s="152">
        <f>'1b GA Class B'!Z55/1.13</f>
        <v>33.797169851300673</v>
      </c>
      <c r="BJ4" s="152">
        <f>'1b GA Class B'!AA55/1.13</f>
        <v>33.657072851399015</v>
      </c>
      <c r="BK4" s="152">
        <f>'1b GA Class B'!AB55/1.13</f>
        <v>33.517556585608105</v>
      </c>
      <c r="BL4" s="152">
        <f>'1b GA Class B'!AC55/1.13</f>
        <v>33.378618646652306</v>
      </c>
      <c r="BM4" s="152">
        <f>'1b GA Class B'!AD55/1.13</f>
        <v>33.240256637234566</v>
      </c>
      <c r="BN4" s="152">
        <f>'1b GA Class B'!AE55/1.13</f>
        <v>33.102468169995191</v>
      </c>
      <c r="BO4" s="152">
        <f>'1b GA Class B'!AF55/1.13</f>
        <v>32.965250867470715</v>
      </c>
      <c r="BP4" s="152">
        <f>'1b GA Class B'!AG55/1.13</f>
        <v>32.828602362052663</v>
      </c>
      <c r="BQ4" s="152">
        <f>'1b GA Class B'!AH55/1.13</f>
        <v>32.692520295946998</v>
      </c>
      <c r="BR4" s="152">
        <f>'1b GA Class B'!AI55/1.13</f>
        <v>32.557002321133183</v>
      </c>
      <c r="BS4" s="152">
        <f>'1b GA Class B'!AJ55/1.13</f>
        <v>32.422046099323723</v>
      </c>
      <c r="BT4" s="152">
        <f>'1b GA Class B'!AK55/1.13</f>
        <v>0</v>
      </c>
    </row>
    <row r="5" spans="1:72" x14ac:dyDescent="0.25">
      <c r="B5" s="25"/>
      <c r="C5" s="45" t="s">
        <v>209</v>
      </c>
      <c r="I5" s="148"/>
      <c r="J5" s="146"/>
      <c r="K5" s="121"/>
      <c r="L5" s="54"/>
      <c r="AN5" s="130" t="s">
        <v>213</v>
      </c>
      <c r="AO5" s="152">
        <f>'1b GA Class B'!F46/1000</f>
        <v>2.8298746666666683</v>
      </c>
      <c r="AP5" s="152">
        <f>'1b GA Class B'!G46/1000</f>
        <v>5.7388601212800019</v>
      </c>
      <c r="AQ5" s="152">
        <f>'1b GA Class B'!H46/1000</f>
        <v>8.716790338418015</v>
      </c>
      <c r="AR5" s="152">
        <f>'1b GA Class B'!I46/1000</f>
        <v>12.949370132131488</v>
      </c>
      <c r="AS5" s="152">
        <f>'1b GA Class B'!J46/1000</f>
        <v>16.592723908091333</v>
      </c>
      <c r="AT5" s="152">
        <f>'1b GA Class B'!K46/1000</f>
        <v>20.055288619560027</v>
      </c>
      <c r="AU5" s="152">
        <f>'1b GA Class B'!L46/1000</f>
        <v>23.144405143126374</v>
      </c>
      <c r="AV5" s="152">
        <f>'1b GA Class B'!M46/1000</f>
        <v>27.112640867164245</v>
      </c>
      <c r="AW5" s="152">
        <f>'1b GA Class B'!N46/1000</f>
        <v>30.515911544386121</v>
      </c>
      <c r="AX5" s="152">
        <f>'1b GA Class B'!O46/1000</f>
        <v>33.429346059407557</v>
      </c>
      <c r="AY5" s="152">
        <f>'1b GA Class B'!P46/1000</f>
        <v>37.32776797815761</v>
      </c>
      <c r="AZ5" s="152">
        <f>'1b GA Class B'!Q46/1000</f>
        <v>41.024793222183916</v>
      </c>
      <c r="BA5" s="152">
        <f>'1b GA Class B'!R46/1000</f>
        <v>43.919917596299051</v>
      </c>
      <c r="BB5" s="152">
        <f>'1b GA Class B'!S46/1000</f>
        <v>46.491654540306243</v>
      </c>
      <c r="BC5" s="152">
        <f>'1b GA Class B'!T46/1000</f>
        <v>47.940075246375052</v>
      </c>
      <c r="BD5" s="152">
        <f>'1b GA Class B'!U46/1000</f>
        <v>49.436359749346494</v>
      </c>
      <c r="BE5" s="152">
        <f>'1b GA Class B'!V46/1000</f>
        <v>50.231768288657186</v>
      </c>
      <c r="BF5" s="152">
        <f>'1b GA Class B'!W46/1000</f>
        <v>50.386830859456694</v>
      </c>
      <c r="BG5" s="152">
        <f>'1b GA Class B'!X46/1000</f>
        <v>48.252287894543841</v>
      </c>
      <c r="BH5" s="152">
        <f>'1b GA Class B'!Y46/1000</f>
        <v>45.527571942278442</v>
      </c>
      <c r="BI5" s="152">
        <f>'1b GA Class B'!Z46/1000</f>
        <v>42.342307209087629</v>
      </c>
      <c r="BJ5" s="152">
        <f>'1b GA Class B'!AA46/1000</f>
        <v>38.994084332146784</v>
      </c>
      <c r="BK5" s="152">
        <f>'1b GA Class B'!AB46/1000</f>
        <v>35.474566372821641</v>
      </c>
      <c r="BL5" s="152">
        <f>'1b GA Class B'!AC46/1000</f>
        <v>31.774989874697422</v>
      </c>
      <c r="BM5" s="152">
        <f>'1b GA Class B'!AD46/1000</f>
        <v>27.886143042929174</v>
      </c>
      <c r="BN5" s="152">
        <f>'1b GA Class B'!AE46/1000</f>
        <v>23.798342807247653</v>
      </c>
      <c r="BO5" s="152">
        <f>'1b GA Class B'!AF46/1000</f>
        <v>19.501410711508665</v>
      </c>
      <c r="BP5" s="152">
        <f>'1b GA Class B'!AG46/1000</f>
        <v>14.984647569751676</v>
      </c>
      <c r="BQ5" s="152">
        <f>'1b GA Class B'!AH46/1000</f>
        <v>10.236806825662399</v>
      </c>
      <c r="BR5" s="152">
        <f>'1b GA Class B'!AI46/1000</f>
        <v>5.2460665491055112</v>
      </c>
      <c r="BS5" s="152">
        <f>'1b GA Class B'!AJ46/1000</f>
        <v>0</v>
      </c>
      <c r="BT5" s="152">
        <f>'1b GA Class B'!AK46/1000</f>
        <v>0</v>
      </c>
    </row>
    <row r="6" spans="1:72" x14ac:dyDescent="0.25">
      <c r="B6" s="24" t="s">
        <v>210</v>
      </c>
      <c r="C6" s="128">
        <v>-27.02</v>
      </c>
      <c r="I6" s="145"/>
      <c r="J6" s="146"/>
      <c r="K6" s="55"/>
      <c r="L6" s="55"/>
      <c r="AN6" s="130" t="s">
        <v>214</v>
      </c>
      <c r="AO6" s="152">
        <f>AO5</f>
        <v>2.8298746666666683</v>
      </c>
      <c r="AP6" s="152">
        <f t="shared" ref="AP6:BT6" si="0">AP5-AO5</f>
        <v>2.9089854546133336</v>
      </c>
      <c r="AQ6" s="152">
        <f t="shared" si="0"/>
        <v>2.9779302171380131</v>
      </c>
      <c r="AR6" s="152">
        <f t="shared" si="0"/>
        <v>4.232579793713473</v>
      </c>
      <c r="AS6" s="152">
        <f t="shared" si="0"/>
        <v>3.6433537759598451</v>
      </c>
      <c r="AT6" s="152">
        <f t="shared" si="0"/>
        <v>3.4625647114686942</v>
      </c>
      <c r="AU6" s="152">
        <f t="shared" si="0"/>
        <v>3.0891165235663465</v>
      </c>
      <c r="AV6" s="152">
        <f t="shared" si="0"/>
        <v>3.9682357240378714</v>
      </c>
      <c r="AW6" s="152">
        <f t="shared" si="0"/>
        <v>3.4032706772218759</v>
      </c>
      <c r="AX6" s="152">
        <f t="shared" si="0"/>
        <v>2.9134345150214358</v>
      </c>
      <c r="AY6" s="152">
        <f t="shared" si="0"/>
        <v>3.8984219187500528</v>
      </c>
      <c r="AZ6" s="152">
        <f t="shared" si="0"/>
        <v>3.6970252440263067</v>
      </c>
      <c r="BA6" s="152">
        <f t="shared" si="0"/>
        <v>2.8951243741151345</v>
      </c>
      <c r="BB6" s="152">
        <f t="shared" si="0"/>
        <v>2.571736944007192</v>
      </c>
      <c r="BC6" s="152">
        <f t="shared" si="0"/>
        <v>1.4484207060688092</v>
      </c>
      <c r="BD6" s="152">
        <f t="shared" si="0"/>
        <v>1.4962845029714416</v>
      </c>
      <c r="BE6" s="152">
        <f t="shared" si="0"/>
        <v>0.79540853931069222</v>
      </c>
      <c r="BF6" s="152">
        <f t="shared" si="0"/>
        <v>0.15506257079950814</v>
      </c>
      <c r="BG6" s="152">
        <f t="shared" si="0"/>
        <v>-2.1345429649128533</v>
      </c>
      <c r="BH6" s="152">
        <f t="shared" si="0"/>
        <v>-2.7247159522653988</v>
      </c>
      <c r="BI6" s="152">
        <f t="shared" si="0"/>
        <v>-3.185264733190813</v>
      </c>
      <c r="BJ6" s="152">
        <f t="shared" si="0"/>
        <v>-3.3482228769408451</v>
      </c>
      <c r="BK6" s="152">
        <f t="shared" si="0"/>
        <v>-3.5195179593251424</v>
      </c>
      <c r="BL6" s="152">
        <f t="shared" si="0"/>
        <v>-3.6995764981242196</v>
      </c>
      <c r="BM6" s="152">
        <f t="shared" si="0"/>
        <v>-3.8888468317682481</v>
      </c>
      <c r="BN6" s="152">
        <f t="shared" si="0"/>
        <v>-4.0878002356815202</v>
      </c>
      <c r="BO6" s="152">
        <f t="shared" si="0"/>
        <v>-4.2969320957389883</v>
      </c>
      <c r="BP6" s="152">
        <f t="shared" si="0"/>
        <v>-4.5167631417569893</v>
      </c>
      <c r="BQ6" s="152">
        <f t="shared" si="0"/>
        <v>-4.7478407440892774</v>
      </c>
      <c r="BR6" s="152">
        <f t="shared" si="0"/>
        <v>-4.9907402765568873</v>
      </c>
      <c r="BS6" s="152">
        <f t="shared" si="0"/>
        <v>-5.2460665491055112</v>
      </c>
      <c r="BT6" s="152">
        <f t="shared" si="0"/>
        <v>0</v>
      </c>
    </row>
    <row r="7" spans="1:72" x14ac:dyDescent="0.25">
      <c r="B7" s="24" t="s">
        <v>87</v>
      </c>
      <c r="C7" s="32">
        <v>9856.3916075683792</v>
      </c>
      <c r="D7" s="105" t="s">
        <v>234</v>
      </c>
      <c r="E7" s="50" t="s">
        <v>111</v>
      </c>
      <c r="I7" s="145"/>
      <c r="J7" s="146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5"/>
      <c r="J8" s="146"/>
    </row>
    <row r="9" spans="1:72" x14ac:dyDescent="0.25">
      <c r="B9" s="24" t="s">
        <v>187</v>
      </c>
      <c r="C9" s="126">
        <v>0</v>
      </c>
      <c r="I9" s="145"/>
      <c r="J9" s="146"/>
    </row>
    <row r="10" spans="1:72" x14ac:dyDescent="0.25">
      <c r="B10" s="24" t="s">
        <v>188</v>
      </c>
      <c r="C10" s="127">
        <v>0</v>
      </c>
      <c r="I10" s="145"/>
      <c r="J10" s="146"/>
      <c r="N10" s="129"/>
    </row>
    <row r="11" spans="1:72" x14ac:dyDescent="0.25">
      <c r="B11" s="24" t="s">
        <v>189</v>
      </c>
      <c r="C11" s="144">
        <v>0</v>
      </c>
      <c r="D11" s="105" t="s">
        <v>235</v>
      </c>
      <c r="I11" s="145"/>
      <c r="J11" s="146"/>
    </row>
    <row r="12" spans="1:72" x14ac:dyDescent="0.25">
      <c r="B12" s="24" t="s">
        <v>90</v>
      </c>
      <c r="C12" s="147">
        <v>5.1159999999999997E-2</v>
      </c>
    </row>
    <row r="13" spans="1:72" x14ac:dyDescent="0.25">
      <c r="B13" s="24" t="s">
        <v>106</v>
      </c>
      <c r="C13" s="60">
        <v>5514.4553137577759</v>
      </c>
      <c r="D13" s="105" t="s">
        <v>236</v>
      </c>
      <c r="E13" s="50" t="s">
        <v>111</v>
      </c>
    </row>
    <row r="14" spans="1:72" x14ac:dyDescent="0.25">
      <c r="B14" s="24" t="s">
        <v>107</v>
      </c>
      <c r="C14" s="147">
        <v>2020</v>
      </c>
    </row>
    <row r="15" spans="1:72" x14ac:dyDescent="0.25">
      <c r="B15" s="24" t="s">
        <v>108</v>
      </c>
      <c r="C15" s="147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'1b GA Class B'!C15-Calcs!D15)</f>
        <v>5.0022208597511053E-12</v>
      </c>
    </row>
    <row r="18" spans="2:4" x14ac:dyDescent="0.25">
      <c r="B18" s="24" t="s">
        <v>223</v>
      </c>
      <c r="C18" s="41" t="s">
        <v>227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9265.4950155683764</v>
      </c>
      <c r="G45" s="32">
        <v>9070.4719017206899</v>
      </c>
      <c r="H45" s="32">
        <v>8867.7750194466953</v>
      </c>
      <c r="I45" s="32">
        <v>8381.7990048572246</v>
      </c>
      <c r="J45" s="32">
        <v>7862.6914761843082</v>
      </c>
      <c r="K45" s="32">
        <v>8019.9453057079945</v>
      </c>
      <c r="L45" s="32">
        <v>8180.3442118221528</v>
      </c>
      <c r="M45" s="32">
        <v>8343.9510960585958</v>
      </c>
      <c r="N45" s="32">
        <v>8510.8301179797691</v>
      </c>
      <c r="O45" s="32">
        <v>8681.0467203393637</v>
      </c>
      <c r="P45" s="32">
        <v>8854.6676547461502</v>
      </c>
      <c r="Q45" s="32">
        <v>9031.7610078410744</v>
      </c>
      <c r="R45" s="32">
        <v>9212.396227997895</v>
      </c>
      <c r="S45" s="32">
        <v>9396.6441525578539</v>
      </c>
      <c r="T45" s="32">
        <v>9584.5770356090088</v>
      </c>
      <c r="U45" s="32">
        <v>9776.2685763211903</v>
      </c>
      <c r="V45" s="32">
        <v>9971.7939478476146</v>
      </c>
      <c r="W45" s="32">
        <v>10171.229826804567</v>
      </c>
      <c r="X45" s="32">
        <v>10374.654423340657</v>
      </c>
      <c r="Y45" s="32">
        <v>10582.14751180747</v>
      </c>
      <c r="Z45" s="32">
        <v>10643.031418726601</v>
      </c>
      <c r="AA45" s="32">
        <v>10395.333359406435</v>
      </c>
      <c r="AB45" s="32">
        <v>10159.598528735936</v>
      </c>
      <c r="AC45" s="32">
        <v>9935.2491311517661</v>
      </c>
      <c r="AD45" s="32">
        <v>9721.7352772455779</v>
      </c>
      <c r="AE45" s="32">
        <v>9518.5336359629455</v>
      </c>
      <c r="AF45" s="32">
        <v>9325.1461518978722</v>
      </c>
      <c r="AG45" s="32">
        <v>9141.0988245389308</v>
      </c>
      <c r="AH45" s="32">
        <v>8965.9405464749198</v>
      </c>
      <c r="AI45" s="32">
        <v>8799.2419977124373</v>
      </c>
      <c r="AJ45" s="32">
        <v>8640.5945933952789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2829.8746666666684</v>
      </c>
      <c r="G46" s="32">
        <v>5738.8601212800022</v>
      </c>
      <c r="H46" s="32">
        <v>8716.7903384180154</v>
      </c>
      <c r="I46" s="32">
        <v>12949.370132131487</v>
      </c>
      <c r="J46" s="32">
        <v>16592.723908091331</v>
      </c>
      <c r="K46" s="32">
        <v>20055.288619560026</v>
      </c>
      <c r="L46" s="32">
        <v>23144.405143126372</v>
      </c>
      <c r="M46" s="32">
        <v>27112.640867164246</v>
      </c>
      <c r="N46" s="32">
        <v>30515.911544386123</v>
      </c>
      <c r="O46" s="32">
        <v>33429.346059407559</v>
      </c>
      <c r="P46" s="32">
        <v>37327.767978157608</v>
      </c>
      <c r="Q46" s="32">
        <v>41024.793222183915</v>
      </c>
      <c r="R46" s="32">
        <v>43919.917596299048</v>
      </c>
      <c r="S46" s="32">
        <v>46491.654540306241</v>
      </c>
      <c r="T46" s="32">
        <v>47940.075246375054</v>
      </c>
      <c r="U46" s="32">
        <v>49436.359749346491</v>
      </c>
      <c r="V46" s="32">
        <v>50231.768288657186</v>
      </c>
      <c r="W46" s="32">
        <v>50386.830859456692</v>
      </c>
      <c r="X46" s="32">
        <v>48252.287894543842</v>
      </c>
      <c r="Y46" s="32">
        <v>45527.571942278439</v>
      </c>
      <c r="Z46" s="32">
        <v>42342.30720908763</v>
      </c>
      <c r="AA46" s="32">
        <v>38994.084332146784</v>
      </c>
      <c r="AB46" s="32">
        <v>35474.566372821639</v>
      </c>
      <c r="AC46" s="32">
        <v>31774.989874697421</v>
      </c>
      <c r="AD46" s="32">
        <v>27886.143042929172</v>
      </c>
      <c r="AE46" s="32">
        <v>23798.342807247653</v>
      </c>
      <c r="AF46" s="32">
        <v>19501.410711508666</v>
      </c>
      <c r="AG46" s="32">
        <v>14984.647569751676</v>
      </c>
      <c r="AH46" s="32">
        <v>10236.806825662399</v>
      </c>
      <c r="AI46" s="32">
        <v>5246.0665491055115</v>
      </c>
      <c r="AJ46" s="32">
        <v>0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139.76513261808913</v>
      </c>
      <c r="G54" s="32">
        <v>142.79110298964929</v>
      </c>
      <c r="H54" s="32">
        <v>145.87650006702137</v>
      </c>
      <c r="I54" s="32">
        <v>148.37962368871541</v>
      </c>
      <c r="J54" s="32">
        <v>151.89993780473961</v>
      </c>
      <c r="K54" s="32">
        <v>157.8901290647986</v>
      </c>
      <c r="L54" s="32">
        <v>166.73027651457991</v>
      </c>
      <c r="M54" s="32">
        <v>164.18749459270569</v>
      </c>
      <c r="N54" s="32">
        <v>178.82391227860654</v>
      </c>
      <c r="O54" s="32">
        <v>178.54290745774284</v>
      </c>
      <c r="P54" s="32">
        <v>182.51690030902043</v>
      </c>
      <c r="Q54" s="32">
        <v>185.8484827434182</v>
      </c>
      <c r="R54" s="32">
        <v>191.92045338934284</v>
      </c>
      <c r="S54" s="32">
        <v>197.50799291372513</v>
      </c>
      <c r="T54" s="32">
        <v>209.14525453226219</v>
      </c>
      <c r="U54" s="32">
        <v>211.613545851672</v>
      </c>
      <c r="V54" s="32">
        <v>219.06380862516119</v>
      </c>
      <c r="W54" s="32">
        <v>225.21626732499564</v>
      </c>
      <c r="X54" s="32">
        <v>237.50232857658895</v>
      </c>
      <c r="Y54" s="32">
        <v>241.55479554437863</v>
      </c>
      <c r="Z54" s="32">
        <v>244.47675079810682</v>
      </c>
      <c r="AA54" s="32">
        <v>245.16943710441231</v>
      </c>
      <c r="AB54" s="32">
        <v>245.86629027224424</v>
      </c>
      <c r="AC54" s="32">
        <v>246.56732206386769</v>
      </c>
      <c r="AD54" s="32">
        <v>247.27254431256844</v>
      </c>
      <c r="AE54" s="32">
        <v>247.98196892285287</v>
      </c>
      <c r="AF54" s="32">
        <v>248.69560787064901</v>
      </c>
      <c r="AG54" s="32">
        <v>249.41347320350837</v>
      </c>
      <c r="AH54" s="32">
        <v>250.13557704080966</v>
      </c>
      <c r="AI54" s="32">
        <v>250.86193157396315</v>
      </c>
      <c r="AJ54" s="32">
        <v>251.59254906661644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-20.453000000000003</v>
      </c>
      <c r="G55" s="37">
        <v>-19.978399999999993</v>
      </c>
      <c r="H55" s="37">
        <v>-19.537699999999973</v>
      </c>
      <c r="I55" s="37">
        <v>-27.560700000000054</v>
      </c>
      <c r="J55" s="37">
        <v>-21.69599999999997</v>
      </c>
      <c r="K55" s="37">
        <v>-19.023485146773453</v>
      </c>
      <c r="L55" s="37">
        <v>-15.016034388755855</v>
      </c>
      <c r="M55" s="37">
        <v>-20.264362276588031</v>
      </c>
      <c r="N55" s="37">
        <v>-14.674676270722642</v>
      </c>
      <c r="O55" s="37">
        <v>-9.91198587742619</v>
      </c>
      <c r="P55" s="37">
        <v>-15.926482710084741</v>
      </c>
      <c r="Q55" s="37">
        <v>-13.008998604762439</v>
      </c>
      <c r="R55" s="37">
        <v>-5.7957816906200605</v>
      </c>
      <c r="S55" s="37">
        <v>-2.3474576233498397</v>
      </c>
      <c r="T55" s="37">
        <v>6.722268960691963</v>
      </c>
      <c r="U55" s="37">
        <v>6.863901255687324</v>
      </c>
      <c r="V55" s="37">
        <v>12.357930131054076</v>
      </c>
      <c r="W55" s="37">
        <v>17.09437440597938</v>
      </c>
      <c r="X55" s="37">
        <v>32.907897279590088</v>
      </c>
      <c r="Y55" s="37">
        <v>36.116346385441744</v>
      </c>
      <c r="Z55" s="37">
        <v>38.190801931969759</v>
      </c>
      <c r="AA55" s="37">
        <v>38.032492322080884</v>
      </c>
      <c r="AB55" s="37">
        <v>37.874838941737153</v>
      </c>
      <c r="AC55" s="37">
        <v>37.717839070717105</v>
      </c>
      <c r="AD55" s="37">
        <v>37.561490000075054</v>
      </c>
      <c r="AE55" s="37">
        <v>37.40578903209456</v>
      </c>
      <c r="AF55" s="37">
        <v>37.250733480241905</v>
      </c>
      <c r="AG55" s="37">
        <v>37.096320669119507</v>
      </c>
      <c r="AH55" s="37">
        <v>36.942547934420105</v>
      </c>
      <c r="AI55" s="37">
        <v>36.789412622880491</v>
      </c>
      <c r="AJ55" s="37">
        <v>36.636912092235804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609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0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1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2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1:BT57"/>
  <sheetViews>
    <sheetView zoomScale="85" zoomScaleNormal="85" workbookViewId="0">
      <selection activeCell="H52" sqref="H52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42" style="105" customWidth="1"/>
    <col min="41" max="52" width="5.28515625" style="105" bestFit="1" customWidth="1"/>
    <col min="53" max="71" width="4.7109375" style="105" bestFit="1" customWidth="1"/>
    <col min="72" max="72" width="4.28515625" style="105" customWidth="1"/>
    <col min="73" max="16384" width="9.140625" style="105"/>
  </cols>
  <sheetData>
    <row r="1" spans="1:72" x14ac:dyDescent="0.25">
      <c r="A1" s="54"/>
      <c r="B1" s="46"/>
      <c r="I1" s="105" t="s">
        <v>232</v>
      </c>
      <c r="J1" s="105">
        <v>1</v>
      </c>
      <c r="L1" s="105" t="s">
        <v>233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53"/>
      <c r="AO3" s="154">
        <v>2017</v>
      </c>
      <c r="AP3" s="154">
        <v>2018</v>
      </c>
      <c r="AQ3" s="154">
        <v>2019</v>
      </c>
      <c r="AR3" s="154">
        <v>2020</v>
      </c>
      <c r="AS3" s="154">
        <v>2021</v>
      </c>
      <c r="AT3" s="154">
        <v>2022</v>
      </c>
      <c r="AU3" s="154">
        <v>2023</v>
      </c>
      <c r="AV3" s="154">
        <v>2024</v>
      </c>
      <c r="AW3" s="154">
        <v>2025</v>
      </c>
      <c r="AX3" s="154">
        <v>2026</v>
      </c>
      <c r="AY3" s="154">
        <v>2027</v>
      </c>
      <c r="AZ3" s="154">
        <v>2028</v>
      </c>
      <c r="BA3" s="154">
        <v>2029</v>
      </c>
      <c r="BB3" s="154">
        <v>2030</v>
      </c>
      <c r="BC3" s="154">
        <v>2031</v>
      </c>
      <c r="BD3" s="154">
        <v>2032</v>
      </c>
      <c r="BE3" s="154">
        <v>2033</v>
      </c>
      <c r="BF3" s="154">
        <v>2034</v>
      </c>
      <c r="BG3" s="154">
        <v>2035</v>
      </c>
      <c r="BH3" s="154">
        <v>2036</v>
      </c>
      <c r="BI3" s="154">
        <v>2037</v>
      </c>
      <c r="BJ3" s="154">
        <v>2038</v>
      </c>
      <c r="BK3" s="154">
        <v>2039</v>
      </c>
      <c r="BL3" s="154">
        <v>2040</v>
      </c>
      <c r="BM3" s="154">
        <v>2041</v>
      </c>
      <c r="BN3" s="154">
        <v>2042</v>
      </c>
      <c r="BO3" s="154">
        <v>2043</v>
      </c>
      <c r="BP3" s="154">
        <v>2044</v>
      </c>
      <c r="BQ3" s="154">
        <v>2045</v>
      </c>
      <c r="BR3" s="154">
        <v>2046</v>
      </c>
      <c r="BS3" s="154">
        <v>2047</v>
      </c>
      <c r="BT3" s="154">
        <v>2048</v>
      </c>
    </row>
    <row r="4" spans="1:72" ht="30" x14ac:dyDescent="0.25">
      <c r="C4" s="124"/>
      <c r="D4" s="32"/>
      <c r="I4" s="105" t="s">
        <v>237</v>
      </c>
      <c r="J4" s="59">
        <f ca="1">OFFSET('Impact Summary'!U$2, '1c GA All'!$J$1, 0)</f>
        <v>-26.31</v>
      </c>
      <c r="K4" s="59">
        <f ca="1">OFFSET('Impact Summary'!V$2, '1c GA All'!$J$1, 0)</f>
        <v>-26.05</v>
      </c>
      <c r="L4" s="59">
        <f ca="1">OFFSET('Impact Summary'!W$2, '1c GA All'!$J$1, 0)</f>
        <v>-25.83</v>
      </c>
      <c r="M4" s="59">
        <f ca="1">OFFSET('Impact Summary'!X$2, '1c GA All'!$J$1, 0)</f>
        <v>-33.1</v>
      </c>
      <c r="N4" s="59">
        <f ca="1">OFFSET('Impact Summary'!Y$2, '1c GA All'!$J$1, 0)</f>
        <v>-28.09</v>
      </c>
      <c r="AN4" s="130" t="s">
        <v>221</v>
      </c>
      <c r="AO4" s="152">
        <f>'1c GA All'!F55/1.13</f>
        <v>-18.100000000000005</v>
      </c>
      <c r="AP4" s="152">
        <f>'1c GA All'!G55/1.13</f>
        <v>-17.679999999999996</v>
      </c>
      <c r="AQ4" s="152">
        <f>'1c GA All'!H55/1.13</f>
        <v>-17.290000000000028</v>
      </c>
      <c r="AR4" s="152">
        <f>'1c GA All'!I55/1.13</f>
        <v>-24.39</v>
      </c>
      <c r="AS4" s="152">
        <f>'1c GA All'!J55/1.13</f>
        <v>-19.2</v>
      </c>
      <c r="AT4" s="152">
        <f>'1c GA All'!K55/1.13</f>
        <v>-17.13576640579328</v>
      </c>
      <c r="AU4" s="152">
        <f>'1c GA All'!L55/1.13</f>
        <v>-14.031675799280526</v>
      </c>
      <c r="AV4" s="152">
        <f>'1c GA All'!M55/1.13</f>
        <v>-18.135346634090816</v>
      </c>
      <c r="AW4" s="152">
        <f>'1c GA All'!N55/1.13</f>
        <v>-13.798497426527053</v>
      </c>
      <c r="AX4" s="152">
        <f>'1c GA All'!O55/1.13</f>
        <v>-10.122288556125815</v>
      </c>
      <c r="AY4" s="152">
        <f>'1c GA All'!P55/1.13</f>
        <v>-14.804750017696209</v>
      </c>
      <c r="AZ4" s="152">
        <f>'1c GA All'!Q55/1.13</f>
        <v>-12.547901127913773</v>
      </c>
      <c r="BA4" s="152">
        <f>'1c GA All'!R55/1.13</f>
        <v>-6.9453264305678388</v>
      </c>
      <c r="BB4" s="152">
        <f>'1c GA All'!S55/1.13</f>
        <v>-4.2571994558452104</v>
      </c>
      <c r="BC4" s="152">
        <f>'1c GA All'!T55/1.13</f>
        <v>2.7920686675423569</v>
      </c>
      <c r="BD4" s="152">
        <f>'1c GA All'!U55/1.13</f>
        <v>2.9059832604992808</v>
      </c>
      <c r="BE4" s="152">
        <f>'1c GA All'!V55/1.13</f>
        <v>7.1885434947805473</v>
      </c>
      <c r="BF4" s="152">
        <f>'1c GA All'!W55/1.13</f>
        <v>10.881549495966546</v>
      </c>
      <c r="BG4" s="152">
        <f>'1c GA All'!X55/1.13</f>
        <v>23.217783931761261</v>
      </c>
      <c r="BH4" s="152">
        <f>'1c GA All'!Y55/1.13</f>
        <v>25.715383512508588</v>
      </c>
      <c r="BI4" s="152">
        <f>'1c GA All'!Z55/1.13</f>
        <v>28.143565370233791</v>
      </c>
      <c r="BJ4" s="152">
        <f>'1c GA All'!AA55/1.13</f>
        <v>30.506960973926542</v>
      </c>
      <c r="BK4" s="152">
        <f>'1c GA All'!AB55/1.13</f>
        <v>32.809976369732212</v>
      </c>
      <c r="BL4" s="152">
        <f>'1c GA All'!AC55/1.13</f>
        <v>35.056804229789677</v>
      </c>
      <c r="BM4" s="152">
        <f>'1c GA All'!AD55/1.13</f>
        <v>37.251435276084194</v>
      </c>
      <c r="BN4" s="152">
        <f>'1c GA All'!AE55/1.13</f>
        <v>39.397669112040717</v>
      </c>
      <c r="BO4" s="152">
        <f>'1c GA All'!AF55/1.13</f>
        <v>41.499124492872909</v>
      </c>
      <c r="BP4" s="152">
        <f>'1c GA All'!AG55/1.13</f>
        <v>43.559249064085975</v>
      </c>
      <c r="BQ4" s="152">
        <f>'1c GA All'!AH55/1.13</f>
        <v>45.581328595994393</v>
      </c>
      <c r="BR4" s="152">
        <f>'1c GA All'!AI55/1.13</f>
        <v>47.568495740664233</v>
      </c>
      <c r="BS4" s="152">
        <f>'1c GA All'!AJ55/1.13</f>
        <v>49.523738336308547</v>
      </c>
      <c r="BT4" s="152">
        <f>'1c GA All'!AK55/1.13</f>
        <v>0</v>
      </c>
    </row>
    <row r="5" spans="1:72" x14ac:dyDescent="0.25">
      <c r="B5" s="25"/>
      <c r="C5" s="45" t="s">
        <v>209</v>
      </c>
      <c r="I5" s="148"/>
      <c r="J5" s="146"/>
      <c r="K5" s="121"/>
      <c r="L5" s="54"/>
      <c r="AN5" s="130" t="s">
        <v>213</v>
      </c>
      <c r="AO5" s="152">
        <f>'1c GA All'!F46/1000</f>
        <v>3.2157666666666684</v>
      </c>
      <c r="AP5" s="152">
        <f>'1c GA All'!G46/1000</f>
        <v>6.5214319560000007</v>
      </c>
      <c r="AQ5" s="152">
        <f>'1c GA All'!H46/1000</f>
        <v>9.9054435663841183</v>
      </c>
      <c r="AR5" s="152">
        <f>'1c GA All'!I46/1000</f>
        <v>14.715193331967603</v>
      </c>
      <c r="AS5" s="152">
        <f>'1c GA All'!J46/1000</f>
        <v>18.855368077376522</v>
      </c>
      <c r="AT5" s="152">
        <f>'1c GA All'!K46/1000</f>
        <v>22.843173314715969</v>
      </c>
      <c r="AU5" s="152">
        <f>'1c GA All'!L46/1000</f>
        <v>26.487357834327483</v>
      </c>
      <c r="AV5" s="152">
        <f>'1c GA All'!M46/1000</f>
        <v>31.041965852152185</v>
      </c>
      <c r="AW5" s="152">
        <f>'1c GA All'!N46/1000</f>
        <v>35.06446228021619</v>
      </c>
      <c r="AX5" s="152">
        <f>'1c GA All'!O46/1000</f>
        <v>38.631601083895191</v>
      </c>
      <c r="AY5" s="152">
        <f>'1c GA All'!P46/1000</f>
        <v>43.21991060149962</v>
      </c>
      <c r="AZ5" s="152">
        <f>'1c GA All'!Q46/1000</f>
        <v>47.644795178378828</v>
      </c>
      <c r="BA5" s="152">
        <f>'1c GA All'!R46/1000</f>
        <v>51.307626853606692</v>
      </c>
      <c r="BB5" s="152">
        <f>'1c GA All'!S46/1000</f>
        <v>54.688887480092383</v>
      </c>
      <c r="BC5" s="152">
        <f>'1c GA All'!T46/1000</f>
        <v>56.990713430307217</v>
      </c>
      <c r="BD5" s="152">
        <f>'1c GA All'!U46/1000</f>
        <v>59.386451506068781</v>
      </c>
      <c r="BE5" s="152">
        <f>'1c GA All'!V46/1000</f>
        <v>61.129635362801977</v>
      </c>
      <c r="BF5" s="152">
        <f>'1c GA All'!W46/1000</f>
        <v>62.283180378179431</v>
      </c>
      <c r="BG5" s="152">
        <f>'1c GA All'!X46/1000</f>
        <v>61.200329919723231</v>
      </c>
      <c r="BH5" s="152">
        <f>'1c GA All'!Y46/1000</f>
        <v>59.583142890141367</v>
      </c>
      <c r="BI5" s="152">
        <f>'1c GA All'!Z46/1000</f>
        <v>57.413240390011786</v>
      </c>
      <c r="BJ5" s="152">
        <f>'1c GA All'!AA46/1000</f>
        <v>54.67057739380251</v>
      </c>
      <c r="BK5" s="152">
        <f>'1c GA All'!AB46/1000</f>
        <v>51.333386502150773</v>
      </c>
      <c r="BL5" s="152">
        <f>'1c GA All'!AC46/1000</f>
        <v>47.378117290804639</v>
      </c>
      <c r="BM5" s="152">
        <f>'1c GA All'!AD46/1000</f>
        <v>42.77937110204401</v>
      </c>
      <c r="BN5" s="152">
        <f>'1c GA All'!AE46/1000</f>
        <v>37.509831113022805</v>
      </c>
      <c r="BO5" s="152">
        <f>'1c GA All'!AF46/1000</f>
        <v>31.540187503684074</v>
      </c>
      <c r="BP5" s="152">
        <f>'1c GA All'!AG46/1000</f>
        <v>24.839057534665898</v>
      </c>
      <c r="BQ5" s="152">
        <f>'1c GA All'!AH46/1000</f>
        <v>17.372900332907783</v>
      </c>
      <c r="BR5" s="152">
        <f>'1c GA All'!AI46/1000</f>
        <v>9.1059261694528733</v>
      </c>
      <c r="BS5" s="152">
        <f>'1c GA All'!AJ46/1000</f>
        <v>1.8829814507625997E-10</v>
      </c>
      <c r="BT5" s="152">
        <f>'1c GA All'!AK46/1000</f>
        <v>0</v>
      </c>
    </row>
    <row r="6" spans="1:72" x14ac:dyDescent="0.25">
      <c r="B6" s="24" t="s">
        <v>210</v>
      </c>
      <c r="C6" s="128">
        <v>-27.02</v>
      </c>
      <c r="I6" s="145"/>
      <c r="J6" s="146"/>
      <c r="K6" s="55"/>
      <c r="L6" s="55"/>
      <c r="AN6" s="130" t="s">
        <v>214</v>
      </c>
      <c r="AO6" s="152">
        <f>AO5</f>
        <v>3.2157666666666684</v>
      </c>
      <c r="AP6" s="152">
        <f t="shared" ref="AP6:BT6" si="0">AP5-AO5</f>
        <v>3.3056652893333323</v>
      </c>
      <c r="AQ6" s="152">
        <f t="shared" si="0"/>
        <v>3.3840116103841176</v>
      </c>
      <c r="AR6" s="152">
        <f t="shared" si="0"/>
        <v>4.8097497655834847</v>
      </c>
      <c r="AS6" s="152">
        <f t="shared" si="0"/>
        <v>4.1401747454089186</v>
      </c>
      <c r="AT6" s="152">
        <f t="shared" si="0"/>
        <v>3.9878052373394475</v>
      </c>
      <c r="AU6" s="152">
        <f t="shared" si="0"/>
        <v>3.6441845196115139</v>
      </c>
      <c r="AV6" s="152">
        <f t="shared" si="0"/>
        <v>4.5546080178247017</v>
      </c>
      <c r="AW6" s="152">
        <f t="shared" si="0"/>
        <v>4.0224964280640059</v>
      </c>
      <c r="AX6" s="152">
        <f t="shared" si="0"/>
        <v>3.5671388036790006</v>
      </c>
      <c r="AY6" s="152">
        <f t="shared" si="0"/>
        <v>4.5883095176044293</v>
      </c>
      <c r="AZ6" s="152">
        <f t="shared" si="0"/>
        <v>4.424884576879208</v>
      </c>
      <c r="BA6" s="152">
        <f t="shared" si="0"/>
        <v>3.6628316752278636</v>
      </c>
      <c r="BB6" s="152">
        <f t="shared" si="0"/>
        <v>3.381260626485691</v>
      </c>
      <c r="BC6" s="152">
        <f t="shared" si="0"/>
        <v>2.3018259502148339</v>
      </c>
      <c r="BD6" s="152">
        <f t="shared" si="0"/>
        <v>2.3957380757615638</v>
      </c>
      <c r="BE6" s="152">
        <f t="shared" si="0"/>
        <v>1.7431838567331965</v>
      </c>
      <c r="BF6" s="152">
        <f t="shared" si="0"/>
        <v>1.1535450153774534</v>
      </c>
      <c r="BG6" s="152">
        <f t="shared" si="0"/>
        <v>-1.0828504584561998</v>
      </c>
      <c r="BH6" s="152">
        <f t="shared" si="0"/>
        <v>-1.6171870295818636</v>
      </c>
      <c r="BI6" s="152">
        <f t="shared" si="0"/>
        <v>-2.1699025001295809</v>
      </c>
      <c r="BJ6" s="152">
        <f t="shared" si="0"/>
        <v>-2.7426629962092761</v>
      </c>
      <c r="BK6" s="152">
        <f t="shared" si="0"/>
        <v>-3.337190891651737</v>
      </c>
      <c r="BL6" s="152">
        <f t="shared" si="0"/>
        <v>-3.9552692113461347</v>
      </c>
      <c r="BM6" s="152">
        <f t="shared" si="0"/>
        <v>-4.5987461887606287</v>
      </c>
      <c r="BN6" s="152">
        <f t="shared" si="0"/>
        <v>-5.2695399890212045</v>
      </c>
      <c r="BO6" s="152">
        <f t="shared" si="0"/>
        <v>-5.9696436093387319</v>
      </c>
      <c r="BP6" s="152">
        <f t="shared" si="0"/>
        <v>-6.7011299690181758</v>
      </c>
      <c r="BQ6" s="152">
        <f t="shared" si="0"/>
        <v>-7.466157201758115</v>
      </c>
      <c r="BR6" s="152">
        <f t="shared" si="0"/>
        <v>-8.2669741634549094</v>
      </c>
      <c r="BS6" s="152">
        <f t="shared" si="0"/>
        <v>-9.1059261692645759</v>
      </c>
      <c r="BT6" s="152">
        <f t="shared" si="0"/>
        <v>-1.8829814507625997E-10</v>
      </c>
    </row>
    <row r="7" spans="1:72" x14ac:dyDescent="0.25">
      <c r="B7" s="24" t="s">
        <v>87</v>
      </c>
      <c r="C7" s="32">
        <v>9856.3916075683792</v>
      </c>
      <c r="D7" s="105" t="s">
        <v>234</v>
      </c>
      <c r="E7" s="50" t="s">
        <v>111</v>
      </c>
      <c r="I7" s="145"/>
      <c r="J7" s="146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5"/>
      <c r="J8" s="146"/>
    </row>
    <row r="9" spans="1:72" x14ac:dyDescent="0.25">
      <c r="B9" s="24" t="s">
        <v>187</v>
      </c>
      <c r="C9" s="126">
        <v>0</v>
      </c>
      <c r="I9" s="145"/>
      <c r="J9" s="146"/>
    </row>
    <row r="10" spans="1:72" x14ac:dyDescent="0.25">
      <c r="B10" s="24" t="s">
        <v>188</v>
      </c>
      <c r="C10" s="127">
        <v>0</v>
      </c>
      <c r="I10" s="145"/>
      <c r="J10" s="146"/>
      <c r="N10" s="129"/>
    </row>
    <row r="11" spans="1:72" x14ac:dyDescent="0.25">
      <c r="B11" s="24" t="s">
        <v>189</v>
      </c>
      <c r="C11" s="144">
        <v>6.7418910418965067E-4</v>
      </c>
      <c r="D11" s="105" t="s">
        <v>235</v>
      </c>
      <c r="I11" s="145"/>
      <c r="J11" s="146"/>
    </row>
    <row r="12" spans="1:72" x14ac:dyDescent="0.25">
      <c r="B12" s="24" t="s">
        <v>90</v>
      </c>
      <c r="C12" s="147">
        <v>5.1159999999999997E-2</v>
      </c>
    </row>
    <row r="13" spans="1:72" x14ac:dyDescent="0.25">
      <c r="B13" s="24" t="s">
        <v>106</v>
      </c>
      <c r="C13" s="60">
        <v>100000000000000</v>
      </c>
      <c r="D13" s="105" t="s">
        <v>236</v>
      </c>
      <c r="E13" s="50" t="s">
        <v>111</v>
      </c>
    </row>
    <row r="14" spans="1:72" x14ac:dyDescent="0.25">
      <c r="B14" s="24" t="s">
        <v>107</v>
      </c>
      <c r="C14" s="147">
        <v>2020</v>
      </c>
    </row>
    <row r="15" spans="1:72" x14ac:dyDescent="0.25">
      <c r="B15" s="24" t="s">
        <v>108</v>
      </c>
      <c r="C15" s="147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'1c GA All'!C15-Calcs!D15)</f>
        <v>5.0022208597511053E-12</v>
      </c>
    </row>
    <row r="18" spans="2:4" x14ac:dyDescent="0.25">
      <c r="B18" s="24" t="s">
        <v>223</v>
      </c>
      <c r="C18" s="41" t="s">
        <v>224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8879.6030155683766</v>
      </c>
      <c r="G45" s="32">
        <v>8693.5343017206906</v>
      </c>
      <c r="H45" s="32">
        <v>8501.7300012648648</v>
      </c>
      <c r="I45" s="32">
        <v>7865.4405321299573</v>
      </c>
      <c r="J45" s="32">
        <v>7456.2100216388517</v>
      </c>
      <c r="K45" s="32">
        <v>7610.4616555378707</v>
      </c>
      <c r="L45" s="32">
        <v>7767.9043967811631</v>
      </c>
      <c r="M45" s="32">
        <v>7928.6042619536174</v>
      </c>
      <c r="N45" s="32">
        <v>8092.628633369628</v>
      </c>
      <c r="O45" s="32">
        <v>8260.0462873268698</v>
      </c>
      <c r="P45" s="32">
        <v>8430.9274229445637</v>
      </c>
      <c r="Q45" s="32">
        <v>8605.3436915983548</v>
      </c>
      <c r="R45" s="32">
        <v>8783.3682269640976</v>
      </c>
      <c r="S45" s="32">
        <v>8965.0756756832197</v>
      </c>
      <c r="T45" s="32">
        <v>9150.5422286624398</v>
      </c>
      <c r="U45" s="32">
        <v>9339.8456530210424</v>
      </c>
      <c r="V45" s="32">
        <v>9533.065324699026</v>
      </c>
      <c r="W45" s="32">
        <v>9730.2822617398742</v>
      </c>
      <c r="X45" s="32">
        <v>9931.5791582618585</v>
      </c>
      <c r="Y45" s="32">
        <v>10137.040419132112</v>
      </c>
      <c r="Z45" s="32">
        <v>10346.752195358049</v>
      </c>
      <c r="AA45" s="32">
        <v>10560.80242021095</v>
      </c>
      <c r="AB45" s="32">
        <v>10779.280846096837</v>
      </c>
      <c r="AC45" s="32">
        <v>11002.279082190162</v>
      </c>
      <c r="AD45" s="32">
        <v>11229.890632846002</v>
      </c>
      <c r="AE45" s="32">
        <v>11462.210936806949</v>
      </c>
      <c r="AF45" s="32">
        <v>11699.337407221075</v>
      </c>
      <c r="AG45" s="32">
        <v>11941.369472487811</v>
      </c>
      <c r="AH45" s="32">
        <v>12188.408617948769</v>
      </c>
      <c r="AI45" s="32">
        <v>12440.558428441131</v>
      </c>
      <c r="AJ45" s="32">
        <v>12697.92463173129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3215.7666666666682</v>
      </c>
      <c r="G46" s="32">
        <v>6521.4319560000004</v>
      </c>
      <c r="H46" s="32">
        <v>9905.4435663841177</v>
      </c>
      <c r="I46" s="32">
        <v>14715.193331967603</v>
      </c>
      <c r="J46" s="32">
        <v>18855.368077376523</v>
      </c>
      <c r="K46" s="32">
        <v>22843.173314715968</v>
      </c>
      <c r="L46" s="32">
        <v>26487.357834327482</v>
      </c>
      <c r="M46" s="32">
        <v>31041.965852152185</v>
      </c>
      <c r="N46" s="32">
        <v>35064.46228021619</v>
      </c>
      <c r="O46" s="32">
        <v>38631.601083895192</v>
      </c>
      <c r="P46" s="32">
        <v>43219.910601499621</v>
      </c>
      <c r="Q46" s="32">
        <v>47644.79517837883</v>
      </c>
      <c r="R46" s="32">
        <v>51307.626853606693</v>
      </c>
      <c r="S46" s="32">
        <v>54688.88748009238</v>
      </c>
      <c r="T46" s="32">
        <v>56990.713430307216</v>
      </c>
      <c r="U46" s="32">
        <v>59386.451506068777</v>
      </c>
      <c r="V46" s="32">
        <v>61129.635362801979</v>
      </c>
      <c r="W46" s="32">
        <v>62283.18037817943</v>
      </c>
      <c r="X46" s="32">
        <v>61200.329919723234</v>
      </c>
      <c r="Y46" s="32">
        <v>59583.142890141367</v>
      </c>
      <c r="Z46" s="32">
        <v>57413.240390011786</v>
      </c>
      <c r="AA46" s="32">
        <v>54670.577393802509</v>
      </c>
      <c r="AB46" s="32">
        <v>51333.386502150774</v>
      </c>
      <c r="AC46" s="32">
        <v>47378.117290804636</v>
      </c>
      <c r="AD46" s="32">
        <v>42779.37110204401</v>
      </c>
      <c r="AE46" s="32">
        <v>37509.831113022803</v>
      </c>
      <c r="AF46" s="32">
        <v>31540.187503684072</v>
      </c>
      <c r="AG46" s="32">
        <v>24839.057534665899</v>
      </c>
      <c r="AH46" s="32">
        <v>17372.900332907782</v>
      </c>
      <c r="AI46" s="32">
        <v>9105.9261694528741</v>
      </c>
      <c r="AJ46" s="32">
        <v>1.8829814507625997E-7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139.76513261808913</v>
      </c>
      <c r="G54" s="32">
        <v>142.79110298964929</v>
      </c>
      <c r="H54" s="32">
        <v>145.87650006702131</v>
      </c>
      <c r="I54" s="32">
        <v>148.37962368871547</v>
      </c>
      <c r="J54" s="32">
        <v>151.89993780473958</v>
      </c>
      <c r="K54" s="32">
        <v>157.55019817302565</v>
      </c>
      <c r="L54" s="32">
        <v>165.89051725014878</v>
      </c>
      <c r="M54" s="32">
        <v>163.9589151727711</v>
      </c>
      <c r="N54" s="32">
        <v>177.90628645735362</v>
      </c>
      <c r="O54" s="32">
        <v>177.01670726674686</v>
      </c>
      <c r="P54" s="32">
        <v>181.71401549910846</v>
      </c>
      <c r="Q54" s="32">
        <v>184.67835307363808</v>
      </c>
      <c r="R54" s="32">
        <v>189.86801621342124</v>
      </c>
      <c r="S54" s="32">
        <v>195.04481515196989</v>
      </c>
      <c r="T54" s="32">
        <v>205.57802316589309</v>
      </c>
      <c r="U54" s="32">
        <v>208.03340568034886</v>
      </c>
      <c r="V54" s="32">
        <v>214.82893264320913</v>
      </c>
      <c r="W54" s="32">
        <v>220.41804384945846</v>
      </c>
      <c r="X54" s="32">
        <v>230.83052713988909</v>
      </c>
      <c r="Y54" s="32">
        <v>234.49683252807159</v>
      </c>
      <c r="Z54" s="32">
        <v>238.08817773450124</v>
      </c>
      <c r="AA54" s="32">
        <v>241.60981068286841</v>
      </c>
      <c r="AB54" s="32">
        <v>245.06672462830448</v>
      </c>
      <c r="AC54" s="32">
        <v>248.46367177281292</v>
      </c>
      <c r="AD54" s="32">
        <v>251.80517617446853</v>
      </c>
      <c r="AE54" s="32">
        <v>255.09554598736432</v>
      </c>
      <c r="AF54" s="32">
        <v>258.33888506735349</v>
      </c>
      <c r="AG54" s="32">
        <v>261.53910397680602</v>
      </c>
      <c r="AH54" s="32">
        <v>264.69993041986322</v>
      </c>
      <c r="AI54" s="32">
        <v>267.82491913803324</v>
      </c>
      <c r="AJ54" s="32">
        <v>270.91746129440929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-20.453000000000003</v>
      </c>
      <c r="G55" s="37">
        <v>-19.978399999999993</v>
      </c>
      <c r="H55" s="37">
        <v>-19.537700000000029</v>
      </c>
      <c r="I55" s="37">
        <v>-27.560699999999997</v>
      </c>
      <c r="J55" s="37">
        <v>-21.695999999999998</v>
      </c>
      <c r="K55" s="37">
        <v>-19.363416038546404</v>
      </c>
      <c r="L55" s="37">
        <v>-15.855793653186993</v>
      </c>
      <c r="M55" s="37">
        <v>-20.492941696522621</v>
      </c>
      <c r="N55" s="37">
        <v>-15.592302091975569</v>
      </c>
      <c r="O55" s="37">
        <v>-11.438186068422169</v>
      </c>
      <c r="P55" s="37">
        <v>-16.729367519996714</v>
      </c>
      <c r="Q55" s="37">
        <v>-14.179128274542563</v>
      </c>
      <c r="R55" s="37">
        <v>-7.8482188665416572</v>
      </c>
      <c r="S55" s="37">
        <v>-4.8106353851050869</v>
      </c>
      <c r="T55" s="37">
        <v>3.155037594322863</v>
      </c>
      <c r="U55" s="37">
        <v>3.2837610843641869</v>
      </c>
      <c r="V55" s="37">
        <v>8.1230541491020176</v>
      </c>
      <c r="W55" s="37">
        <v>12.296150930442195</v>
      </c>
      <c r="X55" s="37">
        <v>26.236095842890222</v>
      </c>
      <c r="Y55" s="37">
        <v>29.058383369134702</v>
      </c>
      <c r="Z55" s="37">
        <v>31.802228868364182</v>
      </c>
      <c r="AA55" s="37">
        <v>34.472865900536988</v>
      </c>
      <c r="AB55" s="37">
        <v>37.075273297797395</v>
      </c>
      <c r="AC55" s="37">
        <v>39.614188779662328</v>
      </c>
      <c r="AD55" s="37">
        <v>42.09412186197514</v>
      </c>
      <c r="AE55" s="37">
        <v>44.519366096606007</v>
      </c>
      <c r="AF55" s="37">
        <v>46.89401067694638</v>
      </c>
      <c r="AG55" s="37">
        <v>49.221951442417151</v>
      </c>
      <c r="AH55" s="37">
        <v>51.506901313473662</v>
      </c>
      <c r="AI55" s="37">
        <v>53.752400186950581</v>
      </c>
      <c r="AJ55" s="37">
        <v>55.961824320028654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7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8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BT57"/>
  <sheetViews>
    <sheetView topLeftCell="A7" zoomScale="85" zoomScaleNormal="85" workbookViewId="0">
      <selection activeCell="AN3" sqref="AN3:BT6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31.7109375" style="105" customWidth="1"/>
    <col min="41" max="49" width="5.28515625" style="105" bestFit="1" customWidth="1"/>
    <col min="50" max="50" width="4.7109375" style="105" bestFit="1" customWidth="1"/>
    <col min="51" max="52" width="5.28515625" style="105" bestFit="1" customWidth="1"/>
    <col min="53" max="71" width="4.7109375" style="105" bestFit="1" customWidth="1"/>
    <col min="72" max="72" width="4.28515625" style="105" customWidth="1"/>
    <col min="73" max="16384" width="9.140625" style="105"/>
  </cols>
  <sheetData>
    <row r="1" spans="1:72" x14ac:dyDescent="0.25">
      <c r="A1" s="54"/>
      <c r="B1" s="46"/>
      <c r="I1" s="105" t="s">
        <v>232</v>
      </c>
      <c r="J1" s="105">
        <v>2</v>
      </c>
      <c r="L1" s="105" t="s">
        <v>233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53"/>
      <c r="AO3" s="154">
        <v>2017</v>
      </c>
      <c r="AP3" s="154">
        <v>2018</v>
      </c>
      <c r="AQ3" s="154">
        <v>2019</v>
      </c>
      <c r="AR3" s="154">
        <v>2020</v>
      </c>
      <c r="AS3" s="154">
        <v>2021</v>
      </c>
      <c r="AT3" s="154">
        <v>2022</v>
      </c>
      <c r="AU3" s="154">
        <v>2023</v>
      </c>
      <c r="AV3" s="154">
        <v>2024</v>
      </c>
      <c r="AW3" s="154">
        <v>2025</v>
      </c>
      <c r="AX3" s="154">
        <v>2026</v>
      </c>
      <c r="AY3" s="154">
        <v>2027</v>
      </c>
      <c r="AZ3" s="154">
        <v>2028</v>
      </c>
      <c r="BA3" s="154">
        <v>2029</v>
      </c>
      <c r="BB3" s="154">
        <v>2030</v>
      </c>
      <c r="BC3" s="154">
        <v>2031</v>
      </c>
      <c r="BD3" s="154">
        <v>2032</v>
      </c>
      <c r="BE3" s="154">
        <v>2033</v>
      </c>
      <c r="BF3" s="154">
        <v>2034</v>
      </c>
      <c r="BG3" s="154">
        <v>2035</v>
      </c>
      <c r="BH3" s="154">
        <v>2036</v>
      </c>
      <c r="BI3" s="154">
        <v>2037</v>
      </c>
      <c r="BJ3" s="154">
        <v>2038</v>
      </c>
      <c r="BK3" s="154">
        <v>2039</v>
      </c>
      <c r="BL3" s="154">
        <v>2040</v>
      </c>
      <c r="BM3" s="154">
        <v>2041</v>
      </c>
      <c r="BN3" s="154">
        <v>2042</v>
      </c>
      <c r="BO3" s="154">
        <v>2043</v>
      </c>
      <c r="BP3" s="154">
        <v>2044</v>
      </c>
      <c r="BQ3" s="154">
        <v>2045</v>
      </c>
      <c r="BR3" s="154">
        <v>2046</v>
      </c>
      <c r="BS3" s="154">
        <v>2047</v>
      </c>
      <c r="BT3" s="154">
        <v>2048</v>
      </c>
    </row>
    <row r="4" spans="1:72" ht="30" x14ac:dyDescent="0.25">
      <c r="C4" s="124"/>
      <c r="D4" s="32"/>
      <c r="I4" s="105" t="s">
        <v>237</v>
      </c>
      <c r="J4" s="59">
        <f ca="1">OFFSET('Impact Summary'!U$2, '2a GA RPP'!$J$1, 0)</f>
        <v>-26.31</v>
      </c>
      <c r="K4" s="59">
        <f ca="1">OFFSET('Impact Summary'!V$2, '2a GA RPP'!$J$1, 0)</f>
        <v>-26.060000000000002</v>
      </c>
      <c r="L4" s="59">
        <f ca="1">OFFSET('Impact Summary'!W$2, '2a GA RPP'!$J$1, 0)</f>
        <v>-25.830000000000002</v>
      </c>
      <c r="M4" s="59">
        <f ca="1">OFFSET('Impact Summary'!X$2, '2a GA RPP'!$J$1, 0)</f>
        <v>-33.1</v>
      </c>
      <c r="N4" s="59">
        <f ca="1">OFFSET('Impact Summary'!Y$2, '2a GA RPP'!$J$1, 0)</f>
        <v>-28.080000000000002</v>
      </c>
      <c r="AN4" s="130" t="s">
        <v>221</v>
      </c>
      <c r="AO4" s="152">
        <f>'2a GA RPP'!F55/1.13</f>
        <v>-26.310000000000027</v>
      </c>
      <c r="AP4" s="152">
        <f>'2a GA RPP'!G55/1.13</f>
        <v>-26.049999999999972</v>
      </c>
      <c r="AQ4" s="152">
        <f>'2a GA RPP'!H55/1.13</f>
        <v>-25.830000000000013</v>
      </c>
      <c r="AR4" s="152">
        <f>'2a GA RPP'!I55/1.13</f>
        <v>-33.100000000000023</v>
      </c>
      <c r="AS4" s="152">
        <f>'2a GA RPP'!J55/1.13</f>
        <v>-28.090000000000011</v>
      </c>
      <c r="AT4" s="152">
        <f>'2a GA RPP'!K55/1.13</f>
        <v>-23.464899259932356</v>
      </c>
      <c r="AU4" s="152">
        <f>'2a GA RPP'!L55/1.13</f>
        <v>-16.607564316506725</v>
      </c>
      <c r="AV4" s="152">
        <f>'2a GA RPP'!M55/1.13</f>
        <v>-25.201540949400645</v>
      </c>
      <c r="AW4" s="152">
        <f>'2a GA RPP'!N55/1.13</f>
        <v>-15.695598064269211</v>
      </c>
      <c r="AX4" s="152">
        <f>'2a GA RPP'!O55/1.13</f>
        <v>-7.503347939033433</v>
      </c>
      <c r="AY4" s="152">
        <f>'2a GA RPP'!P55/1.13</f>
        <v>-17.429966577751944</v>
      </c>
      <c r="AZ4" s="152">
        <f>'2a GA RPP'!Q55/1.13</f>
        <v>-12.375303662648133</v>
      </c>
      <c r="BA4" s="152">
        <f>'2a GA RPP'!R55/1.13</f>
        <v>-0.14427093770837823</v>
      </c>
      <c r="BB4" s="152">
        <f>'2a GA RPP'!S55/1.13</f>
        <v>5.7361554946616193</v>
      </c>
      <c r="BC4" s="152">
        <f>'2a GA RPP'!T55/1.13</f>
        <v>21.073245838665368</v>
      </c>
      <c r="BD4" s="152">
        <f>'2a GA RPP'!U55/1.13</f>
        <v>21.436948004527441</v>
      </c>
      <c r="BE4" s="152">
        <f>'2a GA RPP'!V55/1.13</f>
        <v>30.739826250370314</v>
      </c>
      <c r="BF4" s="152">
        <f>'2a GA RPP'!W55/1.13</f>
        <v>37.34595096526224</v>
      </c>
      <c r="BG4" s="152">
        <f>'2a GA RPP'!X55/1.13</f>
        <v>36.841275952218169</v>
      </c>
      <c r="BH4" s="152">
        <f>'2a GA RPP'!Y55/1.13</f>
        <v>36.688560436210011</v>
      </c>
      <c r="BI4" s="152">
        <f>'2a GA RPP'!Z55/1.13</f>
        <v>36.536477960948332</v>
      </c>
      <c r="BJ4" s="152">
        <f>'2a GA RPP'!AA55/1.13</f>
        <v>36.385025902334434</v>
      </c>
      <c r="BK4" s="152">
        <f>'2a GA RPP'!AB55/1.13</f>
        <v>36.234201647147081</v>
      </c>
      <c r="BL4" s="152">
        <f>'2a GA RPP'!AC55/1.13</f>
        <v>36.0840025929975</v>
      </c>
      <c r="BM4" s="152">
        <f>'2a GA RPP'!AD55/1.13</f>
        <v>35.934426148284345</v>
      </c>
      <c r="BN4" s="152">
        <f>'2a GA RPP'!AE55/1.13</f>
        <v>35.785469732149103</v>
      </c>
      <c r="BO4" s="152">
        <f>'2a GA RPP'!AF55/1.13</f>
        <v>35.637130774431483</v>
      </c>
      <c r="BP4" s="152">
        <f>'2a GA RPP'!AG55/1.13</f>
        <v>35.489406715625108</v>
      </c>
      <c r="BQ4" s="152">
        <f>'2a GA RPP'!AH55/1.13</f>
        <v>35.342295006833353</v>
      </c>
      <c r="BR4" s="152">
        <f>'2a GA RPP'!AI55/1.13</f>
        <v>35.195793109725336</v>
      </c>
      <c r="BS4" s="152">
        <f>'2a GA RPP'!AJ55/1.13</f>
        <v>35.049898496492091</v>
      </c>
      <c r="BT4" s="152">
        <f>'2a GA RPP'!AK55/1.13</f>
        <v>0</v>
      </c>
    </row>
    <row r="5" spans="1:72" x14ac:dyDescent="0.25">
      <c r="B5" s="25"/>
      <c r="C5" s="45" t="s">
        <v>209</v>
      </c>
      <c r="I5" s="148"/>
      <c r="J5" s="146"/>
      <c r="K5" s="121"/>
      <c r="L5" s="54"/>
      <c r="AN5" s="130" t="s">
        <v>213</v>
      </c>
      <c r="AO5" s="152">
        <f>'2a GA RPP'!F46/1000</f>
        <v>2.180144824000001</v>
      </c>
      <c r="AP5" s="152">
        <f>'2a GA RPP'!G46/1000</f>
        <v>4.4502812865291732</v>
      </c>
      <c r="AQ5" s="152">
        <f>'2a GA RPP'!H46/1000</f>
        <v>6.8033602851480062</v>
      </c>
      <c r="AR5" s="152">
        <f>'2a GA RPP'!I46/1000</f>
        <v>9.8750294240028484</v>
      </c>
      <c r="AS5" s="152">
        <f>'2a GA RPP'!J46/1000</f>
        <v>12.691600980001503</v>
      </c>
      <c r="AT5" s="152">
        <f>'2a GA RPP'!K46/1000</f>
        <v>15.271695314149126</v>
      </c>
      <c r="AU5" s="152">
        <f>'2a GA RPP'!L46/1000</f>
        <v>17.419536497324255</v>
      </c>
      <c r="AV5" s="152">
        <f>'2a GA RPP'!M46/1000</f>
        <v>20.384410300418768</v>
      </c>
      <c r="AW5" s="152">
        <f>'2a GA RPP'!N46/1000</f>
        <v>22.718777508001338</v>
      </c>
      <c r="AX5" s="152">
        <f>'2a GA RPP'!O46/1000</f>
        <v>24.494129707999825</v>
      </c>
      <c r="AY5" s="152">
        <f>'2a GA RPP'!P46/1000</f>
        <v>27.181461401735927</v>
      </c>
      <c r="AZ5" s="152">
        <f>'2a GA RPP'!Q46/1000</f>
        <v>29.590357753707057</v>
      </c>
      <c r="BA5" s="152">
        <f>'2a GA RPP'!R46/1000</f>
        <v>31.11607168469736</v>
      </c>
      <c r="BB5" s="152">
        <f>'2a GA RPP'!S46/1000</f>
        <v>32.2326506528183</v>
      </c>
      <c r="BC5" s="152">
        <f>'2a GA RPP'!T46/1000</f>
        <v>32.135465236573545</v>
      </c>
      <c r="BD5" s="152">
        <f>'2a GA RPP'!U46/1000</f>
        <v>31.990748098345261</v>
      </c>
      <c r="BE5" s="152">
        <f>'2a GA RPP'!V46/1000</f>
        <v>31.044552596630492</v>
      </c>
      <c r="BF5" s="152">
        <f>'2a GA RPP'!W46/1000</f>
        <v>29.473244784450863</v>
      </c>
      <c r="BG5" s="152">
        <f>'2a GA RPP'!X46/1000</f>
        <v>27.821548864600125</v>
      </c>
      <c r="BH5" s="152">
        <f>'2a GA RPP'!Y46/1000</f>
        <v>26.085352181489828</v>
      </c>
      <c r="BI5" s="152">
        <f>'2a GA RPP'!Z46/1000</f>
        <v>24.260331676071605</v>
      </c>
      <c r="BJ5" s="152">
        <f>'2a GA RPP'!AA46/1000</f>
        <v>22.341943121596181</v>
      </c>
      <c r="BK5" s="152">
        <f>'2a GA RPP'!AB46/1000</f>
        <v>20.3254098086738</v>
      </c>
      <c r="BL5" s="152">
        <f>'2a GA RPP'!AC46/1000</f>
        <v>18.205710651462308</v>
      </c>
      <c r="BM5" s="152">
        <f>'2a GA RPP'!AD46/1000</f>
        <v>15.977567685367877</v>
      </c>
      <c r="BN5" s="152">
        <f>'2a GA RPP'!AE46/1000</f>
        <v>13.635432925128052</v>
      </c>
      <c r="BO5" s="152">
        <f>'2a GA RPP'!AF46/1000</f>
        <v>11.17347455055436</v>
      </c>
      <c r="BP5" s="152">
        <f>'2a GA RPP'!AG46/1000</f>
        <v>8.5855623855374752</v>
      </c>
      <c r="BQ5" s="152">
        <f>'2a GA RPP'!AH46/1000</f>
        <v>5.8652526341583302</v>
      </c>
      <c r="BR5" s="152">
        <f>'2a GA RPP'!AI46/1000</f>
        <v>3.0057718358986247</v>
      </c>
      <c r="BS5" s="152">
        <f>'2a GA RPP'!AJ46/1000</f>
        <v>0</v>
      </c>
      <c r="BT5" s="152">
        <f>'2a GA RPP'!AK46/1000</f>
        <v>0</v>
      </c>
    </row>
    <row r="6" spans="1:72" ht="30" x14ac:dyDescent="0.25">
      <c r="B6" s="24" t="s">
        <v>210</v>
      </c>
      <c r="C6" s="128">
        <v>-27.02</v>
      </c>
      <c r="I6" s="145"/>
      <c r="J6" s="146"/>
      <c r="K6" s="55"/>
      <c r="L6" s="55"/>
      <c r="AN6" s="130" t="s">
        <v>214</v>
      </c>
      <c r="AO6" s="152">
        <f>AO5</f>
        <v>2.180144824000001</v>
      </c>
      <c r="AP6" s="152">
        <f t="shared" ref="AP6:BT6" si="0">AP5-AO5</f>
        <v>2.2701364625291722</v>
      </c>
      <c r="AQ6" s="152">
        <f t="shared" si="0"/>
        <v>2.353078998618833</v>
      </c>
      <c r="AR6" s="152">
        <f t="shared" si="0"/>
        <v>3.0716691388548423</v>
      </c>
      <c r="AS6" s="152">
        <f t="shared" si="0"/>
        <v>2.8165715559986548</v>
      </c>
      <c r="AT6" s="152">
        <f t="shared" si="0"/>
        <v>2.5800943341476223</v>
      </c>
      <c r="AU6" s="152">
        <f t="shared" si="0"/>
        <v>2.1478411831751298</v>
      </c>
      <c r="AV6" s="152">
        <f t="shared" si="0"/>
        <v>2.9648738030945125</v>
      </c>
      <c r="AW6" s="152">
        <f t="shared" si="0"/>
        <v>2.3343672075825701</v>
      </c>
      <c r="AX6" s="152">
        <f t="shared" si="0"/>
        <v>1.7753521999984869</v>
      </c>
      <c r="AY6" s="152">
        <f t="shared" si="0"/>
        <v>2.6873316937361018</v>
      </c>
      <c r="AZ6" s="152">
        <f t="shared" si="0"/>
        <v>2.4088963519711299</v>
      </c>
      <c r="BA6" s="152">
        <f t="shared" si="0"/>
        <v>1.5257139309903032</v>
      </c>
      <c r="BB6" s="152">
        <f t="shared" si="0"/>
        <v>1.1165789681209404</v>
      </c>
      <c r="BC6" s="152">
        <f t="shared" si="0"/>
        <v>-9.7185416244755629E-2</v>
      </c>
      <c r="BD6" s="152">
        <f t="shared" si="0"/>
        <v>-0.14471713822828391</v>
      </c>
      <c r="BE6" s="152">
        <f t="shared" si="0"/>
        <v>-0.94619550171476874</v>
      </c>
      <c r="BF6" s="152">
        <f t="shared" si="0"/>
        <v>-1.5713078121796293</v>
      </c>
      <c r="BG6" s="152">
        <f t="shared" si="0"/>
        <v>-1.6516959198507379</v>
      </c>
      <c r="BH6" s="152">
        <f t="shared" si="0"/>
        <v>-1.7361966831102968</v>
      </c>
      <c r="BI6" s="152">
        <f t="shared" si="0"/>
        <v>-1.8250205054182231</v>
      </c>
      <c r="BJ6" s="152">
        <f t="shared" si="0"/>
        <v>-1.918388554475424</v>
      </c>
      <c r="BK6" s="152">
        <f t="shared" si="0"/>
        <v>-2.0165333129223804</v>
      </c>
      <c r="BL6" s="152">
        <f t="shared" si="0"/>
        <v>-2.1196991572114925</v>
      </c>
      <c r="BM6" s="152">
        <f t="shared" si="0"/>
        <v>-2.2281429660944312</v>
      </c>
      <c r="BN6" s="152">
        <f t="shared" si="0"/>
        <v>-2.3421347602398246</v>
      </c>
      <c r="BO6" s="152">
        <f t="shared" si="0"/>
        <v>-2.4619583745736922</v>
      </c>
      <c r="BP6" s="152">
        <f t="shared" si="0"/>
        <v>-2.5879121650168848</v>
      </c>
      <c r="BQ6" s="152">
        <f t="shared" si="0"/>
        <v>-2.720309751379145</v>
      </c>
      <c r="BR6" s="152">
        <f t="shared" si="0"/>
        <v>-2.8594807982597055</v>
      </c>
      <c r="BS6" s="152">
        <f t="shared" si="0"/>
        <v>-3.0057718358986247</v>
      </c>
      <c r="BT6" s="152">
        <f t="shared" si="0"/>
        <v>0</v>
      </c>
    </row>
    <row r="7" spans="1:72" x14ac:dyDescent="0.25">
      <c r="B7" s="24" t="s">
        <v>87</v>
      </c>
      <c r="C7" s="32">
        <v>9856.3916075683792</v>
      </c>
      <c r="D7" s="105" t="s">
        <v>234</v>
      </c>
      <c r="E7" s="50" t="s">
        <v>111</v>
      </c>
      <c r="I7" s="145"/>
      <c r="J7" s="146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5"/>
      <c r="J8" s="146"/>
    </row>
    <row r="9" spans="1:72" x14ac:dyDescent="0.25">
      <c r="B9" s="24" t="s">
        <v>187</v>
      </c>
      <c r="C9" s="126">
        <v>0</v>
      </c>
      <c r="I9" s="145"/>
      <c r="J9" s="146"/>
    </row>
    <row r="10" spans="1:72" x14ac:dyDescent="0.25">
      <c r="B10" s="24" t="s">
        <v>188</v>
      </c>
      <c r="C10" s="127">
        <v>0</v>
      </c>
      <c r="I10" s="145"/>
      <c r="J10" s="146"/>
      <c r="N10" s="129"/>
    </row>
    <row r="11" spans="1:72" x14ac:dyDescent="0.25">
      <c r="B11" s="24" t="s">
        <v>189</v>
      </c>
      <c r="C11" s="144">
        <v>0</v>
      </c>
      <c r="D11" s="105" t="s">
        <v>235</v>
      </c>
      <c r="I11" s="145"/>
      <c r="J11" s="146"/>
    </row>
    <row r="12" spans="1:72" x14ac:dyDescent="0.25">
      <c r="B12" s="24" t="s">
        <v>90</v>
      </c>
      <c r="C12" s="155">
        <v>5.1159999999999997E-2</v>
      </c>
    </row>
    <row r="13" spans="1:72" x14ac:dyDescent="0.25">
      <c r="B13" s="24" t="s">
        <v>106</v>
      </c>
      <c r="C13" s="60">
        <v>3159.5471230232447</v>
      </c>
      <c r="D13" s="105" t="s">
        <v>236</v>
      </c>
      <c r="E13" s="50" t="s">
        <v>111</v>
      </c>
    </row>
    <row r="14" spans="1:72" x14ac:dyDescent="0.25">
      <c r="B14" s="24" t="s">
        <v>107</v>
      </c>
      <c r="C14" s="155">
        <v>2020</v>
      </c>
    </row>
    <row r="15" spans="1:72" x14ac:dyDescent="0.25">
      <c r="B15" s="24" t="s">
        <v>108</v>
      </c>
      <c r="C15" s="155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'2a GA RPP'!C15-Calcs!D15)</f>
        <v>5.0022208597511053E-12</v>
      </c>
    </row>
    <row r="18" spans="2:4" x14ac:dyDescent="0.25">
      <c r="B18" s="24" t="s">
        <v>223</v>
      </c>
      <c r="C18" s="41" t="s">
        <v>229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9915.2248582350439</v>
      </c>
      <c r="G45" s="32">
        <v>9676.080715054024</v>
      </c>
      <c r="H45" s="32">
        <v>9426.7025447800224</v>
      </c>
      <c r="I45" s="32">
        <v>9444.8185781905613</v>
      </c>
      <c r="J45" s="32">
        <v>8532.1904255176378</v>
      </c>
      <c r="K45" s="32">
        <v>8702.8342340279905</v>
      </c>
      <c r="L45" s="32">
        <v>8876.8909187085483</v>
      </c>
      <c r="M45" s="32">
        <v>9054.4287370827205</v>
      </c>
      <c r="N45" s="32">
        <v>9235.5173118243747</v>
      </c>
      <c r="O45" s="32">
        <v>9420.2276580608632</v>
      </c>
      <c r="P45" s="32">
        <v>9608.6322112220787</v>
      </c>
      <c r="Q45" s="32">
        <v>9800.8048554465222</v>
      </c>
      <c r="R45" s="32">
        <v>9996.8209525554503</v>
      </c>
      <c r="S45" s="32">
        <v>10196.757371606562</v>
      </c>
      <c r="T45" s="32">
        <v>10400.69251903869</v>
      </c>
      <c r="U45" s="32">
        <v>10608.706369419466</v>
      </c>
      <c r="V45" s="32">
        <v>10820.880496807855</v>
      </c>
      <c r="W45" s="32">
        <v>10915.98225497961</v>
      </c>
      <c r="X45" s="32">
        <v>8821.8683146812436</v>
      </c>
      <c r="Y45" s="32">
        <v>8548.3916338804484</v>
      </c>
      <c r="Z45" s="32">
        <v>8288.1232279920714</v>
      </c>
      <c r="AA45" s="32">
        <v>8040.4251686719035</v>
      </c>
      <c r="AB45" s="32">
        <v>7804.6903380014064</v>
      </c>
      <c r="AC45" s="32">
        <v>7580.3409404172344</v>
      </c>
      <c r="AD45" s="32">
        <v>7366.8270865110462</v>
      </c>
      <c r="AE45" s="32">
        <v>7163.6254452284138</v>
      </c>
      <c r="AF45" s="32">
        <v>6970.2379611633405</v>
      </c>
      <c r="AG45" s="32">
        <v>6786.1906338043991</v>
      </c>
      <c r="AH45" s="32">
        <v>6611.0323557403881</v>
      </c>
      <c r="AI45" s="32">
        <v>6444.3338069779056</v>
      </c>
      <c r="AJ45" s="32">
        <v>6285.6864026607473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2180.1448240000009</v>
      </c>
      <c r="G46" s="32">
        <v>4450.2812865291735</v>
      </c>
      <c r="H46" s="32">
        <v>6803.3602851480064</v>
      </c>
      <c r="I46" s="32">
        <v>9875.0294240028488</v>
      </c>
      <c r="J46" s="32">
        <v>12691.600980001504</v>
      </c>
      <c r="K46" s="32">
        <v>15271.695314149125</v>
      </c>
      <c r="L46" s="32">
        <v>17419.536497324254</v>
      </c>
      <c r="M46" s="32">
        <v>20384.410300418767</v>
      </c>
      <c r="N46" s="32">
        <v>22718.777508001338</v>
      </c>
      <c r="O46" s="32">
        <v>24494.129707999826</v>
      </c>
      <c r="P46" s="32">
        <v>27181.461401735927</v>
      </c>
      <c r="Q46" s="32">
        <v>29590.357753707056</v>
      </c>
      <c r="R46" s="32">
        <v>31116.071684697359</v>
      </c>
      <c r="S46" s="32">
        <v>32232.650652818302</v>
      </c>
      <c r="T46" s="32">
        <v>32135.465236573546</v>
      </c>
      <c r="U46" s="32">
        <v>31990.748098345262</v>
      </c>
      <c r="V46" s="32">
        <v>31044.552596630492</v>
      </c>
      <c r="W46" s="32">
        <v>29473.244784450864</v>
      </c>
      <c r="X46" s="32">
        <v>27821.548864600125</v>
      </c>
      <c r="Y46" s="32">
        <v>26085.352181489827</v>
      </c>
      <c r="Z46" s="32">
        <v>24260.331676071604</v>
      </c>
      <c r="AA46" s="32">
        <v>22341.943121596181</v>
      </c>
      <c r="AB46" s="32">
        <v>20325.409808673801</v>
      </c>
      <c r="AC46" s="32">
        <v>18205.710651462308</v>
      </c>
      <c r="AD46" s="32">
        <v>15977.567685367876</v>
      </c>
      <c r="AE46" s="32">
        <v>13635.432925128052</v>
      </c>
      <c r="AF46" s="32">
        <v>11173.47455055436</v>
      </c>
      <c r="AG46" s="32">
        <v>8585.5623855374761</v>
      </c>
      <c r="AH46" s="32">
        <v>5865.2526341583298</v>
      </c>
      <c r="AI46" s="32">
        <v>3005.7718358986249</v>
      </c>
      <c r="AJ46" s="32">
        <v>0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130.4878326180891</v>
      </c>
      <c r="G54" s="32">
        <v>133.33300298964932</v>
      </c>
      <c r="H54" s="32">
        <v>136.22630006702133</v>
      </c>
      <c r="I54" s="32">
        <v>138.53732368871545</v>
      </c>
      <c r="J54" s="32">
        <v>141.85423780473957</v>
      </c>
      <c r="K54" s="32">
        <v>150.39827804784849</v>
      </c>
      <c r="L54" s="32">
        <v>162.97976322568317</v>
      </c>
      <c r="M54" s="32">
        <v>155.97411559647099</v>
      </c>
      <c r="N54" s="32">
        <v>175.76256273670498</v>
      </c>
      <c r="O54" s="32">
        <v>179.97611016406125</v>
      </c>
      <c r="P54" s="32">
        <v>178.74752078624547</v>
      </c>
      <c r="Q54" s="32">
        <v>184.87338820938825</v>
      </c>
      <c r="R54" s="32">
        <v>197.55320892035243</v>
      </c>
      <c r="S54" s="32">
        <v>206.3373062460426</v>
      </c>
      <c r="T54" s="32">
        <v>226.23575336926208</v>
      </c>
      <c r="U54" s="32">
        <v>228.97339584110068</v>
      </c>
      <c r="V54" s="32">
        <v>241.44188215702556</v>
      </c>
      <c r="W54" s="32">
        <v>250.32281750976259</v>
      </c>
      <c r="X54" s="32">
        <v>246.22507312300539</v>
      </c>
      <c r="Y54" s="32">
        <v>246.8965224518542</v>
      </c>
      <c r="Z54" s="32">
        <v>247.57216896200867</v>
      </c>
      <c r="AA54" s="32">
        <v>248.25202405196933</v>
      </c>
      <c r="AB54" s="32">
        <v>248.93609919178328</v>
      </c>
      <c r="AC54" s="32">
        <v>249.62440592323776</v>
      </c>
      <c r="AD54" s="32">
        <v>250.31695586005469</v>
      </c>
      <c r="AE54" s="32">
        <v>251.01376068808679</v>
      </c>
      <c r="AF54" s="32">
        <v>251.71483216551468</v>
      </c>
      <c r="AG54" s="32">
        <v>252.42018212304524</v>
      </c>
      <c r="AH54" s="32">
        <v>253.12982246411124</v>
      </c>
      <c r="AI54" s="32">
        <v>253.84376516507228</v>
      </c>
      <c r="AJ54" s="32">
        <v>254.56202227541669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-29.730300000000028</v>
      </c>
      <c r="G55" s="37">
        <v>-29.436499999999967</v>
      </c>
      <c r="H55" s="37">
        <v>-29.187900000000013</v>
      </c>
      <c r="I55" s="37">
        <v>-37.40300000000002</v>
      </c>
      <c r="J55" s="37">
        <v>-31.741700000000009</v>
      </c>
      <c r="K55" s="37">
        <v>-26.515336163723561</v>
      </c>
      <c r="L55" s="37">
        <v>-18.766547677652596</v>
      </c>
      <c r="M55" s="37">
        <v>-28.477741272822726</v>
      </c>
      <c r="N55" s="37">
        <v>-17.736025812624206</v>
      </c>
      <c r="O55" s="37">
        <v>-8.4787831711077786</v>
      </c>
      <c r="P55" s="37">
        <v>-19.695862232859696</v>
      </c>
      <c r="Q55" s="37">
        <v>-13.984093138792389</v>
      </c>
      <c r="R55" s="37">
        <v>-0.1630261596104674</v>
      </c>
      <c r="S55" s="37">
        <v>6.481855708967629</v>
      </c>
      <c r="T55" s="37">
        <v>23.812767797691862</v>
      </c>
      <c r="U55" s="37">
        <v>24.223751245116006</v>
      </c>
      <c r="V55" s="37">
        <v>34.736003662918449</v>
      </c>
      <c r="W55" s="37">
        <v>42.200924590746325</v>
      </c>
      <c r="X55" s="37">
        <v>41.630641826006524</v>
      </c>
      <c r="Y55" s="37">
        <v>41.458073292917305</v>
      </c>
      <c r="Z55" s="37">
        <v>41.286220095871613</v>
      </c>
      <c r="AA55" s="37">
        <v>41.115079269637903</v>
      </c>
      <c r="AB55" s="37">
        <v>40.944647861276195</v>
      </c>
      <c r="AC55" s="37">
        <v>40.774922930087172</v>
      </c>
      <c r="AD55" s="37">
        <v>40.605901547561302</v>
      </c>
      <c r="AE55" s="37">
        <v>40.437580797328479</v>
      </c>
      <c r="AF55" s="37">
        <v>40.269957775107571</v>
      </c>
      <c r="AG55" s="37">
        <v>40.103029588656369</v>
      </c>
      <c r="AH55" s="37">
        <v>39.936793357721683</v>
      </c>
      <c r="AI55" s="37">
        <v>39.771246213989627</v>
      </c>
      <c r="AJ55" s="37">
        <v>39.606385301036056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3185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86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87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88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BT57"/>
  <sheetViews>
    <sheetView zoomScale="85" zoomScaleNormal="85" workbookViewId="0">
      <selection activeCell="Q14" sqref="Q14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31.7109375" style="105" customWidth="1"/>
    <col min="41" max="52" width="5.28515625" style="105" bestFit="1" customWidth="1"/>
    <col min="53" max="69" width="4.7109375" style="105" bestFit="1" customWidth="1"/>
    <col min="70" max="71" width="5.28515625" style="105" bestFit="1" customWidth="1"/>
    <col min="72" max="72" width="4.28515625" style="105" customWidth="1"/>
    <col min="73" max="16384" width="9.140625" style="105"/>
  </cols>
  <sheetData>
    <row r="1" spans="1:72" x14ac:dyDescent="0.25">
      <c r="A1" s="54"/>
      <c r="B1" s="46"/>
      <c r="I1" s="105" t="s">
        <v>232</v>
      </c>
      <c r="J1" s="105">
        <v>2</v>
      </c>
      <c r="L1" s="105" t="s">
        <v>233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53"/>
      <c r="AO3" s="154">
        <v>2017</v>
      </c>
      <c r="AP3" s="154">
        <v>2018</v>
      </c>
      <c r="AQ3" s="154">
        <v>2019</v>
      </c>
      <c r="AR3" s="154">
        <v>2020</v>
      </c>
      <c r="AS3" s="154">
        <v>2021</v>
      </c>
      <c r="AT3" s="154">
        <v>2022</v>
      </c>
      <c r="AU3" s="154">
        <v>2023</v>
      </c>
      <c r="AV3" s="154">
        <v>2024</v>
      </c>
      <c r="AW3" s="154">
        <v>2025</v>
      </c>
      <c r="AX3" s="154">
        <v>2026</v>
      </c>
      <c r="AY3" s="154">
        <v>2027</v>
      </c>
      <c r="AZ3" s="154">
        <v>2028</v>
      </c>
      <c r="BA3" s="154">
        <v>2029</v>
      </c>
      <c r="BB3" s="154">
        <v>2030</v>
      </c>
      <c r="BC3" s="154">
        <v>2031</v>
      </c>
      <c r="BD3" s="154">
        <v>2032</v>
      </c>
      <c r="BE3" s="154">
        <v>2033</v>
      </c>
      <c r="BF3" s="154">
        <v>2034</v>
      </c>
      <c r="BG3" s="154">
        <v>2035</v>
      </c>
      <c r="BH3" s="154">
        <v>2036</v>
      </c>
      <c r="BI3" s="154">
        <v>2037</v>
      </c>
      <c r="BJ3" s="154">
        <v>2038</v>
      </c>
      <c r="BK3" s="154">
        <v>2039</v>
      </c>
      <c r="BL3" s="154">
        <v>2040</v>
      </c>
      <c r="BM3" s="154">
        <v>2041</v>
      </c>
      <c r="BN3" s="154">
        <v>2042</v>
      </c>
      <c r="BO3" s="154">
        <v>2043</v>
      </c>
      <c r="BP3" s="154">
        <v>2044</v>
      </c>
      <c r="BQ3" s="154">
        <v>2045</v>
      </c>
      <c r="BR3" s="154">
        <v>2046</v>
      </c>
      <c r="BS3" s="154">
        <v>2047</v>
      </c>
      <c r="BT3" s="154">
        <v>2048</v>
      </c>
    </row>
    <row r="4" spans="1:72" ht="30" x14ac:dyDescent="0.25">
      <c r="C4" s="124"/>
      <c r="D4" s="32"/>
      <c r="I4" s="105" t="s">
        <v>237</v>
      </c>
      <c r="J4" s="59">
        <f ca="1">OFFSET('Impact Summary'!U$2, '2b GA Class B'!$J$1, 0)</f>
        <v>-26.31</v>
      </c>
      <c r="K4" s="59">
        <f ca="1">OFFSET('Impact Summary'!V$2, '2b GA Class B'!$J$1, 0)</f>
        <v>-26.060000000000002</v>
      </c>
      <c r="L4" s="59">
        <f ca="1">OFFSET('Impact Summary'!W$2, '2b GA Class B'!$J$1, 0)</f>
        <v>-25.830000000000002</v>
      </c>
      <c r="M4" s="59">
        <f ca="1">OFFSET('Impact Summary'!X$2, '2b GA Class B'!$J$1, 0)</f>
        <v>-33.1</v>
      </c>
      <c r="N4" s="59">
        <f ca="1">OFFSET('Impact Summary'!Y$2, '2b GA Class B'!$J$1, 0)</f>
        <v>-28.080000000000002</v>
      </c>
      <c r="AN4" s="130" t="s">
        <v>221</v>
      </c>
      <c r="AO4" s="152">
        <f>'2b GA Class B'!F55/1.13</f>
        <v>-26.310000000000002</v>
      </c>
      <c r="AP4" s="152">
        <f>'2b GA Class B'!G55/1.13</f>
        <v>-26.049999999999997</v>
      </c>
      <c r="AQ4" s="152">
        <f>'2b GA Class B'!H55/1.13</f>
        <v>-25.829999999999988</v>
      </c>
      <c r="AR4" s="152">
        <f>'2b GA Class B'!I55/1.13</f>
        <v>-33.100000000000023</v>
      </c>
      <c r="AS4" s="152">
        <f>'2b GA Class B'!J55/1.13</f>
        <v>-28.090000000000011</v>
      </c>
      <c r="AT4" s="152">
        <f>'2b GA Class B'!K55/1.13</f>
        <v>-25.252983458767382</v>
      </c>
      <c r="AU4" s="152">
        <f>'2b GA Class B'!L55/1.13</f>
        <v>-21.20206211521068</v>
      </c>
      <c r="AV4" s="152">
        <f>'2b GA Class B'!M55/1.13</f>
        <v>-25.308077120356799</v>
      </c>
      <c r="AW4" s="152">
        <f>'2b GA Class B'!N55/1.13</f>
        <v>-19.787379898916001</v>
      </c>
      <c r="AX4" s="152">
        <f>'2b GA Class B'!O55/1.13</f>
        <v>-15.00529431416013</v>
      </c>
      <c r="AY4" s="152">
        <f>'2b GA Class B'!P55/1.13</f>
        <v>-19.633948010025922</v>
      </c>
      <c r="AZ4" s="152">
        <f>'2b GA Class B'!Q55/1.13</f>
        <v>-16.361574653541211</v>
      </c>
      <c r="BA4" s="152">
        <f>'2b GA Class B'!R55/1.13</f>
        <v>-9.2453609962001995</v>
      </c>
      <c r="BB4" s="152">
        <f>'2b GA Class B'!S55/1.13</f>
        <v>-5.3933924847070607</v>
      </c>
      <c r="BC4" s="152">
        <f>'2b GA Class B'!T55/1.13</f>
        <v>3.4502595616365261</v>
      </c>
      <c r="BD4" s="152">
        <f>'2b GA Class B'!U55/1.13</f>
        <v>4.4520585699756223</v>
      </c>
      <c r="BE4" s="152">
        <f>'2b GA Class B'!V55/1.13</f>
        <v>10.227559399287511</v>
      </c>
      <c r="BF4" s="152">
        <f>'2b GA Class B'!W55/1.13</f>
        <v>15.371047257357246</v>
      </c>
      <c r="BG4" s="152">
        <f>'2b GA Class B'!X55/1.13</f>
        <v>30.348724038289394</v>
      </c>
      <c r="BH4" s="152">
        <f>'2b GA Class B'!Y55/1.13</f>
        <v>34.220005979580492</v>
      </c>
      <c r="BI4" s="152">
        <f>'2b GA Class B'!Z55/1.13</f>
        <v>38.059669186226095</v>
      </c>
      <c r="BJ4" s="152">
        <f>'2b GA Class B'!AA55/1.13</f>
        <v>41.874700826444958</v>
      </c>
      <c r="BK4" s="152">
        <f>'2b GA Class B'!AB55/1.13</f>
        <v>45.671889869703293</v>
      </c>
      <c r="BL4" s="152">
        <f>'2b GA Class B'!AC55/1.13</f>
        <v>49.457842657710351</v>
      </c>
      <c r="BM4" s="152">
        <f>'2b GA Class B'!AD55/1.13</f>
        <v>53.238997825059748</v>
      </c>
      <c r="BN4" s="152">
        <f>'2b GA Class B'!AE55/1.13</f>
        <v>57.0216406085937</v>
      </c>
      <c r="BO4" s="152">
        <f>'2b GA Class B'!AF55/1.13</f>
        <v>60.811916582684496</v>
      </c>
      <c r="BP4" s="152">
        <f>'2b GA Class B'!AG55/1.13</f>
        <v>64.615844855849545</v>
      </c>
      <c r="BQ4" s="152">
        <f>'2b GA Class B'!AH55/1.13</f>
        <v>68.439330762434878</v>
      </c>
      <c r="BR4" s="152">
        <f>'2b GA Class B'!AI55/1.13</f>
        <v>72.288178081516108</v>
      </c>
      <c r="BS4" s="152">
        <f>'2b GA Class B'!AJ55/1.13</f>
        <v>76.168100813663798</v>
      </c>
      <c r="BT4" s="152">
        <f>'2b GA Class B'!AK55/1.13</f>
        <v>0</v>
      </c>
    </row>
    <row r="5" spans="1:72" x14ac:dyDescent="0.25">
      <c r="B5" s="25"/>
      <c r="C5" s="45" t="s">
        <v>209</v>
      </c>
      <c r="I5" s="148"/>
      <c r="J5" s="146"/>
      <c r="K5" s="121"/>
      <c r="L5" s="54"/>
      <c r="AN5" s="130" t="s">
        <v>213</v>
      </c>
      <c r="AO5" s="152">
        <f>'2b GA Class B'!F46/1000</f>
        <v>4.1134808000000005</v>
      </c>
      <c r="AP5" s="152">
        <f>'2b GA Class B'!G46/1000</f>
        <v>8.396757144394666</v>
      </c>
      <c r="AQ5" s="152">
        <f>'2b GA Class B'!H46/1000</f>
        <v>12.836528839901895</v>
      </c>
      <c r="AR5" s="152">
        <f>'2b GA Class B'!I46/1000</f>
        <v>18.632130988684615</v>
      </c>
      <c r="AS5" s="152">
        <f>'2b GA Class B'!J46/1000</f>
        <v>23.946416943399054</v>
      </c>
      <c r="AT5" s="152">
        <f>'2b GA Class B'!K46/1000</f>
        <v>29.092125492808517</v>
      </c>
      <c r="AU5" s="152">
        <f>'2b GA Class B'!L46/1000</f>
        <v>33.872169449947449</v>
      </c>
      <c r="AV5" s="152">
        <f>'2b GA Class B'!M46/1000</f>
        <v>39.53423297219922</v>
      </c>
      <c r="AW5" s="152">
        <f>'2b GA Class B'!N46/1000</f>
        <v>44.628861018296639</v>
      </c>
      <c r="AX5" s="152">
        <f>'2b GA Class B'!O46/1000</f>
        <v>49.225289719463618</v>
      </c>
      <c r="AY5" s="152">
        <f>'2b GA Class B'!P46/1000</f>
        <v>54.79189141656127</v>
      </c>
      <c r="AZ5" s="152">
        <f>'2b GA Class B'!Q46/1000</f>
        <v>60.135233584977001</v>
      </c>
      <c r="BA5" s="152">
        <f>'2b GA Class B'!R46/1000</f>
        <v>64.647125247714499</v>
      </c>
      <c r="BB5" s="152">
        <f>'2b GA Class B'!S46/1000</f>
        <v>68.79771111239657</v>
      </c>
      <c r="BC5" s="152">
        <f>'2b GA Class B'!T46/1000</f>
        <v>71.777965431310136</v>
      </c>
      <c r="BD5" s="152">
        <f>'2b GA Class B'!U46/1000</f>
        <v>74.749194041519019</v>
      </c>
      <c r="BE5" s="152">
        <f>'2b GA Class B'!V46/1000</f>
        <v>76.951953725249439</v>
      </c>
      <c r="BF5" s="152">
        <f>'2b GA Class B'!W46/1000</f>
        <v>78.435186640965455</v>
      </c>
      <c r="BG5" s="152">
        <f>'2b GA Class B'!X46/1000</f>
        <v>77.537102590468209</v>
      </c>
      <c r="BH5" s="152">
        <f>'2b GA Class B'!Y46/1000</f>
        <v>75.94359880125873</v>
      </c>
      <c r="BI5" s="152">
        <f>'2b GA Class B'!Z46/1000</f>
        <v>73.61893485341308</v>
      </c>
      <c r="BJ5" s="152">
        <f>'2b GA Class B'!AA46/1000</f>
        <v>70.524428425183672</v>
      </c>
      <c r="BK5" s="152">
        <f>'2b GA Class B'!AB46/1000</f>
        <v>66.618318686460981</v>
      </c>
      <c r="BL5" s="152">
        <f>'2b GA Class B'!AC46/1000</f>
        <v>61.855620614055361</v>
      </c>
      <c r="BM5" s="152">
        <f>'2b GA Class B'!AD46/1000</f>
        <v>56.187969814845744</v>
      </c>
      <c r="BN5" s="152">
        <f>'2b GA Class B'!AE46/1000</f>
        <v>49.563457417432495</v>
      </c>
      <c r="BO5" s="152">
        <f>'2b GA Class B'!AF46/1000</f>
        <v>41.926454566363113</v>
      </c>
      <c r="BP5" s="152">
        <f>'2b GA Class B'!AG46/1000</f>
        <v>33.217426025202734</v>
      </c>
      <c r="BQ5" s="152">
        <f>'2b GA Class B'!AH46/1000</f>
        <v>23.372732365625698</v>
      </c>
      <c r="BR5" s="152">
        <f>'2b GA Class B'!AI46/1000</f>
        <v>12.324420189234855</v>
      </c>
      <c r="BS5" s="152">
        <f>'2b GA Class B'!AJ46/1000</f>
        <v>0</v>
      </c>
      <c r="BT5" s="152">
        <f>'2b GA Class B'!AK46/1000</f>
        <v>0</v>
      </c>
    </row>
    <row r="6" spans="1:72" ht="30" x14ac:dyDescent="0.25">
      <c r="B6" s="24" t="s">
        <v>210</v>
      </c>
      <c r="C6" s="128">
        <v>-27.02</v>
      </c>
      <c r="I6" s="145"/>
      <c r="J6" s="146"/>
      <c r="K6" s="55"/>
      <c r="L6" s="55"/>
      <c r="AN6" s="130" t="s">
        <v>214</v>
      </c>
      <c r="AO6" s="152">
        <f>AO5</f>
        <v>4.1134808000000005</v>
      </c>
      <c r="AP6" s="152">
        <f t="shared" ref="AP6:BT6" si="0">AP5-AO5</f>
        <v>4.2832763443946655</v>
      </c>
      <c r="AQ6" s="152">
        <f t="shared" si="0"/>
        <v>4.4397716955072291</v>
      </c>
      <c r="AR6" s="152">
        <f t="shared" si="0"/>
        <v>5.7956021487827201</v>
      </c>
      <c r="AS6" s="152">
        <f t="shared" si="0"/>
        <v>5.314285954714439</v>
      </c>
      <c r="AT6" s="152">
        <f t="shared" si="0"/>
        <v>5.1457085494094628</v>
      </c>
      <c r="AU6" s="152">
        <f t="shared" si="0"/>
        <v>4.7800439571389326</v>
      </c>
      <c r="AV6" s="152">
        <f t="shared" si="0"/>
        <v>5.6620635222517706</v>
      </c>
      <c r="AW6" s="152">
        <f t="shared" si="0"/>
        <v>5.0946280460974194</v>
      </c>
      <c r="AX6" s="152">
        <f t="shared" si="0"/>
        <v>4.5964287011669782</v>
      </c>
      <c r="AY6" s="152">
        <f t="shared" si="0"/>
        <v>5.5666016970976528</v>
      </c>
      <c r="AZ6" s="152">
        <f t="shared" si="0"/>
        <v>5.343342168415731</v>
      </c>
      <c r="BA6" s="152">
        <f t="shared" si="0"/>
        <v>4.5118916627374972</v>
      </c>
      <c r="BB6" s="152">
        <f t="shared" si="0"/>
        <v>4.1505858646820712</v>
      </c>
      <c r="BC6" s="152">
        <f t="shared" si="0"/>
        <v>2.9802543189135662</v>
      </c>
      <c r="BD6" s="152">
        <f t="shared" si="0"/>
        <v>2.9712286102088825</v>
      </c>
      <c r="BE6" s="152">
        <f t="shared" si="0"/>
        <v>2.2027596837304202</v>
      </c>
      <c r="BF6" s="152">
        <f t="shared" si="0"/>
        <v>1.483232915716016</v>
      </c>
      <c r="BG6" s="152">
        <f t="shared" si="0"/>
        <v>-0.89808405049724627</v>
      </c>
      <c r="BH6" s="152">
        <f t="shared" si="0"/>
        <v>-1.5935037892094783</v>
      </c>
      <c r="BI6" s="152">
        <f t="shared" si="0"/>
        <v>-2.3246639478456501</v>
      </c>
      <c r="BJ6" s="152">
        <f t="shared" si="0"/>
        <v>-3.0945064282294084</v>
      </c>
      <c r="BK6" s="152">
        <f t="shared" si="0"/>
        <v>-3.9061097387226908</v>
      </c>
      <c r="BL6" s="152">
        <f t="shared" si="0"/>
        <v>-4.7626980724056196</v>
      </c>
      <c r="BM6" s="152">
        <f t="shared" si="0"/>
        <v>-5.6676507992096177</v>
      </c>
      <c r="BN6" s="152">
        <f t="shared" si="0"/>
        <v>-6.6245123974132483</v>
      </c>
      <c r="BO6" s="152">
        <f t="shared" si="0"/>
        <v>-7.6370028510693828</v>
      </c>
      <c r="BP6" s="152">
        <f t="shared" si="0"/>
        <v>-8.7090285411603787</v>
      </c>
      <c r="BQ6" s="152">
        <f t="shared" si="0"/>
        <v>-9.844693659577036</v>
      </c>
      <c r="BR6" s="152">
        <f t="shared" si="0"/>
        <v>-11.048312176390843</v>
      </c>
      <c r="BS6" s="152">
        <f t="shared" si="0"/>
        <v>-12.324420189234855</v>
      </c>
      <c r="BT6" s="152">
        <f t="shared" si="0"/>
        <v>0</v>
      </c>
    </row>
    <row r="7" spans="1:72" x14ac:dyDescent="0.25">
      <c r="B7" s="24" t="s">
        <v>87</v>
      </c>
      <c r="C7" s="32">
        <v>9856.3916075683792</v>
      </c>
      <c r="D7" s="105" t="s">
        <v>234</v>
      </c>
      <c r="E7" s="50" t="s">
        <v>111</v>
      </c>
      <c r="I7" s="145"/>
      <c r="J7" s="146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5"/>
      <c r="J8" s="146"/>
    </row>
    <row r="9" spans="1:72" x14ac:dyDescent="0.25">
      <c r="B9" s="24" t="s">
        <v>187</v>
      </c>
      <c r="C9" s="126">
        <v>0</v>
      </c>
      <c r="I9" s="145"/>
      <c r="J9" s="146"/>
    </row>
    <row r="10" spans="1:72" x14ac:dyDescent="0.25">
      <c r="B10" s="24" t="s">
        <v>188</v>
      </c>
      <c r="C10" s="127">
        <v>0</v>
      </c>
      <c r="I10" s="145"/>
      <c r="J10" s="146"/>
      <c r="N10" s="129"/>
    </row>
    <row r="11" spans="1:72" x14ac:dyDescent="0.25">
      <c r="B11" s="24" t="s">
        <v>189</v>
      </c>
      <c r="C11" s="144">
        <v>1.5256374944129944E-2</v>
      </c>
      <c r="D11" s="105" t="s">
        <v>235</v>
      </c>
      <c r="I11" s="145"/>
      <c r="J11" s="146"/>
    </row>
    <row r="12" spans="1:72" x14ac:dyDescent="0.25">
      <c r="B12" s="24" t="s">
        <v>90</v>
      </c>
      <c r="C12" s="155">
        <v>5.1159999999999997E-2</v>
      </c>
    </row>
    <row r="13" spans="1:72" x14ac:dyDescent="0.25">
      <c r="B13" s="24" t="s">
        <v>106</v>
      </c>
      <c r="C13" s="60">
        <v>1000000000000</v>
      </c>
      <c r="D13" s="105" t="s">
        <v>236</v>
      </c>
      <c r="E13" s="50" t="s">
        <v>111</v>
      </c>
    </row>
    <row r="14" spans="1:72" x14ac:dyDescent="0.25">
      <c r="B14" s="24" t="s">
        <v>107</v>
      </c>
      <c r="C14" s="155">
        <v>2020</v>
      </c>
    </row>
    <row r="15" spans="1:72" x14ac:dyDescent="0.25">
      <c r="B15" s="24" t="s">
        <v>108</v>
      </c>
      <c r="C15" s="155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'2b GA Class B'!C15-Calcs!D15)</f>
        <v>5.0022208597511053E-12</v>
      </c>
    </row>
    <row r="18" spans="2:4" x14ac:dyDescent="0.25">
      <c r="B18" s="24" t="s">
        <v>223</v>
      </c>
      <c r="C18" s="41" t="s">
        <v>227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7981.8888822350445</v>
      </c>
      <c r="G45" s="32">
        <v>7761.8503017206913</v>
      </c>
      <c r="H45" s="32">
        <v>7541.9115527800241</v>
      </c>
      <c r="I45" s="32">
        <v>7029.542471523896</v>
      </c>
      <c r="J45" s="32">
        <v>6482.4893428509704</v>
      </c>
      <c r="K45" s="32">
        <v>6713.0164034535683</v>
      </c>
      <c r="L45" s="32">
        <v>6951.7413526849641</v>
      </c>
      <c r="M45" s="32">
        <v>7198.9557197816621</v>
      </c>
      <c r="N45" s="32">
        <v>7454.9614011978165</v>
      </c>
      <c r="O45" s="32">
        <v>7720.0710292790773</v>
      </c>
      <c r="P45" s="32">
        <v>7994.6083540470145</v>
      </c>
      <c r="Q45" s="32">
        <v>8278.908638560386</v>
      </c>
      <c r="R45" s="32">
        <v>8573.3190683360299</v>
      </c>
      <c r="S45" s="32">
        <v>8878.1991753293878</v>
      </c>
      <c r="T45" s="32">
        <v>9193.9212769924125</v>
      </c>
      <c r="U45" s="32">
        <v>9520.8709309450442</v>
      </c>
      <c r="V45" s="32">
        <v>9859.4474058154556</v>
      </c>
      <c r="W45" s="32">
        <v>10210.064168824112</v>
      </c>
      <c r="X45" s="32">
        <v>10573.149390707065</v>
      </c>
      <c r="Y45" s="32">
        <v>10949.146468595032</v>
      </c>
      <c r="Z45" s="32">
        <v>11338.514567486876</v>
      </c>
      <c r="AA45" s="32">
        <v>11741.729180978695</v>
      </c>
      <c r="AB45" s="32">
        <v>12159.282711933256</v>
      </c>
      <c r="AC45" s="32">
        <v>12591.68507379895</v>
      </c>
      <c r="AD45" s="32">
        <v>13039.464313312496</v>
      </c>
      <c r="AE45" s="32">
        <v>13503.167255345934</v>
      </c>
      <c r="AF45" s="32">
        <v>13983.360170685322</v>
      </c>
      <c r="AG45" s="32">
        <v>14480.629467556677</v>
      </c>
      <c r="AH45" s="32">
        <v>14995.58240774355</v>
      </c>
      <c r="AI45" s="32">
        <v>15528.847848170917</v>
      </c>
      <c r="AJ45" s="32">
        <v>16081.077008860811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4113.4808000000003</v>
      </c>
      <c r="G46" s="32">
        <v>8396.7571443946654</v>
      </c>
      <c r="H46" s="32">
        <v>12836.528839901895</v>
      </c>
      <c r="I46" s="32">
        <v>18632.130988684614</v>
      </c>
      <c r="J46" s="32">
        <v>23946.416943399054</v>
      </c>
      <c r="K46" s="32">
        <v>29092.125492808518</v>
      </c>
      <c r="L46" s="32">
        <v>33872.169449947447</v>
      </c>
      <c r="M46" s="32">
        <v>39534.232972199221</v>
      </c>
      <c r="N46" s="32">
        <v>44628.861018296637</v>
      </c>
      <c r="O46" s="32">
        <v>49225.289719463617</v>
      </c>
      <c r="P46" s="32">
        <v>54791.891416561273</v>
      </c>
      <c r="Q46" s="32">
        <v>60135.233584977002</v>
      </c>
      <c r="R46" s="32">
        <v>64647.125247714503</v>
      </c>
      <c r="S46" s="32">
        <v>68797.711112396573</v>
      </c>
      <c r="T46" s="32">
        <v>71777.965431310135</v>
      </c>
      <c r="U46" s="32">
        <v>74749.194041519018</v>
      </c>
      <c r="V46" s="32">
        <v>76951.953725249434</v>
      </c>
      <c r="W46" s="32">
        <v>78435.186640965461</v>
      </c>
      <c r="X46" s="32">
        <v>77537.102590468203</v>
      </c>
      <c r="Y46" s="32">
        <v>75943.598801258733</v>
      </c>
      <c r="Z46" s="32">
        <v>73618.934853413084</v>
      </c>
      <c r="AA46" s="32">
        <v>70524.428425183665</v>
      </c>
      <c r="AB46" s="32">
        <v>66618.318686460974</v>
      </c>
      <c r="AC46" s="32">
        <v>61855.620614055362</v>
      </c>
      <c r="AD46" s="32">
        <v>56187.969814845746</v>
      </c>
      <c r="AE46" s="32">
        <v>49563.457417432495</v>
      </c>
      <c r="AF46" s="32">
        <v>41926.454566363114</v>
      </c>
      <c r="AG46" s="32">
        <v>33217.426025202731</v>
      </c>
      <c r="AH46" s="32">
        <v>23372.732365625699</v>
      </c>
      <c r="AI46" s="32">
        <v>12324.420189234856</v>
      </c>
      <c r="AJ46" s="32">
        <v>0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130.48783261808913</v>
      </c>
      <c r="G54" s="32">
        <v>133.33300298964929</v>
      </c>
      <c r="H54" s="32">
        <v>136.22630006702136</v>
      </c>
      <c r="I54" s="32">
        <v>138.53732368871545</v>
      </c>
      <c r="J54" s="32">
        <v>141.85423780473957</v>
      </c>
      <c r="K54" s="32">
        <v>148.37774290316491</v>
      </c>
      <c r="L54" s="32">
        <v>157.7879807131477</v>
      </c>
      <c r="M54" s="32">
        <v>155.85372972329054</v>
      </c>
      <c r="N54" s="32">
        <v>171.13884926355411</v>
      </c>
      <c r="O54" s="32">
        <v>171.49891076016809</v>
      </c>
      <c r="P54" s="32">
        <v>176.25702176777588</v>
      </c>
      <c r="Q54" s="32">
        <v>180.36890198967907</v>
      </c>
      <c r="R54" s="32">
        <v>187.26897715425667</v>
      </c>
      <c r="S54" s="32">
        <v>193.76091702935599</v>
      </c>
      <c r="T54" s="32">
        <v>206.3217788762195</v>
      </c>
      <c r="U54" s="32">
        <v>209.78047078005713</v>
      </c>
      <c r="V54" s="32">
        <v>218.263020615302</v>
      </c>
      <c r="W54" s="32">
        <v>225.49117631982995</v>
      </c>
      <c r="X54" s="32">
        <v>238.88848946026587</v>
      </c>
      <c r="Y54" s="32">
        <v>244.10705591586284</v>
      </c>
      <c r="Z54" s="32">
        <v>249.29337504657255</v>
      </c>
      <c r="AA54" s="32">
        <v>254.45535671621423</v>
      </c>
      <c r="AB54" s="32">
        <v>259.60068688327181</v>
      </c>
      <c r="AC54" s="32">
        <v>264.73684519636328</v>
      </c>
      <c r="AD54" s="32">
        <v>269.87112185481089</v>
      </c>
      <c r="AE54" s="32">
        <v>275.01063377846918</v>
      </c>
      <c r="AF54" s="32">
        <v>280.16234012884058</v>
      </c>
      <c r="AG54" s="32">
        <v>285.33305722149885</v>
      </c>
      <c r="AH54" s="32">
        <v>290.52947286794097</v>
      </c>
      <c r="AI54" s="32">
        <v>295.75816018319586</v>
      </c>
      <c r="AJ54" s="32">
        <v>301.02559089382072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-29.7303</v>
      </c>
      <c r="G55" s="37">
        <v>-29.436499999999995</v>
      </c>
      <c r="H55" s="37">
        <v>-29.187899999999985</v>
      </c>
      <c r="I55" s="37">
        <v>-37.40300000000002</v>
      </c>
      <c r="J55" s="37">
        <v>-31.741700000000009</v>
      </c>
      <c r="K55" s="37">
        <v>-28.535871308407138</v>
      </c>
      <c r="L55" s="37">
        <v>-23.958330190188065</v>
      </c>
      <c r="M55" s="37">
        <v>-28.598127146003179</v>
      </c>
      <c r="N55" s="37">
        <v>-22.359739285775078</v>
      </c>
      <c r="O55" s="37">
        <v>-16.955982575000945</v>
      </c>
      <c r="P55" s="37">
        <v>-22.186361251329288</v>
      </c>
      <c r="Q55" s="37">
        <v>-18.488579358501568</v>
      </c>
      <c r="R55" s="37">
        <v>-10.447257925706225</v>
      </c>
      <c r="S55" s="37">
        <v>-6.0945335077189782</v>
      </c>
      <c r="T55" s="37">
        <v>3.8987933046492742</v>
      </c>
      <c r="U55" s="37">
        <v>5.0308261840724526</v>
      </c>
      <c r="V55" s="37">
        <v>11.557142121194886</v>
      </c>
      <c r="W55" s="37">
        <v>17.369283400813686</v>
      </c>
      <c r="X55" s="37">
        <v>34.29405816326701</v>
      </c>
      <c r="Y55" s="37">
        <v>38.668606756925954</v>
      </c>
      <c r="Z55" s="37">
        <v>43.007426180435488</v>
      </c>
      <c r="AA55" s="37">
        <v>47.3184119338828</v>
      </c>
      <c r="AB55" s="37">
        <v>51.609235552764716</v>
      </c>
      <c r="AC55" s="37">
        <v>55.887362203212689</v>
      </c>
      <c r="AD55" s="37">
        <v>60.160067542317506</v>
      </c>
      <c r="AE55" s="37">
        <v>64.434453887710873</v>
      </c>
      <c r="AF55" s="37">
        <v>68.717465738433475</v>
      </c>
      <c r="AG55" s="37">
        <v>73.01590468710998</v>
      </c>
      <c r="AH55" s="37">
        <v>77.336443761551408</v>
      </c>
      <c r="AI55" s="37">
        <v>81.685641232113198</v>
      </c>
      <c r="AJ55" s="37">
        <v>86.069953919440081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4209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10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11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12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2"/>
  <dimension ref="A1:BT57"/>
  <sheetViews>
    <sheetView topLeftCell="A7" zoomScale="85" zoomScaleNormal="85" workbookViewId="0">
      <selection activeCell="AN3" sqref="AN3:BT6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31.7109375" style="105" customWidth="1"/>
    <col min="41" max="52" width="5.28515625" style="105" bestFit="1" customWidth="1"/>
    <col min="53" max="71" width="4.7109375" style="105" bestFit="1" customWidth="1"/>
    <col min="72" max="72" width="4.28515625" style="105" customWidth="1"/>
    <col min="73" max="16384" width="9.140625" style="105"/>
  </cols>
  <sheetData>
    <row r="1" spans="1:72" x14ac:dyDescent="0.25">
      <c r="A1" s="54"/>
      <c r="B1" s="46"/>
      <c r="I1" s="105" t="s">
        <v>232</v>
      </c>
      <c r="J1" s="105">
        <v>4</v>
      </c>
      <c r="L1" s="105" t="s">
        <v>233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53"/>
      <c r="AO3" s="154">
        <v>2017</v>
      </c>
      <c r="AP3" s="154">
        <v>2018</v>
      </c>
      <c r="AQ3" s="154">
        <v>2019</v>
      </c>
      <c r="AR3" s="154">
        <v>2020</v>
      </c>
      <c r="AS3" s="154">
        <v>2021</v>
      </c>
      <c r="AT3" s="154">
        <v>2022</v>
      </c>
      <c r="AU3" s="154">
        <v>2023</v>
      </c>
      <c r="AV3" s="154">
        <v>2024</v>
      </c>
      <c r="AW3" s="154">
        <v>2025</v>
      </c>
      <c r="AX3" s="154">
        <v>2026</v>
      </c>
      <c r="AY3" s="154">
        <v>2027</v>
      </c>
      <c r="AZ3" s="154">
        <v>2028</v>
      </c>
      <c r="BA3" s="154">
        <v>2029</v>
      </c>
      <c r="BB3" s="154">
        <v>2030</v>
      </c>
      <c r="BC3" s="154">
        <v>2031</v>
      </c>
      <c r="BD3" s="154">
        <v>2032</v>
      </c>
      <c r="BE3" s="154">
        <v>2033</v>
      </c>
      <c r="BF3" s="154">
        <v>2034</v>
      </c>
      <c r="BG3" s="154">
        <v>2035</v>
      </c>
      <c r="BH3" s="154">
        <v>2036</v>
      </c>
      <c r="BI3" s="154">
        <v>2037</v>
      </c>
      <c r="BJ3" s="154">
        <v>2038</v>
      </c>
      <c r="BK3" s="154">
        <v>2039</v>
      </c>
      <c r="BL3" s="154">
        <v>2040</v>
      </c>
      <c r="BM3" s="154">
        <v>2041</v>
      </c>
      <c r="BN3" s="154">
        <v>2042</v>
      </c>
      <c r="BO3" s="154">
        <v>2043</v>
      </c>
      <c r="BP3" s="154">
        <v>2044</v>
      </c>
      <c r="BQ3" s="154">
        <v>2045</v>
      </c>
      <c r="BR3" s="154">
        <v>2046</v>
      </c>
      <c r="BS3" s="154">
        <v>2047</v>
      </c>
      <c r="BT3" s="154">
        <v>2048</v>
      </c>
    </row>
    <row r="4" spans="1:72" ht="30" x14ac:dyDescent="0.25">
      <c r="C4" s="124"/>
      <c r="D4" s="32"/>
      <c r="I4" s="105" t="s">
        <v>237</v>
      </c>
      <c r="J4" s="59">
        <f ca="1">OFFSET('Impact Summary'!U$2, '4a GA RPP'!$J$1, 0)</f>
        <v>-19.920000000000002</v>
      </c>
      <c r="K4" s="59">
        <f ca="1">OFFSET('Impact Summary'!V$2, '4a GA RPP'!$J$1, 0)</f>
        <v>-19.53</v>
      </c>
      <c r="L4" s="59">
        <f ca="1">OFFSET('Impact Summary'!W$2, '4a GA RPP'!$J$1, 0)</f>
        <v>-19.170000000000002</v>
      </c>
      <c r="M4" s="59">
        <f ca="1">OFFSET('Impact Summary'!X$2, '4a GA RPP'!$J$1, 0)</f>
        <v>-26.31</v>
      </c>
      <c r="N4" s="59">
        <f ca="1">OFFSET('Impact Summary'!Y$2, '4a GA RPP'!$J$1, 0)</f>
        <v>-21.14</v>
      </c>
      <c r="AN4" s="130" t="s">
        <v>221</v>
      </c>
      <c r="AO4" s="152">
        <f>'4a GA RPP'!F55/1.13</f>
        <v>-31.229999999999993</v>
      </c>
      <c r="AP4" s="152">
        <f>'4a GA RPP'!G55/1.13</f>
        <v>-31.080000000000005</v>
      </c>
      <c r="AQ4" s="152">
        <f>'4a GA RPP'!H55/1.13</f>
        <v>-30.960000000000008</v>
      </c>
      <c r="AR4" s="152">
        <f>'4a GA RPP'!I55/1.13</f>
        <v>-38.329999999999991</v>
      </c>
      <c r="AS4" s="152">
        <f>'4a GA RPP'!J55/1.13</f>
        <v>-33.41999999999998</v>
      </c>
      <c r="AT4" s="152">
        <f>'4a GA RPP'!K55/1.13</f>
        <v>-28.901499259932312</v>
      </c>
      <c r="AU4" s="152">
        <f>'4a GA RPP'!L55/1.13</f>
        <v>-22.152896316506677</v>
      </c>
      <c r="AV4" s="152">
        <f>'4a GA RPP'!M55/1.13</f>
        <v>-30.857779589400629</v>
      </c>
      <c r="AW4" s="152">
        <f>'4a GA RPP'!N55/1.13</f>
        <v>-21.464961477069181</v>
      </c>
      <c r="AX4" s="152">
        <f>'4a GA RPP'!O55/1.13</f>
        <v>-13.429834440522409</v>
      </c>
      <c r="AY4" s="152">
        <f>'4a GA RPP'!P55/1.13</f>
        <v>-23.43241227242904</v>
      </c>
      <c r="AZ4" s="152">
        <f>'4a GA RPP'!Q55/1.13</f>
        <v>-18.497798271218763</v>
      </c>
      <c r="BA4" s="152">
        <f>'4a GA RPP'!R55/1.13</f>
        <v>-6.3892154384503979</v>
      </c>
      <c r="BB4" s="152">
        <f>'4a GA RPP'!S55/1.13</f>
        <v>-0.58914353671934006</v>
      </c>
      <c r="BC4" s="152">
        <f>'4a GA RPP'!T55/1.13</f>
        <v>14.621440826656793</v>
      </c>
      <c r="BD4" s="152">
        <f>'4a GA RPP'!U55/1.13</f>
        <v>14.901807177780428</v>
      </c>
      <c r="BE4" s="152">
        <f>'4a GA RPP'!V55/1.13</f>
        <v>24.119953942559267</v>
      </c>
      <c r="BF4" s="152">
        <f>'4a GA RPP'!W55/1.13</f>
        <v>32.073886994259865</v>
      </c>
      <c r="BG4" s="152">
        <f>'4a GA RPP'!X55/1.13</f>
        <v>53.396611023977485</v>
      </c>
      <c r="BH4" s="152">
        <f>'4a GA RPP'!Y55/1.13</f>
        <v>53.175269857178897</v>
      </c>
      <c r="BI4" s="152">
        <f>'4a GA RPP'!Z55/1.13</f>
        <v>52.954846200146932</v>
      </c>
      <c r="BJ4" s="152">
        <f>'4a GA RPP'!AA55/1.13</f>
        <v>52.735336249593736</v>
      </c>
      <c r="BK4" s="152">
        <f>'4a GA RPP'!AB55/1.13</f>
        <v>52.516736217996971</v>
      </c>
      <c r="BL4" s="152">
        <f>'4a GA RPP'!AC55/1.13</f>
        <v>52.299042333534445</v>
      </c>
      <c r="BM4" s="152">
        <f>'4a GA RPP'!AD55/1.13</f>
        <v>52.082250840018958</v>
      </c>
      <c r="BN4" s="152">
        <f>'4a GA RPP'!AE55/1.13</f>
        <v>51.866357996833642</v>
      </c>
      <c r="BO4" s="152">
        <f>'4a GA RPP'!AF55/1.13</f>
        <v>51.651360078867299</v>
      </c>
      <c r="BP4" s="152">
        <f>'4a GA RPP'!AG55/1.13</f>
        <v>51.437253376450208</v>
      </c>
      <c r="BQ4" s="152">
        <f>'4a GA RPP'!AH55/1.13</f>
        <v>51.224034195290102</v>
      </c>
      <c r="BR4" s="152">
        <f>'4a GA RPP'!AI55/1.13</f>
        <v>51.011698856408294</v>
      </c>
      <c r="BS4" s="152">
        <f>'4a GA RPP'!AJ55/1.13</f>
        <v>50.800243696076393</v>
      </c>
      <c r="BT4" s="152">
        <f>'4a GA RPP'!AK55/1.13</f>
        <v>0</v>
      </c>
    </row>
    <row r="5" spans="1:72" x14ac:dyDescent="0.25">
      <c r="B5" s="25"/>
      <c r="C5" s="45" t="s">
        <v>209</v>
      </c>
      <c r="I5" s="148"/>
      <c r="J5" s="146"/>
      <c r="K5" s="121"/>
      <c r="L5" s="54"/>
      <c r="AN5" s="130" t="s">
        <v>213</v>
      </c>
      <c r="AO5" s="152">
        <f>'4a GA RPP'!F46/1000</f>
        <v>2.5878343919999987</v>
      </c>
      <c r="AP5" s="152">
        <f>'4a GA RPP'!G46/1000</f>
        <v>5.2956328314947188</v>
      </c>
      <c r="AQ5" s="152">
        <f>'4a GA RPP'!H46/1000</f>
        <v>8.11407830315399</v>
      </c>
      <c r="AR5" s="152">
        <f>'4a GA RPP'!I46/1000</f>
        <v>11.683150490476681</v>
      </c>
      <c r="AS5" s="152">
        <f>'4a GA RPP'!J46/1000</f>
        <v>15.030800661569467</v>
      </c>
      <c r="AT5" s="152">
        <f>'4a GA RPP'!K46/1000</f>
        <v>18.177915095586105</v>
      </c>
      <c r="AU5" s="152">
        <f>'4a GA RPP'!L46/1000</f>
        <v>20.930732059822745</v>
      </c>
      <c r="AV5" s="152">
        <f>'4a GA RPP'!M46/1000</f>
        <v>24.540658076478742</v>
      </c>
      <c r="AW5" s="152">
        <f>'4a GA RPP'!N46/1000</f>
        <v>27.562386757840287</v>
      </c>
      <c r="AX5" s="152">
        <f>'4a GA RPP'!O46/1000</f>
        <v>30.069760401367393</v>
      </c>
      <c r="AY5" s="152">
        <f>'4a GA RPP'!P46/1000</f>
        <v>33.536248203569173</v>
      </c>
      <c r="AZ5" s="152">
        <f>'4a GA RPP'!Q46/1000</f>
        <v>36.774040427358948</v>
      </c>
      <c r="BA5" s="152">
        <f>'4a GA RPP'!R46/1000</f>
        <v>39.181132242550866</v>
      </c>
      <c r="BB5" s="152">
        <f>'4a GA RPP'!S46/1000</f>
        <v>41.234457601001544</v>
      </c>
      <c r="BC5" s="152">
        <f>'4a GA RPP'!T46/1000</f>
        <v>42.132425278259589</v>
      </c>
      <c r="BD5" s="152">
        <f>'4a GA RPP'!U46/1000</f>
        <v>43.044465678798382</v>
      </c>
      <c r="BE5" s="152">
        <f>'4a GA RPP'!V46/1000</f>
        <v>43.219997692794706</v>
      </c>
      <c r="BF5" s="152">
        <f>'4a GA RPP'!W46/1000</f>
        <v>42.717613510751448</v>
      </c>
      <c r="BG5" s="152">
        <f>'4a GA RPP'!X46/1000</f>
        <v>40.323696300160094</v>
      </c>
      <c r="BH5" s="152">
        <f>'4a GA RPP'!Y46/1000</f>
        <v>37.807306285074887</v>
      </c>
      <c r="BI5" s="152">
        <f>'4a GA RPP'!Z46/1000</f>
        <v>35.162177756817925</v>
      </c>
      <c r="BJ5" s="152">
        <f>'4a GA RPP'!AA46/1000</f>
        <v>32.381724453055334</v>
      </c>
      <c r="BK5" s="152">
        <f>'4a GA RPP'!AB46/1000</f>
        <v>29.459023158272249</v>
      </c>
      <c r="BL5" s="152">
        <f>'4a GA RPP'!AC46/1000</f>
        <v>26.386796465248057</v>
      </c>
      <c r="BM5" s="152">
        <f>'4a GA RPP'!AD46/1000</f>
        <v>23.157394654608755</v>
      </c>
      <c r="BN5" s="152">
        <f>'4a GA RPP'!AE46/1000</f>
        <v>19.762776647337141</v>
      </c>
      <c r="BO5" s="152">
        <f>'4a GA RPP'!AF46/1000</f>
        <v>16.194489982813511</v>
      </c>
      <c r="BP5" s="152">
        <f>'4a GA RPP'!AG46/1000</f>
        <v>12.443649772532856</v>
      </c>
      <c r="BQ5" s="152">
        <f>'4a GA RPP'!AH46/1000</f>
        <v>8.5009165770942374</v>
      </c>
      <c r="BR5" s="152">
        <f>'4a GA RPP'!AI46/1000</f>
        <v>4.3564731513769805</v>
      </c>
      <c r="BS5" s="152">
        <f>'4a GA RPP'!AJ46/1000</f>
        <v>2.7284841053187846E-14</v>
      </c>
      <c r="BT5" s="152">
        <f>'4a GA RPP'!AK46/1000</f>
        <v>0</v>
      </c>
    </row>
    <row r="6" spans="1:72" ht="30" x14ac:dyDescent="0.25">
      <c r="B6" s="24" t="s">
        <v>210</v>
      </c>
      <c r="C6" s="128">
        <v>-27.02</v>
      </c>
      <c r="I6" s="145"/>
      <c r="J6" s="146"/>
      <c r="K6" s="55"/>
      <c r="L6" s="55"/>
      <c r="AN6" s="130" t="s">
        <v>214</v>
      </c>
      <c r="AO6" s="152">
        <f>AO5</f>
        <v>2.5878343919999987</v>
      </c>
      <c r="AP6" s="152">
        <f t="shared" ref="AP6:BT6" si="0">AP5-AO5</f>
        <v>2.7077984394947201</v>
      </c>
      <c r="AQ6" s="152">
        <f t="shared" si="0"/>
        <v>2.8184454716592713</v>
      </c>
      <c r="AR6" s="152">
        <f t="shared" si="0"/>
        <v>3.5690721873226909</v>
      </c>
      <c r="AS6" s="152">
        <f t="shared" si="0"/>
        <v>3.347650171092786</v>
      </c>
      <c r="AT6" s="152">
        <f t="shared" si="0"/>
        <v>3.1471144340166379</v>
      </c>
      <c r="AU6" s="152">
        <f t="shared" si="0"/>
        <v>2.75281696423664</v>
      </c>
      <c r="AV6" s="152">
        <f t="shared" si="0"/>
        <v>3.6099260166559972</v>
      </c>
      <c r="AW6" s="152">
        <f t="shared" si="0"/>
        <v>3.0217286813615445</v>
      </c>
      <c r="AX6" s="152">
        <f t="shared" si="0"/>
        <v>2.5073736435271066</v>
      </c>
      <c r="AY6" s="152">
        <f t="shared" si="0"/>
        <v>3.4664878022017795</v>
      </c>
      <c r="AZ6" s="152">
        <f t="shared" si="0"/>
        <v>3.2377922237897749</v>
      </c>
      <c r="BA6" s="152">
        <f t="shared" si="0"/>
        <v>2.4070918151919187</v>
      </c>
      <c r="BB6" s="152">
        <f t="shared" si="0"/>
        <v>2.0533253584506781</v>
      </c>
      <c r="BC6" s="152">
        <f t="shared" si="0"/>
        <v>0.89796767725804472</v>
      </c>
      <c r="BD6" s="152">
        <f t="shared" si="0"/>
        <v>0.91204040053879254</v>
      </c>
      <c r="BE6" s="152">
        <f t="shared" si="0"/>
        <v>0.17553201399632457</v>
      </c>
      <c r="BF6" s="152">
        <f t="shared" si="0"/>
        <v>-0.50238418204325797</v>
      </c>
      <c r="BG6" s="152">
        <f t="shared" si="0"/>
        <v>-2.3939172105913542</v>
      </c>
      <c r="BH6" s="152">
        <f t="shared" si="0"/>
        <v>-2.5163900150852072</v>
      </c>
      <c r="BI6" s="152">
        <f t="shared" si="0"/>
        <v>-2.6451285282569614</v>
      </c>
      <c r="BJ6" s="152">
        <f t="shared" si="0"/>
        <v>-2.7804533037625916</v>
      </c>
      <c r="BK6" s="152">
        <f t="shared" si="0"/>
        <v>-2.922701294783085</v>
      </c>
      <c r="BL6" s="152">
        <f t="shared" si="0"/>
        <v>-3.0722266930241915</v>
      </c>
      <c r="BM6" s="152">
        <f t="shared" si="0"/>
        <v>-3.2294018106393025</v>
      </c>
      <c r="BN6" s="152">
        <f t="shared" si="0"/>
        <v>-3.3946180072716139</v>
      </c>
      <c r="BO6" s="152">
        <f t="shared" si="0"/>
        <v>-3.5682866645236295</v>
      </c>
      <c r="BP6" s="152">
        <f t="shared" si="0"/>
        <v>-3.7508402102806553</v>
      </c>
      <c r="BQ6" s="152">
        <f t="shared" si="0"/>
        <v>-3.9427331954386187</v>
      </c>
      <c r="BR6" s="152">
        <f t="shared" si="0"/>
        <v>-4.1444434257172569</v>
      </c>
      <c r="BS6" s="152">
        <f t="shared" si="0"/>
        <v>-4.356473151376953</v>
      </c>
      <c r="BT6" s="152">
        <f t="shared" si="0"/>
        <v>-2.7284841053187846E-14</v>
      </c>
    </row>
    <row r="7" spans="1:72" x14ac:dyDescent="0.25">
      <c r="B7" s="24" t="s">
        <v>87</v>
      </c>
      <c r="C7" s="32">
        <v>9856.3916075683792</v>
      </c>
      <c r="D7" s="105" t="s">
        <v>234</v>
      </c>
      <c r="E7" s="50" t="s">
        <v>111</v>
      </c>
      <c r="I7" s="145"/>
      <c r="J7" s="146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5"/>
      <c r="J8" s="146"/>
    </row>
    <row r="9" spans="1:72" x14ac:dyDescent="0.25">
      <c r="B9" s="24" t="s">
        <v>187</v>
      </c>
      <c r="C9" s="126">
        <v>0</v>
      </c>
      <c r="I9" s="145"/>
      <c r="J9" s="146"/>
    </row>
    <row r="10" spans="1:72" x14ac:dyDescent="0.25">
      <c r="B10" s="24" t="s">
        <v>188</v>
      </c>
      <c r="C10" s="127">
        <v>0</v>
      </c>
      <c r="I10" s="145"/>
      <c r="J10" s="146"/>
      <c r="N10" s="129"/>
    </row>
    <row r="11" spans="1:72" x14ac:dyDescent="0.25">
      <c r="B11" s="24" t="s">
        <v>189</v>
      </c>
      <c r="C11" s="144">
        <v>0</v>
      </c>
      <c r="D11" s="105" t="s">
        <v>235</v>
      </c>
      <c r="I11" s="145"/>
      <c r="J11" s="146"/>
    </row>
    <row r="12" spans="1:72" x14ac:dyDescent="0.25">
      <c r="B12" s="24" t="s">
        <v>90</v>
      </c>
      <c r="C12" s="155">
        <v>5.1159999999999997E-2</v>
      </c>
    </row>
    <row r="13" spans="1:72" x14ac:dyDescent="0.25">
      <c r="B13" s="24" t="s">
        <v>106</v>
      </c>
      <c r="C13" s="60">
        <v>4579.3503178013998</v>
      </c>
      <c r="D13" s="105" t="s">
        <v>236</v>
      </c>
      <c r="E13" s="50" t="s">
        <v>111</v>
      </c>
    </row>
    <row r="14" spans="1:72" x14ac:dyDescent="0.25">
      <c r="B14" s="24" t="s">
        <v>107</v>
      </c>
      <c r="C14" s="155">
        <v>2020</v>
      </c>
    </row>
    <row r="15" spans="1:72" x14ac:dyDescent="0.25">
      <c r="B15" s="24" t="s">
        <v>108</v>
      </c>
      <c r="C15" s="155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'4a GA RPP'!C15-Calcs!D15)</f>
        <v>5.0022208597511053E-12</v>
      </c>
    </row>
    <row r="18" spans="2:4" x14ac:dyDescent="0.25">
      <c r="B18" s="24" t="s">
        <v>223</v>
      </c>
      <c r="C18" s="41" t="s">
        <v>229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9507.535290235046</v>
      </c>
      <c r="G45" s="32">
        <v>9259.276136387356</v>
      </c>
      <c r="H45" s="32">
        <v>9004.584256780021</v>
      </c>
      <c r="I45" s="32">
        <v>9014.4718635238987</v>
      </c>
      <c r="J45" s="32">
        <v>8093.6152841843068</v>
      </c>
      <c r="K45" s="32">
        <v>8255.4875898679929</v>
      </c>
      <c r="L45" s="32">
        <v>8420.5973416653524</v>
      </c>
      <c r="M45" s="32">
        <v>8589.0092884986589</v>
      </c>
      <c r="N45" s="32">
        <v>8760.7894742686331</v>
      </c>
      <c r="O45" s="32">
        <v>8936.0052637540066</v>
      </c>
      <c r="P45" s="32">
        <v>9114.7253690290836</v>
      </c>
      <c r="Q45" s="32">
        <v>9297.0198764096676</v>
      </c>
      <c r="R45" s="32">
        <v>9482.9602739378606</v>
      </c>
      <c r="S45" s="32">
        <v>9672.6194794166186</v>
      </c>
      <c r="T45" s="32">
        <v>9866.0718690049489</v>
      </c>
      <c r="U45" s="32">
        <v>10063.393306385049</v>
      </c>
      <c r="V45" s="32">
        <v>10264.661172512751</v>
      </c>
      <c r="W45" s="32">
        <v>10469.954395963005</v>
      </c>
      <c r="X45" s="32">
        <v>10241.671509459398</v>
      </c>
      <c r="Y45" s="32">
        <v>9968.1948286586048</v>
      </c>
      <c r="Z45" s="32">
        <v>9707.9264227702261</v>
      </c>
      <c r="AA45" s="32">
        <v>9460.2283634500582</v>
      </c>
      <c r="AB45" s="32">
        <v>9224.4935327795611</v>
      </c>
      <c r="AC45" s="32">
        <v>9000.144135195389</v>
      </c>
      <c r="AD45" s="32">
        <v>8786.6302812892009</v>
      </c>
      <c r="AE45" s="32">
        <v>8583.4286400065685</v>
      </c>
      <c r="AF45" s="32">
        <v>8390.0411559414952</v>
      </c>
      <c r="AG45" s="32">
        <v>8205.9938285825556</v>
      </c>
      <c r="AH45" s="32">
        <v>8030.8355505185436</v>
      </c>
      <c r="AI45" s="32">
        <v>7864.1370017560603</v>
      </c>
      <c r="AJ45" s="32">
        <v>7705.4895974389028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2587.8343919999988</v>
      </c>
      <c r="G46" s="32">
        <v>5295.6328314947186</v>
      </c>
      <c r="H46" s="32">
        <v>8114.0783031539904</v>
      </c>
      <c r="I46" s="32">
        <v>11683.150490476681</v>
      </c>
      <c r="J46" s="32">
        <v>15030.800661569467</v>
      </c>
      <c r="K46" s="32">
        <v>18177.915095586104</v>
      </c>
      <c r="L46" s="32">
        <v>20930.732059822745</v>
      </c>
      <c r="M46" s="32">
        <v>24540.658076478743</v>
      </c>
      <c r="N46" s="32">
        <v>27562.386757840286</v>
      </c>
      <c r="O46" s="32">
        <v>30069.760401367392</v>
      </c>
      <c r="P46" s="32">
        <v>33536.248203569172</v>
      </c>
      <c r="Q46" s="32">
        <v>36774.040427358945</v>
      </c>
      <c r="R46" s="32">
        <v>39181.13224255087</v>
      </c>
      <c r="S46" s="32">
        <v>41234.457601001544</v>
      </c>
      <c r="T46" s="32">
        <v>42132.425278259587</v>
      </c>
      <c r="U46" s="32">
        <v>43044.465678798384</v>
      </c>
      <c r="V46" s="32">
        <v>43219.997692794706</v>
      </c>
      <c r="W46" s="32">
        <v>42717.613510751449</v>
      </c>
      <c r="X46" s="32">
        <v>40323.696300160096</v>
      </c>
      <c r="Y46" s="32">
        <v>37807.30628507489</v>
      </c>
      <c r="Z46" s="32">
        <v>35162.177756817924</v>
      </c>
      <c r="AA46" s="32">
        <v>32381.724453055336</v>
      </c>
      <c r="AB46" s="32">
        <v>29459.023158272248</v>
      </c>
      <c r="AC46" s="32">
        <v>26386.796465248059</v>
      </c>
      <c r="AD46" s="32">
        <v>23157.394654608754</v>
      </c>
      <c r="AE46" s="32">
        <v>19762.776647337141</v>
      </c>
      <c r="AF46" s="32">
        <v>16194.489982813513</v>
      </c>
      <c r="AG46" s="32">
        <v>12443.649772532855</v>
      </c>
      <c r="AH46" s="32">
        <v>8500.9165770942382</v>
      </c>
      <c r="AI46" s="32">
        <v>4356.4731513769802</v>
      </c>
      <c r="AJ46" s="32">
        <v>2.7284841053187847E-11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124.92823261808914</v>
      </c>
      <c r="G54" s="32">
        <v>127.64910298964928</v>
      </c>
      <c r="H54" s="32">
        <v>130.42940006702133</v>
      </c>
      <c r="I54" s="32">
        <v>132.62742368871548</v>
      </c>
      <c r="J54" s="32">
        <v>135.8313378047396</v>
      </c>
      <c r="K54" s="32">
        <v>144.25492004784854</v>
      </c>
      <c r="L54" s="32">
        <v>156.71353806568322</v>
      </c>
      <c r="M54" s="32">
        <v>149.58256593327101</v>
      </c>
      <c r="N54" s="32">
        <v>169.24318208024101</v>
      </c>
      <c r="O54" s="32">
        <v>173.27918041737871</v>
      </c>
      <c r="P54" s="32">
        <v>171.96475715126036</v>
      </c>
      <c r="Q54" s="32">
        <v>177.95496930170344</v>
      </c>
      <c r="R54" s="32">
        <v>190.49642163451395</v>
      </c>
      <c r="S54" s="32">
        <v>199.18971834058212</v>
      </c>
      <c r="T54" s="32">
        <v>218.9452137056924</v>
      </c>
      <c r="U54" s="32">
        <v>221.58868670687656</v>
      </c>
      <c r="V54" s="32">
        <v>233.96142644919908</v>
      </c>
      <c r="W54" s="32">
        <v>244.36538522252991</v>
      </c>
      <c r="X54" s="32">
        <v>264.93260175409341</v>
      </c>
      <c r="Y54" s="32">
        <v>265.52650409754904</v>
      </c>
      <c r="Z54" s="32">
        <v>266.12492507230309</v>
      </c>
      <c r="AA54" s="32">
        <v>266.72787474437234</v>
      </c>
      <c r="AB54" s="32">
        <v>267.33536325684366</v>
      </c>
      <c r="AC54" s="32">
        <v>267.9474008300445</v>
      </c>
      <c r="AD54" s="32">
        <v>268.5639977617148</v>
      </c>
      <c r="AE54" s="32">
        <v>269.18516442718033</v>
      </c>
      <c r="AF54" s="32">
        <v>269.81091127952715</v>
      </c>
      <c r="AG54" s="32">
        <v>270.44124884977759</v>
      </c>
      <c r="AH54" s="32">
        <v>271.07618774706737</v>
      </c>
      <c r="AI54" s="32">
        <v>271.71573865882402</v>
      </c>
      <c r="AJ54" s="32">
        <v>272.35991235094696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-35.289899999999989</v>
      </c>
      <c r="G55" s="37">
        <v>-35.120400000000004</v>
      </c>
      <c r="H55" s="37">
        <v>-34.984800000000007</v>
      </c>
      <c r="I55" s="37">
        <v>-43.312899999999985</v>
      </c>
      <c r="J55" s="37">
        <v>-37.764599999999973</v>
      </c>
      <c r="K55" s="37">
        <v>-32.65869416372351</v>
      </c>
      <c r="L55" s="37">
        <v>-25.032772837652544</v>
      </c>
      <c r="M55" s="37">
        <v>-34.869290936022708</v>
      </c>
      <c r="N55" s="37">
        <v>-24.255406469088172</v>
      </c>
      <c r="O55" s="37">
        <v>-15.175712917790321</v>
      </c>
      <c r="P55" s="37">
        <v>-26.478625867844812</v>
      </c>
      <c r="Q55" s="37">
        <v>-20.902512046477199</v>
      </c>
      <c r="R55" s="37">
        <v>-7.2198134454489491</v>
      </c>
      <c r="S55" s="37">
        <v>-0.6657321964928542</v>
      </c>
      <c r="T55" s="37">
        <v>16.522228134122173</v>
      </c>
      <c r="U55" s="37">
        <v>16.839042110891882</v>
      </c>
      <c r="V55" s="37">
        <v>27.25554795509197</v>
      </c>
      <c r="W55" s="37">
        <v>36.243492303513648</v>
      </c>
      <c r="X55" s="37">
        <v>60.338170457094549</v>
      </c>
      <c r="Y55" s="37">
        <v>60.088054938612146</v>
      </c>
      <c r="Z55" s="37">
        <v>59.838976206166024</v>
      </c>
      <c r="AA55" s="37">
        <v>59.590929962040917</v>
      </c>
      <c r="AB55" s="37">
        <v>59.343911926336574</v>
      </c>
      <c r="AC55" s="37">
        <v>59.097917836893913</v>
      </c>
      <c r="AD55" s="37">
        <v>58.852943449221414</v>
      </c>
      <c r="AE55" s="37">
        <v>58.608984536422014</v>
      </c>
      <c r="AF55" s="37">
        <v>58.366036889120039</v>
      </c>
      <c r="AG55" s="37">
        <v>58.124096315388726</v>
      </c>
      <c r="AH55" s="37">
        <v>57.883158640677806</v>
      </c>
      <c r="AI55" s="37">
        <v>57.643219707741366</v>
      </c>
      <c r="AJ55" s="37">
        <v>57.404275376566318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0353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54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55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56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3"/>
  <dimension ref="A1:BT57"/>
  <sheetViews>
    <sheetView zoomScale="85" zoomScaleNormal="85" workbookViewId="0">
      <selection activeCell="AN3" sqref="AN3:BT6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31.7109375" style="105" customWidth="1"/>
    <col min="41" max="53" width="5.28515625" style="105" bestFit="1" customWidth="1"/>
    <col min="54" max="67" width="4.7109375" style="105" bestFit="1" customWidth="1"/>
    <col min="68" max="71" width="5.28515625" style="105" bestFit="1" customWidth="1"/>
    <col min="72" max="72" width="4.28515625" style="105" customWidth="1"/>
    <col min="73" max="16384" width="9.140625" style="105"/>
  </cols>
  <sheetData>
    <row r="1" spans="1:72" x14ac:dyDescent="0.25">
      <c r="A1" s="54"/>
      <c r="B1" s="46"/>
      <c r="I1" s="105" t="s">
        <v>232</v>
      </c>
      <c r="J1" s="105">
        <v>4</v>
      </c>
      <c r="L1" s="105" t="s">
        <v>233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53"/>
      <c r="AO3" s="154">
        <v>2017</v>
      </c>
      <c r="AP3" s="154">
        <v>2018</v>
      </c>
      <c r="AQ3" s="154">
        <v>2019</v>
      </c>
      <c r="AR3" s="154">
        <v>2020</v>
      </c>
      <c r="AS3" s="154">
        <v>2021</v>
      </c>
      <c r="AT3" s="154">
        <v>2022</v>
      </c>
      <c r="AU3" s="154">
        <v>2023</v>
      </c>
      <c r="AV3" s="154">
        <v>2024</v>
      </c>
      <c r="AW3" s="154">
        <v>2025</v>
      </c>
      <c r="AX3" s="154">
        <v>2026</v>
      </c>
      <c r="AY3" s="154">
        <v>2027</v>
      </c>
      <c r="AZ3" s="154">
        <v>2028</v>
      </c>
      <c r="BA3" s="154">
        <v>2029</v>
      </c>
      <c r="BB3" s="154">
        <v>2030</v>
      </c>
      <c r="BC3" s="154">
        <v>2031</v>
      </c>
      <c r="BD3" s="154">
        <v>2032</v>
      </c>
      <c r="BE3" s="154">
        <v>2033</v>
      </c>
      <c r="BF3" s="154">
        <v>2034</v>
      </c>
      <c r="BG3" s="154">
        <v>2035</v>
      </c>
      <c r="BH3" s="154">
        <v>2036</v>
      </c>
      <c r="BI3" s="154">
        <v>2037</v>
      </c>
      <c r="BJ3" s="154">
        <v>2038</v>
      </c>
      <c r="BK3" s="154">
        <v>2039</v>
      </c>
      <c r="BL3" s="154">
        <v>2040</v>
      </c>
      <c r="BM3" s="154">
        <v>2041</v>
      </c>
      <c r="BN3" s="154">
        <v>2042</v>
      </c>
      <c r="BO3" s="154">
        <v>2043</v>
      </c>
      <c r="BP3" s="154">
        <v>2044</v>
      </c>
      <c r="BQ3" s="154">
        <v>2045</v>
      </c>
      <c r="BR3" s="154">
        <v>2046</v>
      </c>
      <c r="BS3" s="154">
        <v>2047</v>
      </c>
      <c r="BT3" s="154">
        <v>2048</v>
      </c>
    </row>
    <row r="4" spans="1:72" ht="30" x14ac:dyDescent="0.25">
      <c r="C4" s="124"/>
      <c r="D4" s="32"/>
      <c r="I4" s="105" t="s">
        <v>237</v>
      </c>
      <c r="J4" s="59">
        <f ca="1">OFFSET('Impact Summary'!U$2, '4b GA Class B'!$J$1, 0)</f>
        <v>-19.920000000000002</v>
      </c>
      <c r="K4" s="59">
        <f ca="1">OFFSET('Impact Summary'!V$2, '4b GA Class B'!$J$1, 0)</f>
        <v>-19.53</v>
      </c>
      <c r="L4" s="59">
        <f ca="1">OFFSET('Impact Summary'!W$2, '4b GA Class B'!$J$1, 0)</f>
        <v>-19.170000000000002</v>
      </c>
      <c r="M4" s="59">
        <f ca="1">OFFSET('Impact Summary'!X$2, '4b GA Class B'!$J$1, 0)</f>
        <v>-26.31</v>
      </c>
      <c r="N4" s="59">
        <f ca="1">OFFSET('Impact Summary'!Y$2, '4b GA Class B'!$J$1, 0)</f>
        <v>-21.14</v>
      </c>
      <c r="AN4" s="130" t="s">
        <v>221</v>
      </c>
      <c r="AO4" s="152">
        <f>'4b GA Class B'!F55/1.13</f>
        <v>-31.229999999999993</v>
      </c>
      <c r="AP4" s="152">
        <f>'4b GA Class B'!G55/1.13</f>
        <v>-31.08000000000002</v>
      </c>
      <c r="AQ4" s="152">
        <f>'4b GA Class B'!H55/1.13</f>
        <v>-30.960000000000008</v>
      </c>
      <c r="AR4" s="152">
        <f>'4b GA Class B'!I55/1.13</f>
        <v>-38.329999999999991</v>
      </c>
      <c r="AS4" s="152">
        <f>'4b GA Class B'!J55/1.13</f>
        <v>-33.41999999999998</v>
      </c>
      <c r="AT4" s="152">
        <f>'4b GA Class B'!K55/1.13</f>
        <v>-30.28301299633128</v>
      </c>
      <c r="AU4" s="152">
        <f>'4b GA Class B'!L55/1.13</f>
        <v>-25.897467292629823</v>
      </c>
      <c r="AV4" s="152">
        <f>'4b GA Class B'!M55/1.13</f>
        <v>-29.631796339873773</v>
      </c>
      <c r="AW4" s="152">
        <f>'4b GA Class B'!N55/1.13</f>
        <v>-23.699800648046324</v>
      </c>
      <c r="AX4" s="152">
        <f>'4b GA Class B'!O55/1.13</f>
        <v>-18.488632587193514</v>
      </c>
      <c r="AY4" s="152">
        <f>'4b GA Class B'!P55/1.13</f>
        <v>-22.593966638639493</v>
      </c>
      <c r="AZ4" s="152">
        <f>'4b GA Class B'!Q55/1.13</f>
        <v>-18.774598373343768</v>
      </c>
      <c r="BA4" s="152">
        <f>'4b GA Class B'!R55/1.13</f>
        <v>-11.059976760570365</v>
      </c>
      <c r="BB4" s="152">
        <f>'4b GA Class B'!S55/1.13</f>
        <v>-6.5466711254019039</v>
      </c>
      <c r="BC4" s="152">
        <f>'4b GA Class B'!T55/1.13</f>
        <v>3.0036194175476698</v>
      </c>
      <c r="BD4" s="152">
        <f>'4b GA Class B'!U55/1.13</f>
        <v>4.7715870047834503</v>
      </c>
      <c r="BE4" s="152">
        <f>'4b GA Class B'!V55/1.13</f>
        <v>11.367537737690613</v>
      </c>
      <c r="BF4" s="152">
        <f>'4b GA Class B'!W55/1.13</f>
        <v>17.388776224144156</v>
      </c>
      <c r="BG4" s="152">
        <f>'4b GA Class B'!X55/1.13</f>
        <v>33.284704741933581</v>
      </c>
      <c r="BH4" s="152">
        <f>'4b GA Class B'!Y55/1.13</f>
        <v>38.161584935922235</v>
      </c>
      <c r="BI4" s="152">
        <f>'4b GA Class B'!Z55/1.13</f>
        <v>43.079093345685742</v>
      </c>
      <c r="BJ4" s="152">
        <f>'4b GA Class B'!AA55/1.13</f>
        <v>48.048298171363143</v>
      </c>
      <c r="BK4" s="152">
        <f>'4b GA Class B'!AB55/1.13</f>
        <v>53.080278378024587</v>
      </c>
      <c r="BL4" s="152">
        <f>'4b GA Class B'!AC55/1.13</f>
        <v>58.186149433392153</v>
      </c>
      <c r="BM4" s="152">
        <f>'4b GA Class B'!AD55/1.13</f>
        <v>63.37708887531587</v>
      </c>
      <c r="BN4" s="152">
        <f>'4b GA Class B'!AE55/1.13</f>
        <v>68.664361770336924</v>
      </c>
      <c r="BO4" s="152">
        <f>'4b GA Class B'!AF55/1.13</f>
        <v>74.059346123807444</v>
      </c>
      <c r="BP4" s="152">
        <f>'4b GA Class B'!AG55/1.13</f>
        <v>79.573558301323814</v>
      </c>
      <c r="BQ4" s="152">
        <f>'4b GA Class B'!AH55/1.13</f>
        <v>85.218678520662095</v>
      </c>
      <c r="BR4" s="152">
        <f>'4b GA Class B'!AI55/1.13</f>
        <v>91.006576472983681</v>
      </c>
      <c r="BS4" s="152">
        <f>'4b GA Class B'!AJ55/1.13</f>
        <v>96.949337131795915</v>
      </c>
      <c r="BT4" s="152">
        <f>'4b GA Class B'!AK55/1.13</f>
        <v>0</v>
      </c>
    </row>
    <row r="5" spans="1:72" x14ac:dyDescent="0.25">
      <c r="B5" s="25"/>
      <c r="C5" s="45" t="s">
        <v>209</v>
      </c>
      <c r="I5" s="148"/>
      <c r="J5" s="146"/>
      <c r="K5" s="121"/>
      <c r="L5" s="54"/>
      <c r="AN5" s="130" t="s">
        <v>213</v>
      </c>
      <c r="AO5" s="152">
        <f>'4b GA Class B'!F46/1000</f>
        <v>4.8827063999999982</v>
      </c>
      <c r="AP5" s="152">
        <f>'4b GA Class B'!G46/1000</f>
        <v>9.991760059424001</v>
      </c>
      <c r="AQ5" s="152">
        <f>'4b GA Class B'!H46/1000</f>
        <v>15.309581704064135</v>
      </c>
      <c r="AR5" s="152">
        <f>'4b GA Class B'!I46/1000</f>
        <v>22.043680170710722</v>
      </c>
      <c r="AS5" s="152">
        <f>'4b GA Class B'!J46/1000</f>
        <v>28.360001248244284</v>
      </c>
      <c r="AT5" s="152">
        <f>'4b GA Class B'!K46/1000</f>
        <v>34.512437623161553</v>
      </c>
      <c r="AU5" s="152">
        <f>'4b GA Class B'!L46/1000</f>
        <v>40.298762054034263</v>
      </c>
      <c r="AV5" s="152">
        <f>'4b GA Class B'!M46/1000</f>
        <v>46.960881875138533</v>
      </c>
      <c r="AW5" s="152">
        <f>'4b GA Class B'!N46/1000</f>
        <v>53.042873641815312</v>
      </c>
      <c r="AX5" s="152">
        <f>'4b GA Class B'!O46/1000</f>
        <v>58.606754656972335</v>
      </c>
      <c r="AY5" s="152">
        <f>'4b GA Class B'!P46/1000</f>
        <v>65.112864859093946</v>
      </c>
      <c r="AZ5" s="152">
        <f>'4b GA Class B'!Q46/1000</f>
        <v>71.358858004741393</v>
      </c>
      <c r="BA5" s="152">
        <f>'4b GA Class B'!R46/1000</f>
        <v>76.726675438931736</v>
      </c>
      <c r="BB5" s="152">
        <f>'4b GA Class B'!S46/1000</f>
        <v>81.675562362606982</v>
      </c>
      <c r="BC5" s="152">
        <f>'4b GA Class B'!T46/1000</f>
        <v>85.384478249209124</v>
      </c>
      <c r="BD5" s="152">
        <f>'4b GA Class B'!U46/1000</f>
        <v>89.001509498405568</v>
      </c>
      <c r="BE5" s="152">
        <f>'4b GA Class B'!V46/1000</f>
        <v>91.752693074995435</v>
      </c>
      <c r="BF5" s="152">
        <f>'4b GA Class B'!W46/1000</f>
        <v>93.67104846663949</v>
      </c>
      <c r="BG5" s="152">
        <f>'4b GA Class B'!X46/1000</f>
        <v>93.077350282884694</v>
      </c>
      <c r="BH5" s="152">
        <f>'4b GA Class B'!Y46/1000</f>
        <v>91.638430704196892</v>
      </c>
      <c r="BI5" s="152">
        <f>'4b GA Class B'!Z46/1000</f>
        <v>89.297728910389253</v>
      </c>
      <c r="BJ5" s="152">
        <f>'4b GA Class B'!AA46/1000</f>
        <v>85.993852631700605</v>
      </c>
      <c r="BK5" s="152">
        <f>'4b GA Class B'!AB46/1000</f>
        <v>81.660298087725252</v>
      </c>
      <c r="BL5" s="152">
        <f>'4b GA Class B'!AC46/1000</f>
        <v>76.225150989270702</v>
      </c>
      <c r="BM5" s="152">
        <f>'4b GA Class B'!AD46/1000</f>
        <v>69.610767553257617</v>
      </c>
      <c r="BN5" s="152">
        <f>'4b GA Class B'!AE46/1000</f>
        <v>61.733434416099875</v>
      </c>
      <c r="BO5" s="152">
        <f>'4b GA Class B'!AF46/1000</f>
        <v>52.503006262816065</v>
      </c>
      <c r="BP5" s="152">
        <f>'4b GA Class B'!AG46/1000</f>
        <v>41.822519917224724</v>
      </c>
      <c r="BQ5" s="152">
        <f>'4b GA Class B'!AH46/1000</f>
        <v>29.587783562745038</v>
      </c>
      <c r="BR5" s="152">
        <f>'4b GA Class B'!AI46/1000</f>
        <v>15.686939683335559</v>
      </c>
      <c r="BS5" s="152">
        <f>'4b GA Class B'!AJ46/1000</f>
        <v>2.2971507496549749E-7</v>
      </c>
      <c r="BT5" s="152">
        <f>'4b GA Class B'!AK46/1000</f>
        <v>0</v>
      </c>
    </row>
    <row r="6" spans="1:72" ht="30" x14ac:dyDescent="0.25">
      <c r="B6" s="24" t="s">
        <v>210</v>
      </c>
      <c r="C6" s="128">
        <v>-27.02</v>
      </c>
      <c r="I6" s="145"/>
      <c r="J6" s="146"/>
      <c r="K6" s="55"/>
      <c r="L6" s="55"/>
      <c r="AN6" s="130" t="s">
        <v>214</v>
      </c>
      <c r="AO6" s="152">
        <f>AO5</f>
        <v>4.8827063999999982</v>
      </c>
      <c r="AP6" s="152">
        <f t="shared" ref="AP6:BT6" si="0">AP5-AO5</f>
        <v>5.1090536594240028</v>
      </c>
      <c r="AQ6" s="152">
        <f t="shared" si="0"/>
        <v>5.3178216446401336</v>
      </c>
      <c r="AR6" s="152">
        <f t="shared" si="0"/>
        <v>6.7340984666465875</v>
      </c>
      <c r="AS6" s="152">
        <f t="shared" si="0"/>
        <v>6.3163210775335621</v>
      </c>
      <c r="AT6" s="152">
        <f t="shared" si="0"/>
        <v>6.1524363749172686</v>
      </c>
      <c r="AU6" s="152">
        <f t="shared" si="0"/>
        <v>5.7863244308727104</v>
      </c>
      <c r="AV6" s="152">
        <f t="shared" si="0"/>
        <v>6.6621198211042696</v>
      </c>
      <c r="AW6" s="152">
        <f t="shared" si="0"/>
        <v>6.0819917666767793</v>
      </c>
      <c r="AX6" s="152">
        <f t="shared" si="0"/>
        <v>5.5638810151570226</v>
      </c>
      <c r="AY6" s="152">
        <f t="shared" si="0"/>
        <v>6.5061102021216115</v>
      </c>
      <c r="AZ6" s="152">
        <f t="shared" si="0"/>
        <v>6.2459931456474465</v>
      </c>
      <c r="BA6" s="152">
        <f t="shared" si="0"/>
        <v>5.3678174341903429</v>
      </c>
      <c r="BB6" s="152">
        <f t="shared" si="0"/>
        <v>4.9488869236752464</v>
      </c>
      <c r="BC6" s="152">
        <f t="shared" si="0"/>
        <v>3.7089158866021421</v>
      </c>
      <c r="BD6" s="152">
        <f t="shared" si="0"/>
        <v>3.6170312491964438</v>
      </c>
      <c r="BE6" s="152">
        <f t="shared" si="0"/>
        <v>2.7511835765898667</v>
      </c>
      <c r="BF6" s="152">
        <f t="shared" si="0"/>
        <v>1.9183553916440559</v>
      </c>
      <c r="BG6" s="152">
        <f t="shared" si="0"/>
        <v>-0.5936981837547961</v>
      </c>
      <c r="BH6" s="152">
        <f t="shared" si="0"/>
        <v>-1.438919578687802</v>
      </c>
      <c r="BI6" s="152">
        <f t="shared" si="0"/>
        <v>-2.3407017938076393</v>
      </c>
      <c r="BJ6" s="152">
        <f t="shared" si="0"/>
        <v>-3.303876278688648</v>
      </c>
      <c r="BK6" s="152">
        <f t="shared" si="0"/>
        <v>-4.3335545439753531</v>
      </c>
      <c r="BL6" s="152">
        <f t="shared" si="0"/>
        <v>-5.43514709845455</v>
      </c>
      <c r="BM6" s="152">
        <f t="shared" si="0"/>
        <v>-6.6143834360130853</v>
      </c>
      <c r="BN6" s="152">
        <f t="shared" si="0"/>
        <v>-7.8773331371577413</v>
      </c>
      <c r="BO6" s="152">
        <f t="shared" si="0"/>
        <v>-9.2304281532838104</v>
      </c>
      <c r="BP6" s="152">
        <f t="shared" si="0"/>
        <v>-10.680486345591341</v>
      </c>
      <c r="BQ6" s="152">
        <f t="shared" si="0"/>
        <v>-12.234736354479686</v>
      </c>
      <c r="BR6" s="152">
        <f t="shared" si="0"/>
        <v>-13.900843879409479</v>
      </c>
      <c r="BS6" s="152">
        <f t="shared" si="0"/>
        <v>-15.686939453620484</v>
      </c>
      <c r="BT6" s="152">
        <f t="shared" si="0"/>
        <v>-2.2971507496549749E-7</v>
      </c>
    </row>
    <row r="7" spans="1:72" x14ac:dyDescent="0.25">
      <c r="B7" s="24" t="s">
        <v>87</v>
      </c>
      <c r="C7" s="32">
        <v>9856.3916075683792</v>
      </c>
      <c r="D7" s="105" t="s">
        <v>234</v>
      </c>
      <c r="E7" s="50" t="s">
        <v>111</v>
      </c>
      <c r="I7" s="145"/>
      <c r="J7" s="146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5"/>
      <c r="J8" s="146"/>
    </row>
    <row r="9" spans="1:72" x14ac:dyDescent="0.25">
      <c r="B9" s="24" t="s">
        <v>187</v>
      </c>
      <c r="C9" s="126">
        <v>0</v>
      </c>
      <c r="I9" s="145"/>
      <c r="J9" s="146"/>
    </row>
    <row r="10" spans="1:72" x14ac:dyDescent="0.25">
      <c r="B10" s="24" t="s">
        <v>188</v>
      </c>
      <c r="C10" s="127">
        <v>0</v>
      </c>
      <c r="I10" s="145"/>
      <c r="J10" s="146"/>
      <c r="N10" s="129"/>
    </row>
    <row r="11" spans="1:72" x14ac:dyDescent="0.25">
      <c r="B11" s="24" t="s">
        <v>189</v>
      </c>
      <c r="C11" s="144">
        <v>2.8432067764438036E-2</v>
      </c>
      <c r="D11" s="105" t="s">
        <v>235</v>
      </c>
      <c r="I11" s="145"/>
      <c r="J11" s="146"/>
    </row>
    <row r="12" spans="1:72" x14ac:dyDescent="0.25">
      <c r="B12" s="24" t="s">
        <v>90</v>
      </c>
      <c r="C12" s="155">
        <v>5.1159999999999997E-2</v>
      </c>
    </row>
    <row r="13" spans="1:72" x14ac:dyDescent="0.25">
      <c r="B13" s="24" t="s">
        <v>106</v>
      </c>
      <c r="C13" s="60">
        <v>1000000000</v>
      </c>
      <c r="D13" s="105" t="s">
        <v>236</v>
      </c>
      <c r="E13" s="50" t="s">
        <v>111</v>
      </c>
    </row>
    <row r="14" spans="1:72" x14ac:dyDescent="0.25">
      <c r="B14" s="24" t="s">
        <v>107</v>
      </c>
      <c r="C14" s="155">
        <v>2020</v>
      </c>
    </row>
    <row r="15" spans="1:72" x14ac:dyDescent="0.25">
      <c r="B15" s="24" t="s">
        <v>108</v>
      </c>
      <c r="C15" s="155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'4b GA Class B'!C15-Calcs!D15)</f>
        <v>5.0022208597511053E-12</v>
      </c>
    </row>
    <row r="18" spans="2:4" x14ac:dyDescent="0.25">
      <c r="B18" s="24" t="s">
        <v>223</v>
      </c>
      <c r="C18" s="41" t="s">
        <v>227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7212.6632822350466</v>
      </c>
      <c r="G45" s="32">
        <v>6975.4265683873537</v>
      </c>
      <c r="H45" s="32">
        <v>6745.4619527800232</v>
      </c>
      <c r="I45" s="32">
        <v>6217.5675381905648</v>
      </c>
      <c r="J45" s="32">
        <v>5654.9890761843071</v>
      </c>
      <c r="K45" s="32">
        <v>5932.0875509816469</v>
      </c>
      <c r="L45" s="32">
        <v>6222.7640475400494</v>
      </c>
      <c r="M45" s="32">
        <v>6527.6838985542536</v>
      </c>
      <c r="N45" s="32">
        <v>6847.5450384928354</v>
      </c>
      <c r="O45" s="32">
        <v>7183.0796011082512</v>
      </c>
      <c r="P45" s="32">
        <v>7535.0555952259983</v>
      </c>
      <c r="Q45" s="32">
        <v>7904.2786626486395</v>
      </c>
      <c r="R45" s="32">
        <v>8291.5939221983481</v>
      </c>
      <c r="S45" s="32">
        <v>8697.8879041188848</v>
      </c>
      <c r="T45" s="32">
        <v>9124.0905792646008</v>
      </c>
      <c r="U45" s="32">
        <v>9571.1774877211883</v>
      </c>
      <c r="V45" s="32">
        <v>10040.171971730293</v>
      </c>
      <c r="W45" s="32">
        <v>10532.147518029082</v>
      </c>
      <c r="X45" s="32">
        <v>11048.230214966077</v>
      </c>
      <c r="Y45" s="32">
        <v>11589.601330017409</v>
      </c>
      <c r="Z45" s="32">
        <v>12157.50001360319</v>
      </c>
      <c r="AA45" s="32">
        <v>12753.226135392835</v>
      </c>
      <c r="AB45" s="32">
        <v>13378.143259591316</v>
      </c>
      <c r="AC45" s="32">
        <v>14033.681766016585</v>
      </c>
      <c r="AD45" s="32">
        <v>14721.342124111978</v>
      </c>
      <c r="AE45" s="32">
        <v>15442.69832738757</v>
      </c>
      <c r="AF45" s="32">
        <v>16199.401496151577</v>
      </c>
      <c r="AG45" s="32">
        <v>16993.183656778172</v>
      </c>
      <c r="AH45" s="32">
        <v>17825.861706162053</v>
      </c>
      <c r="AI45" s="32">
        <v>18699.341570434179</v>
      </c>
      <c r="AJ45" s="32">
        <v>19615.622567457438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4882.7063999999982</v>
      </c>
      <c r="G46" s="32">
        <v>9991.7600594240012</v>
      </c>
      <c r="H46" s="32">
        <v>15309.581704064134</v>
      </c>
      <c r="I46" s="32">
        <v>22043.680170710722</v>
      </c>
      <c r="J46" s="32">
        <v>28360.001248244283</v>
      </c>
      <c r="K46" s="32">
        <v>34512.437623161553</v>
      </c>
      <c r="L46" s="32">
        <v>40298.762054034261</v>
      </c>
      <c r="M46" s="32">
        <v>46960.881875138533</v>
      </c>
      <c r="N46" s="32">
        <v>53042.873641815313</v>
      </c>
      <c r="O46" s="32">
        <v>58606.754656972334</v>
      </c>
      <c r="P46" s="32">
        <v>65112.864859093948</v>
      </c>
      <c r="Q46" s="32">
        <v>71358.8580047414</v>
      </c>
      <c r="R46" s="32">
        <v>76726.675438931736</v>
      </c>
      <c r="S46" s="32">
        <v>81675.562362606986</v>
      </c>
      <c r="T46" s="32">
        <v>85384.478249209118</v>
      </c>
      <c r="U46" s="32">
        <v>89001.509498405561</v>
      </c>
      <c r="V46" s="32">
        <v>91752.693074995434</v>
      </c>
      <c r="W46" s="32">
        <v>93671.048466639491</v>
      </c>
      <c r="X46" s="32">
        <v>93077.350282884698</v>
      </c>
      <c r="Y46" s="32">
        <v>91638.430704196886</v>
      </c>
      <c r="Z46" s="32">
        <v>89297.728910389254</v>
      </c>
      <c r="AA46" s="32">
        <v>85993.852631700604</v>
      </c>
      <c r="AB46" s="32">
        <v>81660.298087725256</v>
      </c>
      <c r="AC46" s="32">
        <v>76225.150989270696</v>
      </c>
      <c r="AD46" s="32">
        <v>69610.76755325761</v>
      </c>
      <c r="AE46" s="32">
        <v>61733.434416099873</v>
      </c>
      <c r="AF46" s="32">
        <v>52503.006262816067</v>
      </c>
      <c r="AG46" s="32">
        <v>41822.519917224723</v>
      </c>
      <c r="AH46" s="32">
        <v>29587.783562745037</v>
      </c>
      <c r="AI46" s="32">
        <v>15686.939683335559</v>
      </c>
      <c r="AJ46" s="32">
        <v>2.2971507496549748E-4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124.92823261808914</v>
      </c>
      <c r="G54" s="32">
        <v>127.64910298964926</v>
      </c>
      <c r="H54" s="32">
        <v>130.42940006702133</v>
      </c>
      <c r="I54" s="32">
        <v>132.62742368871548</v>
      </c>
      <c r="J54" s="32">
        <v>135.8313378047396</v>
      </c>
      <c r="K54" s="32">
        <v>142.69380952571771</v>
      </c>
      <c r="L54" s="32">
        <v>152.48217286266407</v>
      </c>
      <c r="M54" s="32">
        <v>150.96792700523636</v>
      </c>
      <c r="N54" s="32">
        <v>166.71781381703684</v>
      </c>
      <c r="O54" s="32">
        <v>167.56273851164036</v>
      </c>
      <c r="P54" s="32">
        <v>172.91220071744254</v>
      </c>
      <c r="Q54" s="32">
        <v>177.64218518630219</v>
      </c>
      <c r="R54" s="32">
        <v>185.21846134051839</v>
      </c>
      <c r="S54" s="32">
        <v>192.45771216537082</v>
      </c>
      <c r="T54" s="32">
        <v>205.81707551339909</v>
      </c>
      <c r="U54" s="32">
        <v>210.14153791138997</v>
      </c>
      <c r="V54" s="32">
        <v>219.5511961376975</v>
      </c>
      <c r="W54" s="32">
        <v>227.77121005229915</v>
      </c>
      <c r="X54" s="32">
        <v>242.2061476553838</v>
      </c>
      <c r="Y54" s="32">
        <v>248.56104013652902</v>
      </c>
      <c r="Z54" s="32">
        <v>254.96532434676195</v>
      </c>
      <c r="AA54" s="32">
        <v>261.43152171597177</v>
      </c>
      <c r="AB54" s="32">
        <v>267.97216589767487</v>
      </c>
      <c r="AC54" s="32">
        <v>274.59983185288371</v>
      </c>
      <c r="AD54" s="32">
        <v>281.32716474160031</v>
      </c>
      <c r="AE54" s="32">
        <v>288.16690869123903</v>
      </c>
      <c r="AF54" s="32">
        <v>295.13193551030952</v>
      </c>
      <c r="AG54" s="32">
        <v>302.23527341488477</v>
      </c>
      <c r="AH54" s="32">
        <v>309.49013583473771</v>
      </c>
      <c r="AI54" s="32">
        <v>316.90995036555421</v>
      </c>
      <c r="AJ54" s="32">
        <v>324.50838793331002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-35.289899999999989</v>
      </c>
      <c r="G55" s="37">
        <v>-35.120400000000018</v>
      </c>
      <c r="H55" s="37">
        <v>-34.984800000000007</v>
      </c>
      <c r="I55" s="37">
        <v>-43.312899999999985</v>
      </c>
      <c r="J55" s="37">
        <v>-37.764599999999973</v>
      </c>
      <c r="K55" s="37">
        <v>-34.219804685854342</v>
      </c>
      <c r="L55" s="37">
        <v>-29.264138040671696</v>
      </c>
      <c r="M55" s="37">
        <v>-33.483929864057359</v>
      </c>
      <c r="N55" s="37">
        <v>-26.780774732292343</v>
      </c>
      <c r="O55" s="37">
        <v>-20.892154823528671</v>
      </c>
      <c r="P55" s="37">
        <v>-25.531182301662625</v>
      </c>
      <c r="Q55" s="37">
        <v>-21.215296161878456</v>
      </c>
      <c r="R55" s="37">
        <v>-12.497773739444511</v>
      </c>
      <c r="S55" s="37">
        <v>-7.3977383717041505</v>
      </c>
      <c r="T55" s="37">
        <v>3.3940899418288666</v>
      </c>
      <c r="U55" s="37">
        <v>5.3918933154052979</v>
      </c>
      <c r="V55" s="37">
        <v>12.845317643590391</v>
      </c>
      <c r="W55" s="37">
        <v>19.649317133282892</v>
      </c>
      <c r="X55" s="37">
        <v>37.611716358384939</v>
      </c>
      <c r="Y55" s="37">
        <v>43.122590977592125</v>
      </c>
      <c r="Z55" s="37">
        <v>48.679375480624884</v>
      </c>
      <c r="AA55" s="37">
        <v>54.294576933640343</v>
      </c>
      <c r="AB55" s="37">
        <v>59.98071456716778</v>
      </c>
      <c r="AC55" s="37">
        <v>65.750348859733123</v>
      </c>
      <c r="AD55" s="37">
        <v>71.616110429106925</v>
      </c>
      <c r="AE55" s="37">
        <v>77.590728800480719</v>
      </c>
      <c r="AF55" s="37">
        <v>83.68706111990241</v>
      </c>
      <c r="AG55" s="37">
        <v>89.918120880495906</v>
      </c>
      <c r="AH55" s="37">
        <v>96.297106728348155</v>
      </c>
      <c r="AI55" s="37">
        <v>102.83743141447155</v>
      </c>
      <c r="AJ55" s="37">
        <v>109.55275095892938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1377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78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79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80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4"/>
  <dimension ref="A1:BT57"/>
  <sheetViews>
    <sheetView zoomScale="85" zoomScaleNormal="85" workbookViewId="0">
      <selection activeCell="AN3" sqref="AN3:BT6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31.7109375" style="105" customWidth="1"/>
    <col min="41" max="53" width="5.28515625" style="105" bestFit="1" customWidth="1"/>
    <col min="54" max="55" width="4.7109375" style="105" bestFit="1" customWidth="1"/>
    <col min="56" max="62" width="5.7109375" style="105" bestFit="1" customWidth="1"/>
    <col min="63" max="66" width="4.7109375" style="105" bestFit="1" customWidth="1"/>
    <col min="67" max="70" width="5.28515625" style="105" bestFit="1" customWidth="1"/>
    <col min="71" max="71" width="5.7109375" style="105" bestFit="1" customWidth="1"/>
    <col min="72" max="72" width="4.28515625" style="105" customWidth="1"/>
    <col min="73" max="16384" width="9.140625" style="105"/>
  </cols>
  <sheetData>
    <row r="1" spans="1:72" x14ac:dyDescent="0.25">
      <c r="A1" s="54"/>
      <c r="B1" s="46"/>
      <c r="I1" s="105" t="s">
        <v>232</v>
      </c>
      <c r="J1" s="105">
        <v>4</v>
      </c>
      <c r="L1" s="105" t="s">
        <v>233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53"/>
      <c r="AO3" s="154">
        <v>2017</v>
      </c>
      <c r="AP3" s="154">
        <v>2018</v>
      </c>
      <c r="AQ3" s="154">
        <v>2019</v>
      </c>
      <c r="AR3" s="154">
        <v>2020</v>
      </c>
      <c r="AS3" s="154">
        <v>2021</v>
      </c>
      <c r="AT3" s="154">
        <v>2022</v>
      </c>
      <c r="AU3" s="154">
        <v>2023</v>
      </c>
      <c r="AV3" s="154">
        <v>2024</v>
      </c>
      <c r="AW3" s="154">
        <v>2025</v>
      </c>
      <c r="AX3" s="154">
        <v>2026</v>
      </c>
      <c r="AY3" s="154">
        <v>2027</v>
      </c>
      <c r="AZ3" s="154">
        <v>2028</v>
      </c>
      <c r="BA3" s="154">
        <v>2029</v>
      </c>
      <c r="BB3" s="154">
        <v>2030</v>
      </c>
      <c r="BC3" s="154">
        <v>2031</v>
      </c>
      <c r="BD3" s="154">
        <v>2032</v>
      </c>
      <c r="BE3" s="154">
        <v>2033</v>
      </c>
      <c r="BF3" s="154">
        <v>2034</v>
      </c>
      <c r="BG3" s="154">
        <v>2035</v>
      </c>
      <c r="BH3" s="154">
        <v>2036</v>
      </c>
      <c r="BI3" s="154">
        <v>2037</v>
      </c>
      <c r="BJ3" s="154">
        <v>2038</v>
      </c>
      <c r="BK3" s="154">
        <v>2039</v>
      </c>
      <c r="BL3" s="154">
        <v>2040</v>
      </c>
      <c r="BM3" s="154">
        <v>2041</v>
      </c>
      <c r="BN3" s="154">
        <v>2042</v>
      </c>
      <c r="BO3" s="154">
        <v>2043</v>
      </c>
      <c r="BP3" s="154">
        <v>2044</v>
      </c>
      <c r="BQ3" s="154">
        <v>2045</v>
      </c>
      <c r="BR3" s="154">
        <v>2046</v>
      </c>
      <c r="BS3" s="154">
        <v>2047</v>
      </c>
      <c r="BT3" s="154">
        <v>2048</v>
      </c>
    </row>
    <row r="4" spans="1:72" ht="30" x14ac:dyDescent="0.25">
      <c r="C4" s="124"/>
      <c r="D4" s="32"/>
      <c r="I4" s="105" t="s">
        <v>237</v>
      </c>
      <c r="J4" s="59">
        <f ca="1">OFFSET('Impact Summary'!U$2, '4c GA All'!$J$1, 0)</f>
        <v>-19.920000000000002</v>
      </c>
      <c r="K4" s="59">
        <f ca="1">OFFSET('Impact Summary'!V$2, '4c GA All'!$J$1, 0)</f>
        <v>-19.53</v>
      </c>
      <c r="L4" s="59">
        <f ca="1">OFFSET('Impact Summary'!W$2, '4c GA All'!$J$1, 0)</f>
        <v>-19.170000000000002</v>
      </c>
      <c r="M4" s="59">
        <f ca="1">OFFSET('Impact Summary'!X$2, '4c GA All'!$J$1, 0)</f>
        <v>-26.31</v>
      </c>
      <c r="N4" s="59">
        <f ca="1">OFFSET('Impact Summary'!Y$2, '4c GA All'!$J$1, 0)</f>
        <v>-21.14</v>
      </c>
      <c r="AN4" s="130" t="s">
        <v>221</v>
      </c>
      <c r="AO4" s="152">
        <f>'4c GA All'!F55/1.13</f>
        <v>-31.229999999999954</v>
      </c>
      <c r="AP4" s="152">
        <f>'4c GA All'!G55/1.13</f>
        <v>-31.08000000000003</v>
      </c>
      <c r="AQ4" s="152">
        <f>'4c GA All'!H55/1.13</f>
        <v>-30.960000000000033</v>
      </c>
      <c r="AR4" s="152">
        <f>'4c GA All'!I55/1.13</f>
        <v>-38.329999999999991</v>
      </c>
      <c r="AS4" s="152">
        <f>'4c GA All'!J55/1.13</f>
        <v>-33.42</v>
      </c>
      <c r="AT4" s="152">
        <f>'4c GA All'!K55/1.13</f>
        <v>-30.509975129218095</v>
      </c>
      <c r="AU4" s="152">
        <f>'4c GA All'!L55/1.13</f>
        <v>-26.47267171862913</v>
      </c>
      <c r="AV4" s="152">
        <f>'4c GA All'!M55/1.13</f>
        <v>-29.549610634517428</v>
      </c>
      <c r="AW4" s="152">
        <f>'4c GA All'!N55/1.13</f>
        <v>-24.086023577611407</v>
      </c>
      <c r="AX4" s="152">
        <f>'4c GA All'!O55/1.13</f>
        <v>-19.240382624331893</v>
      </c>
      <c r="AY4" s="152">
        <f>'4c GA All'!P55/1.13</f>
        <v>-22.510742648922182</v>
      </c>
      <c r="AZ4" s="152">
        <f>'4c GA All'!Q55/1.13</f>
        <v>-18.783953069205701</v>
      </c>
      <c r="BA4" s="152">
        <f>'4c GA All'!R55/1.13</f>
        <v>-11.581085510883705</v>
      </c>
      <c r="BB4" s="152">
        <f>'4c GA All'!S55/1.13</f>
        <v>-7.1332327391381831</v>
      </c>
      <c r="BC4" s="152">
        <f>'4c GA All'!T55/1.13</f>
        <v>1.7908691962094081</v>
      </c>
      <c r="BD4" s="152">
        <f>'4c GA All'!U55/1.13</f>
        <v>3.9298924273136531</v>
      </c>
      <c r="BE4" s="152">
        <f>'4c GA All'!V55/1.13</f>
        <v>10.375281696488967</v>
      </c>
      <c r="BF4" s="152">
        <f>'4c GA All'!W55/1.13</f>
        <v>16.376976209927431</v>
      </c>
      <c r="BG4" s="152">
        <f>'4c GA All'!X55/1.13</f>
        <v>31.122588339846708</v>
      </c>
      <c r="BH4" s="152">
        <f>'4c GA All'!Y55/1.13</f>
        <v>36.256794057459253</v>
      </c>
      <c r="BI4" s="152">
        <f>'4c GA All'!Z55/1.13</f>
        <v>41.507690636011311</v>
      </c>
      <c r="BJ4" s="152">
        <f>'4c GA All'!AA55/1.13</f>
        <v>46.891098544469855</v>
      </c>
      <c r="BK4" s="152">
        <f>'4c GA All'!AB55/1.13</f>
        <v>52.423259664728924</v>
      </c>
      <c r="BL4" s="152">
        <f>'4c GA All'!AC55/1.13</f>
        <v>58.120886331019108</v>
      </c>
      <c r="BM4" s="152">
        <f>'4c GA All'!AD55/1.13</f>
        <v>64.001211853178688</v>
      </c>
      <c r="BN4" s="152">
        <f>'4c GA All'!AE55/1.13</f>
        <v>70.082042676631104</v>
      </c>
      <c r="BO4" s="152">
        <f>'4c GA All'!AF55/1.13</f>
        <v>76.381812337042518</v>
      </c>
      <c r="BP4" s="152">
        <f>'4c GA All'!AG55/1.13</f>
        <v>82.91963737324734</v>
      </c>
      <c r="BQ4" s="152">
        <f>'4c GA All'!AH55/1.13</f>
        <v>89.715375368132584</v>
      </c>
      <c r="BR4" s="152">
        <f>'4c GA All'!AI55/1.13</f>
        <v>96.789685293797973</v>
      </c>
      <c r="BS4" s="152">
        <f>'4c GA All'!AJ55/1.13</f>
        <v>104.16409034446227</v>
      </c>
      <c r="BT4" s="152">
        <f>'4c GA All'!AK55/1.13</f>
        <v>0</v>
      </c>
    </row>
    <row r="5" spans="1:72" x14ac:dyDescent="0.25">
      <c r="B5" s="25"/>
      <c r="C5" s="45" t="s">
        <v>209</v>
      </c>
      <c r="I5" s="148"/>
      <c r="J5" s="146"/>
      <c r="K5" s="121"/>
      <c r="L5" s="54"/>
      <c r="AN5" s="130" t="s">
        <v>213</v>
      </c>
      <c r="AO5" s="152">
        <f>'4c GA All'!F46/1000</f>
        <v>5.5485299999999915</v>
      </c>
      <c r="AP5" s="152">
        <f>'4c GA All'!G46/1000</f>
        <v>11.354272794799996</v>
      </c>
      <c r="AQ5" s="152">
        <f>'4c GA All'!H46/1000</f>
        <v>17.397251936436518</v>
      </c>
      <c r="AR5" s="152">
        <f>'4c GA All'!I46/1000</f>
        <v>25.049636557625824</v>
      </c>
      <c r="AS5" s="152">
        <f>'4c GA All'!J46/1000</f>
        <v>32.227274145732146</v>
      </c>
      <c r="AT5" s="152">
        <f>'4c GA All'!K46/1000</f>
        <v>39.258720739582593</v>
      </c>
      <c r="AU5" s="152">
        <f>'4c GA All'!L46/1000</f>
        <v>45.937617945524458</v>
      </c>
      <c r="AV5" s="152">
        <f>'4c GA All'!M46/1000</f>
        <v>53.50105414974356</v>
      </c>
      <c r="AW5" s="152">
        <f>'4c GA All'!N46/1000</f>
        <v>60.48752654273698</v>
      </c>
      <c r="AX5" s="152">
        <f>'4c GA All'!O46/1000</f>
        <v>66.952633611307746</v>
      </c>
      <c r="AY5" s="152">
        <f>'4c GA All'!P46/1000</f>
        <v>74.34937106510543</v>
      </c>
      <c r="AZ5" s="152">
        <f>'4c GA All'!Q46/1000</f>
        <v>81.467029578763373</v>
      </c>
      <c r="BA5" s="152">
        <f>'4c GA All'!R46/1000</f>
        <v>87.678067049720951</v>
      </c>
      <c r="BB5" s="152">
        <f>'4c GA All'!S46/1000</f>
        <v>93.431014643304906</v>
      </c>
      <c r="BC5" s="152">
        <f>'4c GA All'!T46/1000</f>
        <v>97.892767591929868</v>
      </c>
      <c r="BD5" s="152">
        <f>'4c GA All'!U46/1000</f>
        <v>102.1978681003918</v>
      </c>
      <c r="BE5" s="152">
        <f>'4c GA All'!V46/1000</f>
        <v>105.55718831466159</v>
      </c>
      <c r="BF5" s="152">
        <f>'4c GA All'!W46/1000</f>
        <v>107.98680983876012</v>
      </c>
      <c r="BG5" s="152">
        <f>'4c GA All'!X46/1000</f>
        <v>107.78863121052959</v>
      </c>
      <c r="BH5" s="152">
        <f>'4c GA All'!Y46/1000</f>
        <v>106.60849156631895</v>
      </c>
      <c r="BI5" s="152">
        <f>'4c GA All'!Z46/1000</f>
        <v>104.36652657348759</v>
      </c>
      <c r="BJ5" s="152">
        <f>'4c GA All'!AA46/1000</f>
        <v>100.97552064663037</v>
      </c>
      <c r="BK5" s="152">
        <f>'4c GA All'!AB46/1000</f>
        <v>96.340400503081753</v>
      </c>
      <c r="BL5" s="152">
        <f>'4c GA All'!AC46/1000</f>
        <v>90.357691435036244</v>
      </c>
      <c r="BM5" s="152">
        <f>'4c GA All'!AD46/1000</f>
        <v>82.914933856369316</v>
      </c>
      <c r="BN5" s="152">
        <f>'4c GA All'!AE46/1000</f>
        <v>73.890057516648284</v>
      </c>
      <c r="BO5" s="152">
        <f>'4c GA All'!AF46/1000</f>
        <v>63.150710598644864</v>
      </c>
      <c r="BP5" s="152">
        <f>'4c GA All'!AG46/1000</f>
        <v>50.553540728206265</v>
      </c>
      <c r="BQ5" s="152">
        <f>'4c GA All'!AH46/1000</f>
        <v>35.94342472588022</v>
      </c>
      <c r="BR5" s="152">
        <f>'4c GA All'!AI46/1000</f>
        <v>19.152643717438995</v>
      </c>
      <c r="BS5" s="152">
        <f>'4c GA All'!AJ46/1000</f>
        <v>0</v>
      </c>
      <c r="BT5" s="152">
        <f>'4c GA All'!AK46/1000</f>
        <v>0</v>
      </c>
    </row>
    <row r="6" spans="1:72" ht="30" x14ac:dyDescent="0.25">
      <c r="B6" s="24" t="s">
        <v>210</v>
      </c>
      <c r="C6" s="128">
        <v>-27.02</v>
      </c>
      <c r="I6" s="145"/>
      <c r="J6" s="146"/>
      <c r="K6" s="55"/>
      <c r="L6" s="55"/>
      <c r="AN6" s="130" t="s">
        <v>214</v>
      </c>
      <c r="AO6" s="152">
        <f>AO5</f>
        <v>5.5485299999999915</v>
      </c>
      <c r="AP6" s="152">
        <f t="shared" ref="AP6:BT6" si="0">AP5-AO5</f>
        <v>5.8057427948000049</v>
      </c>
      <c r="AQ6" s="152">
        <f t="shared" si="0"/>
        <v>6.0429791416365219</v>
      </c>
      <c r="AR6" s="152">
        <f t="shared" si="0"/>
        <v>7.6523846211893058</v>
      </c>
      <c r="AS6" s="152">
        <f t="shared" si="0"/>
        <v>7.1776375881063217</v>
      </c>
      <c r="AT6" s="152">
        <f t="shared" si="0"/>
        <v>7.0314465938504469</v>
      </c>
      <c r="AU6" s="152">
        <f t="shared" si="0"/>
        <v>6.6788972059418654</v>
      </c>
      <c r="AV6" s="152">
        <f t="shared" si="0"/>
        <v>7.5634362042191015</v>
      </c>
      <c r="AW6" s="152">
        <f t="shared" si="0"/>
        <v>6.98647239299342</v>
      </c>
      <c r="AX6" s="152">
        <f t="shared" si="0"/>
        <v>6.4651070685707666</v>
      </c>
      <c r="AY6" s="152">
        <f t="shared" si="0"/>
        <v>7.3967374537976838</v>
      </c>
      <c r="AZ6" s="152">
        <f t="shared" si="0"/>
        <v>7.1176585136579433</v>
      </c>
      <c r="BA6" s="152">
        <f t="shared" si="0"/>
        <v>6.211037470957578</v>
      </c>
      <c r="BB6" s="152">
        <f t="shared" si="0"/>
        <v>5.7529475935839542</v>
      </c>
      <c r="BC6" s="152">
        <f t="shared" si="0"/>
        <v>4.4617529486249623</v>
      </c>
      <c r="BD6" s="152">
        <f t="shared" si="0"/>
        <v>4.3051005084619334</v>
      </c>
      <c r="BE6" s="152">
        <f t="shared" si="0"/>
        <v>3.3593202142697862</v>
      </c>
      <c r="BF6" s="152">
        <f t="shared" si="0"/>
        <v>2.4296215240985362</v>
      </c>
      <c r="BG6" s="152">
        <f t="shared" si="0"/>
        <v>-0.19817862823053645</v>
      </c>
      <c r="BH6" s="152">
        <f t="shared" si="0"/>
        <v>-1.1801396442106409</v>
      </c>
      <c r="BI6" s="152">
        <f t="shared" si="0"/>
        <v>-2.2419649928313561</v>
      </c>
      <c r="BJ6" s="152">
        <f t="shared" si="0"/>
        <v>-3.3910059268572184</v>
      </c>
      <c r="BK6" s="152">
        <f t="shared" si="0"/>
        <v>-4.6351201435486189</v>
      </c>
      <c r="BL6" s="152">
        <f t="shared" si="0"/>
        <v>-5.9827090680455086</v>
      </c>
      <c r="BM6" s="152">
        <f t="shared" si="0"/>
        <v>-7.442757578666928</v>
      </c>
      <c r="BN6" s="152">
        <f t="shared" si="0"/>
        <v>-9.0248763397210325</v>
      </c>
      <c r="BO6" s="152">
        <f t="shared" si="0"/>
        <v>-10.73934691800342</v>
      </c>
      <c r="BP6" s="152">
        <f t="shared" si="0"/>
        <v>-12.597169870438599</v>
      </c>
      <c r="BQ6" s="152">
        <f t="shared" si="0"/>
        <v>-14.610116002326045</v>
      </c>
      <c r="BR6" s="152">
        <f t="shared" si="0"/>
        <v>-16.790781008441225</v>
      </c>
      <c r="BS6" s="152">
        <f t="shared" si="0"/>
        <v>-19.152643717438995</v>
      </c>
      <c r="BT6" s="152">
        <f t="shared" si="0"/>
        <v>0</v>
      </c>
    </row>
    <row r="7" spans="1:72" x14ac:dyDescent="0.25">
      <c r="B7" s="24" t="s">
        <v>87</v>
      </c>
      <c r="C7" s="32">
        <v>9856.3916075683792</v>
      </c>
      <c r="D7" s="105" t="s">
        <v>234</v>
      </c>
      <c r="E7" s="50" t="s">
        <v>111</v>
      </c>
      <c r="I7" s="145"/>
      <c r="J7" s="146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5"/>
      <c r="J8" s="146"/>
    </row>
    <row r="9" spans="1:72" x14ac:dyDescent="0.25">
      <c r="B9" s="24" t="s">
        <v>187</v>
      </c>
      <c r="C9" s="126">
        <v>0</v>
      </c>
      <c r="I9" s="145"/>
      <c r="J9" s="146"/>
    </row>
    <row r="10" spans="1:72" x14ac:dyDescent="0.25">
      <c r="B10" s="24" t="s">
        <v>188</v>
      </c>
      <c r="C10" s="127">
        <v>0</v>
      </c>
      <c r="I10" s="145"/>
      <c r="J10" s="146"/>
      <c r="N10" s="129"/>
    </row>
    <row r="11" spans="1:72" x14ac:dyDescent="0.25">
      <c r="B11" s="24" t="s">
        <v>189</v>
      </c>
      <c r="C11" s="144">
        <v>4.0527962947874849E-2</v>
      </c>
      <c r="D11" s="105" t="s">
        <v>235</v>
      </c>
      <c r="I11" s="145"/>
      <c r="J11" s="146"/>
    </row>
    <row r="12" spans="1:72" x14ac:dyDescent="0.25">
      <c r="B12" s="24" t="s">
        <v>90</v>
      </c>
      <c r="C12" s="155">
        <v>5.1159999999999997E-2</v>
      </c>
    </row>
    <row r="13" spans="1:72" x14ac:dyDescent="0.25">
      <c r="B13" s="24" t="s">
        <v>106</v>
      </c>
      <c r="C13" s="60">
        <v>1000000000</v>
      </c>
      <c r="D13" s="105" t="s">
        <v>236</v>
      </c>
      <c r="E13" s="50" t="s">
        <v>111</v>
      </c>
    </row>
    <row r="14" spans="1:72" x14ac:dyDescent="0.25">
      <c r="B14" s="24" t="s">
        <v>107</v>
      </c>
      <c r="C14" s="155">
        <v>2020</v>
      </c>
    </row>
    <row r="15" spans="1:72" x14ac:dyDescent="0.25">
      <c r="B15" s="24" t="s">
        <v>108</v>
      </c>
      <c r="C15" s="155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'4c GA All'!C15-Calcs!D15)</f>
        <v>5.0022208597511053E-12</v>
      </c>
    </row>
    <row r="18" spans="2:4" x14ac:dyDescent="0.25">
      <c r="B18" s="24" t="s">
        <v>223</v>
      </c>
      <c r="C18" s="41" t="s">
        <v>224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6546.8396822350533</v>
      </c>
      <c r="G45" s="32">
        <v>6312.8009683873515</v>
      </c>
      <c r="H45" s="32">
        <v>6090.0106073254692</v>
      </c>
      <c r="I45" s="32">
        <v>5406.0865927360192</v>
      </c>
      <c r="J45" s="32">
        <v>4947.4572943661233</v>
      </c>
      <c r="K45" s="32">
        <v>5250.9270134839544</v>
      </c>
      <c r="L45" s="32">
        <v>5573.0111167069936</v>
      </c>
      <c r="M45" s="32">
        <v>5914.8513828480491</v>
      </c>
      <c r="N45" s="32">
        <v>6277.6596257449864</v>
      </c>
      <c r="O45" s="32">
        <v>6662.7219901056787</v>
      </c>
      <c r="P45" s="32">
        <v>7071.4035108537246</v>
      </c>
      <c r="Q45" s="32">
        <v>7505.1529521376988</v>
      </c>
      <c r="R45" s="32">
        <v>7965.507943158068</v>
      </c>
      <c r="S45" s="32">
        <v>8454.10042901817</v>
      </c>
      <c r="T45" s="32">
        <v>8972.6624559222873</v>
      </c>
      <c r="U45" s="32">
        <v>9523.0323112292881</v>
      </c>
      <c r="V45" s="32">
        <v>10107.161040128009</v>
      </c>
      <c r="W45" s="32">
        <v>10727.119362035928</v>
      </c>
      <c r="X45" s="32">
        <v>11385.105011239508</v>
      </c>
      <c r="Y45" s="32">
        <v>12083.450527798541</v>
      </c>
      <c r="Z45" s="32">
        <v>12824.631526333071</v>
      </c>
      <c r="AA45" s="32">
        <v>13611.275472005493</v>
      </c>
      <c r="AB45" s="32">
        <v>14446.170994808412</v>
      </c>
      <c r="AC45" s="32">
        <v>15332.277775177163</v>
      </c>
      <c r="AD45" s="32">
        <v>16272.737035971188</v>
      </c>
      <c r="AE45" s="32">
        <v>17270.88267801805</v>
      </c>
      <c r="AF45" s="32">
        <v>18330.253098695252</v>
      </c>
      <c r="AG45" s="32">
        <v>19454.603735446432</v>
      </c>
      <c r="AH45" s="32">
        <v>20647.920378698233</v>
      </c>
      <c r="AI45" s="32">
        <v>21914.433301371919</v>
      </c>
      <c r="AJ45" s="32">
        <v>23258.632255078261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5548.5299999999916</v>
      </c>
      <c r="G46" s="32">
        <v>11354.272794799996</v>
      </c>
      <c r="H46" s="32">
        <v>17397.251936436518</v>
      </c>
      <c r="I46" s="32">
        <v>25049.636557625825</v>
      </c>
      <c r="J46" s="32">
        <v>32227.274145732146</v>
      </c>
      <c r="K46" s="32">
        <v>39258.72073958259</v>
      </c>
      <c r="L46" s="32">
        <v>45937.617945524456</v>
      </c>
      <c r="M46" s="32">
        <v>53501.054149743562</v>
      </c>
      <c r="N46" s="32">
        <v>60487.526542736981</v>
      </c>
      <c r="O46" s="32">
        <v>66952.633611307741</v>
      </c>
      <c r="P46" s="32">
        <v>74349.371065105428</v>
      </c>
      <c r="Q46" s="32">
        <v>81467.02957876338</v>
      </c>
      <c r="R46" s="32">
        <v>87678.06704972095</v>
      </c>
      <c r="S46" s="32">
        <v>93431.014643304909</v>
      </c>
      <c r="T46" s="32">
        <v>97892.767591929864</v>
      </c>
      <c r="U46" s="32">
        <v>102197.8681003918</v>
      </c>
      <c r="V46" s="32">
        <v>105557.18831466159</v>
      </c>
      <c r="W46" s="32">
        <v>107986.80983876012</v>
      </c>
      <c r="X46" s="32">
        <v>107788.63121052958</v>
      </c>
      <c r="Y46" s="32">
        <v>106608.49156631895</v>
      </c>
      <c r="Z46" s="32">
        <v>104366.52657348759</v>
      </c>
      <c r="AA46" s="32">
        <v>100975.52064663038</v>
      </c>
      <c r="AB46" s="32">
        <v>96340.40050308175</v>
      </c>
      <c r="AC46" s="32">
        <v>90357.691435036249</v>
      </c>
      <c r="AD46" s="32">
        <v>82914.933856369316</v>
      </c>
      <c r="AE46" s="32">
        <v>73890.057516648289</v>
      </c>
      <c r="AF46" s="32">
        <v>63150.710598644866</v>
      </c>
      <c r="AG46" s="32">
        <v>50553.540728206266</v>
      </c>
      <c r="AH46" s="32">
        <v>35943.424725880221</v>
      </c>
      <c r="AI46" s="32">
        <v>19152.643717438994</v>
      </c>
      <c r="AJ46" s="32">
        <v>0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124.92823261808918</v>
      </c>
      <c r="G54" s="32">
        <v>127.64910298964925</v>
      </c>
      <c r="H54" s="32">
        <v>130.42940006702131</v>
      </c>
      <c r="I54" s="32">
        <v>132.62742368871548</v>
      </c>
      <c r="J54" s="32">
        <v>135.83133780473958</v>
      </c>
      <c r="K54" s="32">
        <v>142.43734231555561</v>
      </c>
      <c r="L54" s="32">
        <v>151.83219186128485</v>
      </c>
      <c r="M54" s="32">
        <v>151.06079685228903</v>
      </c>
      <c r="N54" s="32">
        <v>166.2813819066283</v>
      </c>
      <c r="O54" s="32">
        <v>166.713260969674</v>
      </c>
      <c r="P54" s="32">
        <v>173.00624382582311</v>
      </c>
      <c r="Q54" s="32">
        <v>177.6316143799782</v>
      </c>
      <c r="R54" s="32">
        <v>184.62960845266431</v>
      </c>
      <c r="S54" s="32">
        <v>191.79489754184883</v>
      </c>
      <c r="T54" s="32">
        <v>204.44666776328685</v>
      </c>
      <c r="U54" s="32">
        <v>209.1904230388491</v>
      </c>
      <c r="V54" s="32">
        <v>218.42994681113964</v>
      </c>
      <c r="W54" s="32">
        <v>226.62787603623426</v>
      </c>
      <c r="X54" s="32">
        <v>239.76295612102564</v>
      </c>
      <c r="Y54" s="32">
        <v>246.40862644386584</v>
      </c>
      <c r="Z54" s="32">
        <v>253.18963928482984</v>
      </c>
      <c r="AA54" s="32">
        <v>260.12388613758236</v>
      </c>
      <c r="AB54" s="32">
        <v>267.22973475165077</v>
      </c>
      <c r="AC54" s="32">
        <v>274.52608454720217</v>
      </c>
      <c r="AD54" s="32">
        <v>282.03242370658529</v>
      </c>
      <c r="AE54" s="32">
        <v>289.76888811535144</v>
      </c>
      <c r="AF54" s="32">
        <v>297.75632233126515</v>
      </c>
      <c r="AG54" s="32">
        <v>306.01634276615835</v>
      </c>
      <c r="AH54" s="32">
        <v>314.57140327237937</v>
      </c>
      <c r="AI54" s="32">
        <v>323.44486333307435</v>
      </c>
      <c r="AJ54" s="32">
        <v>332.66105906362299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-35.289899999999946</v>
      </c>
      <c r="G55" s="37">
        <v>-35.120400000000032</v>
      </c>
      <c r="H55" s="37">
        <v>-34.984800000000035</v>
      </c>
      <c r="I55" s="37">
        <v>-43.312899999999985</v>
      </c>
      <c r="J55" s="37">
        <v>-37.764600000000002</v>
      </c>
      <c r="K55" s="37">
        <v>-34.476271896016442</v>
      </c>
      <c r="L55" s="37">
        <v>-29.914119042050913</v>
      </c>
      <c r="M55" s="37">
        <v>-33.391060017004691</v>
      </c>
      <c r="N55" s="37">
        <v>-27.217206642700887</v>
      </c>
      <c r="O55" s="37">
        <v>-21.741632365495036</v>
      </c>
      <c r="P55" s="37">
        <v>-25.437139193282064</v>
      </c>
      <c r="Q55" s="37">
        <v>-21.225866968202439</v>
      </c>
      <c r="R55" s="37">
        <v>-13.086626627298585</v>
      </c>
      <c r="S55" s="37">
        <v>-8.0605529952261463</v>
      </c>
      <c r="T55" s="37">
        <v>2.023682191716631</v>
      </c>
      <c r="U55" s="37">
        <v>4.4407784428644277</v>
      </c>
      <c r="V55" s="37">
        <v>11.724068317032533</v>
      </c>
      <c r="W55" s="37">
        <v>18.505983117217994</v>
      </c>
      <c r="X55" s="37">
        <v>35.168524824026775</v>
      </c>
      <c r="Y55" s="37">
        <v>40.970177284928951</v>
      </c>
      <c r="Z55" s="37">
        <v>46.903690418692776</v>
      </c>
      <c r="AA55" s="37">
        <v>52.986941355250934</v>
      </c>
      <c r="AB55" s="37">
        <v>59.238283421143677</v>
      </c>
      <c r="AC55" s="37">
        <v>65.676601554051587</v>
      </c>
      <c r="AD55" s="37">
        <v>72.321369394091903</v>
      </c>
      <c r="AE55" s="37">
        <v>79.192708224593133</v>
      </c>
      <c r="AF55" s="37">
        <v>86.311447940858045</v>
      </c>
      <c r="AG55" s="37">
        <v>93.699190231769478</v>
      </c>
      <c r="AH55" s="37">
        <v>101.37837416598981</v>
      </c>
      <c r="AI55" s="37">
        <v>109.3723443819917</v>
      </c>
      <c r="AJ55" s="37">
        <v>117.70542208924235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01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02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03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04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AM34"/>
  <sheetViews>
    <sheetView zoomScale="70" zoomScaleNormal="70" workbookViewId="0">
      <selection activeCell="C6" sqref="C6"/>
    </sheetView>
  </sheetViews>
  <sheetFormatPr defaultRowHeight="15" x14ac:dyDescent="0.25"/>
  <cols>
    <col min="2" max="2" width="60.5703125" bestFit="1" customWidth="1"/>
    <col min="3" max="3" width="21.28515625" bestFit="1" customWidth="1"/>
    <col min="4" max="4" width="12.7109375" bestFit="1" customWidth="1"/>
    <col min="5" max="6" width="10.5703125" bestFit="1" customWidth="1"/>
    <col min="7" max="20" width="11.5703125" bestFit="1" customWidth="1"/>
    <col min="21" max="21" width="15.85546875" bestFit="1" customWidth="1"/>
    <col min="22" max="22" width="11.7109375" bestFit="1" customWidth="1"/>
    <col min="23" max="23" width="10.140625" customWidth="1"/>
    <col min="24" max="29" width="10.140625" bestFit="1" customWidth="1"/>
    <col min="30" max="30" width="9.7109375" bestFit="1" customWidth="1"/>
    <col min="31" max="31" width="10.140625" bestFit="1" customWidth="1"/>
    <col min="32" max="34" width="9.7109375" bestFit="1" customWidth="1"/>
  </cols>
  <sheetData>
    <row r="1" spans="2:39" s="19" customFormat="1" x14ac:dyDescent="0.25"/>
    <row r="2" spans="2:39" s="19" customFormat="1" x14ac:dyDescent="0.25">
      <c r="B2" s="20"/>
    </row>
    <row r="3" spans="2:39" s="19" customFormat="1" x14ac:dyDescent="0.25">
      <c r="B3" s="19" t="s">
        <v>196</v>
      </c>
      <c r="C3" s="39">
        <f>-Summary!C8</f>
        <v>0.11387578209023597</v>
      </c>
      <c r="D3" s="33"/>
    </row>
    <row r="4" spans="2:39" s="53" customFormat="1" x14ac:dyDescent="0.25">
      <c r="B4" s="53" t="s">
        <v>191</v>
      </c>
      <c r="C4" s="32">
        <f>Summary!C9</f>
        <v>0</v>
      </c>
      <c r="D4" s="33"/>
    </row>
    <row r="5" spans="2:39" s="105" customFormat="1" x14ac:dyDescent="0.25">
      <c r="B5" s="105" t="s">
        <v>192</v>
      </c>
      <c r="C5" s="122">
        <f>Summary!C10</f>
        <v>0</v>
      </c>
      <c r="D5" s="33"/>
    </row>
    <row r="6" spans="2:39" x14ac:dyDescent="0.25">
      <c r="B6" t="s">
        <v>190</v>
      </c>
      <c r="C6" s="122">
        <f>Summary!C11</f>
        <v>0</v>
      </c>
    </row>
    <row r="7" spans="2:39" s="19" customFormat="1" x14ac:dyDescent="0.25">
      <c r="B7" s="19" t="s">
        <v>197</v>
      </c>
      <c r="C7" s="19">
        <f>Summary!C14</f>
        <v>2020</v>
      </c>
    </row>
    <row r="8" spans="2:39" s="19" customFormat="1" x14ac:dyDescent="0.25">
      <c r="B8" s="19" t="s">
        <v>108</v>
      </c>
      <c r="C8" s="19">
        <f>Summary!C15</f>
        <v>2047</v>
      </c>
    </row>
    <row r="9" spans="2:39" s="19" customFormat="1" x14ac:dyDescent="0.25">
      <c r="B9" s="19" t="s">
        <v>198</v>
      </c>
      <c r="C9" s="19">
        <f>Summary!C16</f>
        <v>0</v>
      </c>
    </row>
    <row r="10" spans="2:39" x14ac:dyDescent="0.25">
      <c r="B10" s="7" t="s">
        <v>199</v>
      </c>
      <c r="C10" s="7">
        <f>Summary!C12</f>
        <v>5.1159999999999997E-2</v>
      </c>
    </row>
    <row r="11" spans="2:39" s="19" customFormat="1" x14ac:dyDescent="0.25">
      <c r="B11" s="19" t="s">
        <v>200</v>
      </c>
      <c r="C11" s="19">
        <f>Summary!C13</f>
        <v>3524.4919079530305</v>
      </c>
    </row>
    <row r="12" spans="2:39" s="53" customFormat="1" x14ac:dyDescent="0.25">
      <c r="C12" s="39"/>
      <c r="P12" s="22"/>
      <c r="U12" s="53" t="s">
        <v>129</v>
      </c>
      <c r="V12" s="53">
        <f>AVERAGE(O16:U16)</f>
        <v>-7.0826129140114907E-2</v>
      </c>
      <c r="X12" s="61"/>
    </row>
    <row r="13" spans="2:39" s="105" customFormat="1" x14ac:dyDescent="0.25">
      <c r="C13" s="39"/>
      <c r="P13" s="22"/>
      <c r="X13" s="61"/>
    </row>
    <row r="14" spans="2:39" x14ac:dyDescent="0.25">
      <c r="Q14" s="53"/>
      <c r="R14" s="53"/>
      <c r="S14" s="53"/>
      <c r="T14" s="53"/>
      <c r="U14" s="53"/>
      <c r="V14" s="53"/>
    </row>
    <row r="15" spans="2:39" x14ac:dyDescent="0.25">
      <c r="C15" s="19">
        <v>2016</v>
      </c>
      <c r="D15" s="19">
        <v>2017</v>
      </c>
      <c r="E15" s="19">
        <v>2018</v>
      </c>
      <c r="F15" s="19">
        <v>2019</v>
      </c>
      <c r="G15" s="19">
        <v>2020</v>
      </c>
      <c r="H15" s="19">
        <v>2021</v>
      </c>
      <c r="I15" s="19">
        <v>2022</v>
      </c>
      <c r="J15" s="19">
        <v>2023</v>
      </c>
      <c r="K15" s="19">
        <v>2024</v>
      </c>
      <c r="L15" s="19">
        <v>2025</v>
      </c>
      <c r="M15" s="19">
        <v>2026</v>
      </c>
      <c r="N15" s="19">
        <v>2027</v>
      </c>
      <c r="O15" s="19">
        <v>2028</v>
      </c>
      <c r="P15" s="19">
        <v>2029</v>
      </c>
      <c r="Q15" s="19">
        <v>2030</v>
      </c>
      <c r="R15" s="19">
        <v>2031</v>
      </c>
      <c r="S15" s="19">
        <v>2032</v>
      </c>
      <c r="T15" s="19">
        <v>2033</v>
      </c>
      <c r="U15" s="19">
        <v>2034</v>
      </c>
      <c r="V15" s="19">
        <v>2035</v>
      </c>
      <c r="W15" s="53">
        <v>2036</v>
      </c>
      <c r="X15" s="53">
        <v>2037</v>
      </c>
      <c r="Y15" s="53">
        <v>2038</v>
      </c>
      <c r="Z15" s="53">
        <v>2039</v>
      </c>
      <c r="AA15" s="53">
        <v>2040</v>
      </c>
      <c r="AB15" s="53">
        <v>2041</v>
      </c>
      <c r="AC15" s="53">
        <v>2042</v>
      </c>
      <c r="AD15" s="53">
        <v>2043</v>
      </c>
      <c r="AE15" s="53">
        <v>2044</v>
      </c>
      <c r="AF15" s="53">
        <v>2045</v>
      </c>
      <c r="AG15" s="53">
        <v>2046</v>
      </c>
      <c r="AH15" s="53">
        <v>2047</v>
      </c>
      <c r="AI15" s="53">
        <v>2048</v>
      </c>
      <c r="AJ15" s="53">
        <v>2049</v>
      </c>
      <c r="AK15" s="53">
        <v>2050</v>
      </c>
      <c r="AL15" s="53"/>
      <c r="AM15" s="53"/>
    </row>
    <row r="16" spans="2:39" s="53" customFormat="1" x14ac:dyDescent="0.25">
      <c r="B16" s="53" t="s">
        <v>121</v>
      </c>
      <c r="D16" s="62">
        <f>D17/C17-1</f>
        <v>-2.0528460772832324E-2</v>
      </c>
      <c r="E16" s="62">
        <f t="shared" ref="E16:V16" si="0">E17/D17-1</f>
        <v>-4.0738009238278305E-2</v>
      </c>
      <c r="F16" s="62">
        <f t="shared" si="0"/>
        <v>-3.6277275516799823E-2</v>
      </c>
      <c r="G16" s="62">
        <f t="shared" si="0"/>
        <v>3.2697592642814133E-2</v>
      </c>
      <c r="H16" s="62">
        <f t="shared" si="0"/>
        <v>-0.12635083908591327</v>
      </c>
      <c r="I16" s="62">
        <f t="shared" si="0"/>
        <v>-3.8588052672467121E-2</v>
      </c>
      <c r="J16" s="62">
        <f t="shared" si="0"/>
        <v>-5.5582704246977088E-2</v>
      </c>
      <c r="K16" s="62">
        <f t="shared" si="0"/>
        <v>6.5064956698410947E-2</v>
      </c>
      <c r="L16" s="62">
        <f t="shared" si="0"/>
        <v>-7.2565101080753869E-2</v>
      </c>
      <c r="M16" s="62">
        <f t="shared" si="0"/>
        <v>-5.8962490135786805E-2</v>
      </c>
      <c r="N16" s="62">
        <f t="shared" si="0"/>
        <v>7.1441092178392784E-2</v>
      </c>
      <c r="O16" s="62">
        <f t="shared" si="0"/>
        <v>-3.9472236264691984E-2</v>
      </c>
      <c r="P16" s="62">
        <f t="shared" si="0"/>
        <v>-9.304420394660462E-2</v>
      </c>
      <c r="Q16" s="62">
        <f t="shared" si="0"/>
        <v>-5.4404670951179956E-2</v>
      </c>
      <c r="R16" s="62">
        <f t="shared" si="0"/>
        <v>-0.12720846247163597</v>
      </c>
      <c r="S16" s="62">
        <f t="shared" si="0"/>
        <v>-7.8034046255356371E-3</v>
      </c>
      <c r="T16" s="62">
        <f t="shared" si="0"/>
        <v>-9.0605019172098511E-2</v>
      </c>
      <c r="U16" s="62">
        <f t="shared" si="0"/>
        <v>-8.3244906549057696E-2</v>
      </c>
      <c r="V16" s="62">
        <f t="shared" si="0"/>
        <v>-0.29396975686510796</v>
      </c>
    </row>
    <row r="17" spans="2:37" s="53" customFormat="1" x14ac:dyDescent="0.25">
      <c r="B17" s="53" t="s">
        <v>211</v>
      </c>
      <c r="C17" s="22">
        <f>'IESO HOEP-GA'!C26</f>
        <v>90.857322870794135</v>
      </c>
      <c r="D17" s="22">
        <f>'IESO HOEP-GA'!D26</f>
        <v>88.992161882316481</v>
      </c>
      <c r="E17" s="22">
        <f>'IESO HOEP-GA'!E26</f>
        <v>85.366798369420309</v>
      </c>
      <c r="F17" s="22">
        <f>'IESO HOEP-GA'!F26</f>
        <v>82.269923504985755</v>
      </c>
      <c r="G17" s="22">
        <f>'IESO HOEP-GA'!G26</f>
        <v>84.959951950507261</v>
      </c>
      <c r="H17" s="22">
        <f>'IESO HOEP-GA'!H26</f>
        <v>74.22519073286179</v>
      </c>
      <c r="I17" s="22">
        <f>'IESO HOEP-GA'!I26</f>
        <v>71.360985163238198</v>
      </c>
      <c r="J17" s="22">
        <f>'IESO HOEP-GA'!J26</f>
        <v>67.39454863013701</v>
      </c>
      <c r="K17" s="22">
        <f>'IESO HOEP-GA'!K26</f>
        <v>71.779572018465828</v>
      </c>
      <c r="L17" s="22">
        <f>'IESO HOEP-GA'!L26</f>
        <v>66.570880119412607</v>
      </c>
      <c r="M17" s="22">
        <f>'IESO HOEP-GA'!M26</f>
        <v>62.645695257041098</v>
      </c>
      <c r="N17" s="22">
        <f>'IESO HOEP-GA'!N26</f>
        <v>67.12117214647887</v>
      </c>
      <c r="O17" s="22">
        <f>'IESO HOEP-GA'!O26</f>
        <v>64.471749381149991</v>
      </c>
      <c r="P17" s="22">
        <f>'IESO HOEP-GA'!P26</f>
        <v>58.473026782935889</v>
      </c>
      <c r="Q17" s="22">
        <f>'IESO HOEP-GA'!Q26</f>
        <v>55.291821001290728</v>
      </c>
      <c r="R17" s="22">
        <f>'IESO HOEP-GA'!R26</f>
        <v>48.258233464459622</v>
      </c>
      <c r="S17" s="22">
        <f>'IESO HOEP-GA'!S26</f>
        <v>47.88165494222288</v>
      </c>
      <c r="T17" s="22">
        <f>'IESO HOEP-GA'!T26</f>
        <v>43.543336678190968</v>
      </c>
      <c r="U17" s="22">
        <f>'IESO HOEP-GA'!U26</f>
        <v>39.918575685580805</v>
      </c>
      <c r="V17" s="22">
        <f>'IESO HOEP-GA'!V26</f>
        <v>28.183721696889208</v>
      </c>
    </row>
    <row r="18" spans="2:37" s="53" customFormat="1" x14ac:dyDescent="0.25">
      <c r="B18" s="53" t="s">
        <v>212</v>
      </c>
      <c r="W18" s="22">
        <f>V17*(1+V12)</f>
        <v>26.187577784336277</v>
      </c>
      <c r="X18" s="22">
        <f>W18*(1+$V$12)</f>
        <v>24.332813018316074</v>
      </c>
      <c r="Y18" s="22">
        <f t="shared" ref="Y18:AI18" si="1">X18*(1+$V$12)</f>
        <v>22.609414061138551</v>
      </c>
      <c r="Z18" s="22">
        <f t="shared" si="1"/>
        <v>21.008076781062023</v>
      </c>
      <c r="AA18" s="22">
        <f t="shared" si="1"/>
        <v>19.520156021981077</v>
      </c>
      <c r="AB18" s="22">
        <f t="shared" si="1"/>
        <v>18.137618930733055</v>
      </c>
      <c r="AC18" s="22">
        <f t="shared" si="1"/>
        <v>16.853001590050763</v>
      </c>
      <c r="AD18" s="22">
        <f t="shared" si="1"/>
        <v>15.659368723035266</v>
      </c>
      <c r="AE18" s="22">
        <f t="shared" si="1"/>
        <v>14.550276251604895</v>
      </c>
      <c r="AF18" s="22">
        <f t="shared" si="1"/>
        <v>13.51973650678438</v>
      </c>
      <c r="AG18" s="22">
        <f t="shared" si="1"/>
        <v>12.562185903014544</v>
      </c>
      <c r="AH18" s="22">
        <f t="shared" si="1"/>
        <v>11.672454901965505</v>
      </c>
      <c r="AI18" s="22">
        <f t="shared" si="1"/>
        <v>10.845740103696729</v>
      </c>
      <c r="AJ18" s="22">
        <f t="shared" ref="AJ18" si="2">AI18*(1+$V$12)</f>
        <v>10.077578314492181</v>
      </c>
      <c r="AK18" s="22">
        <f t="shared" ref="AK18" si="3">AJ18*(1+$V$12)</f>
        <v>9.3638224513703356</v>
      </c>
    </row>
    <row r="19" spans="2:37" x14ac:dyDescent="0.25">
      <c r="B19" t="s">
        <v>211</v>
      </c>
      <c r="C19" s="22">
        <f>C17+C18</f>
        <v>90.857322870794135</v>
      </c>
      <c r="D19" s="22">
        <f t="shared" ref="D19:AH19" si="4">D17+D18</f>
        <v>88.992161882316481</v>
      </c>
      <c r="E19" s="22">
        <f t="shared" si="4"/>
        <v>85.366798369420309</v>
      </c>
      <c r="F19" s="22">
        <f t="shared" si="4"/>
        <v>82.269923504985755</v>
      </c>
      <c r="G19" s="22">
        <f t="shared" si="4"/>
        <v>84.959951950507261</v>
      </c>
      <c r="H19" s="22">
        <f t="shared" si="4"/>
        <v>74.22519073286179</v>
      </c>
      <c r="I19" s="22">
        <f t="shared" si="4"/>
        <v>71.360985163238198</v>
      </c>
      <c r="J19" s="22">
        <f t="shared" si="4"/>
        <v>67.39454863013701</v>
      </c>
      <c r="K19" s="22">
        <f t="shared" si="4"/>
        <v>71.779572018465828</v>
      </c>
      <c r="L19" s="22">
        <f t="shared" si="4"/>
        <v>66.570880119412607</v>
      </c>
      <c r="M19" s="22">
        <f t="shared" si="4"/>
        <v>62.645695257041098</v>
      </c>
      <c r="N19" s="22">
        <f t="shared" si="4"/>
        <v>67.12117214647887</v>
      </c>
      <c r="O19" s="22">
        <f t="shared" si="4"/>
        <v>64.471749381149991</v>
      </c>
      <c r="P19" s="22">
        <f t="shared" si="4"/>
        <v>58.473026782935889</v>
      </c>
      <c r="Q19" s="22">
        <f t="shared" si="4"/>
        <v>55.291821001290728</v>
      </c>
      <c r="R19" s="22">
        <f t="shared" si="4"/>
        <v>48.258233464459622</v>
      </c>
      <c r="S19" s="22">
        <f t="shared" si="4"/>
        <v>47.88165494222288</v>
      </c>
      <c r="T19" s="22">
        <f t="shared" si="4"/>
        <v>43.543336678190968</v>
      </c>
      <c r="U19" s="22">
        <f t="shared" si="4"/>
        <v>39.918575685580805</v>
      </c>
      <c r="V19" s="22">
        <f t="shared" si="4"/>
        <v>28.183721696889208</v>
      </c>
      <c r="W19" s="22">
        <f t="shared" si="4"/>
        <v>26.187577784336277</v>
      </c>
      <c r="X19" s="22">
        <f t="shared" si="4"/>
        <v>24.332813018316074</v>
      </c>
      <c r="Y19" s="22">
        <f t="shared" si="4"/>
        <v>22.609414061138551</v>
      </c>
      <c r="Z19" s="22">
        <f t="shared" si="4"/>
        <v>21.008076781062023</v>
      </c>
      <c r="AA19" s="22">
        <f t="shared" si="4"/>
        <v>19.520156021981077</v>
      </c>
      <c r="AB19" s="22">
        <f t="shared" si="4"/>
        <v>18.137618930733055</v>
      </c>
      <c r="AC19" s="22">
        <f t="shared" si="4"/>
        <v>16.853001590050763</v>
      </c>
      <c r="AD19" s="22">
        <f t="shared" si="4"/>
        <v>15.659368723035266</v>
      </c>
      <c r="AE19" s="22">
        <f t="shared" si="4"/>
        <v>14.550276251604895</v>
      </c>
      <c r="AF19" s="22">
        <f t="shared" si="4"/>
        <v>13.51973650678438</v>
      </c>
      <c r="AG19" s="22">
        <f t="shared" si="4"/>
        <v>12.562185903014544</v>
      </c>
      <c r="AH19" s="22">
        <f t="shared" si="4"/>
        <v>11.672454901965505</v>
      </c>
      <c r="AI19" s="22">
        <f t="shared" ref="AI19:AK19" si="5">AI17+AI18</f>
        <v>10.845740103696729</v>
      </c>
      <c r="AJ19" s="22">
        <f t="shared" si="5"/>
        <v>10.077578314492181</v>
      </c>
      <c r="AK19" s="22">
        <f t="shared" si="5"/>
        <v>9.3638224513703356</v>
      </c>
    </row>
    <row r="20" spans="2:37" s="19" customFormat="1" x14ac:dyDescent="0.25">
      <c r="B20" s="19" t="s">
        <v>84</v>
      </c>
      <c r="C20" s="22"/>
      <c r="D20" s="37">
        <f>D19*('Residential Bill'!$D$2/'Residential Bill'!$D$3)*'Residential Bill'!C8</f>
        <v>11858.205570818671</v>
      </c>
      <c r="E20" s="37">
        <f>E19*('Residential Bill'!$D$2/'Residential Bill'!$D$3)*'Residential Bill'!D8</f>
        <v>11375.125882725257</v>
      </c>
      <c r="F20" s="37">
        <f>F19*('Residential Bill'!$D$2/'Residential Bill'!$D$3)*'Residential Bill'!E8</f>
        <v>10885.806696500615</v>
      </c>
      <c r="G20" s="37">
        <f>G19*('Residential Bill'!$D$2/'Residential Bill'!$D$3)*'Residential Bill'!F8</f>
        <v>11241.74636945121</v>
      </c>
      <c r="H20" s="37">
        <f>H19*('Residential Bill'!$D$2/'Residential Bill'!$D$3)*'Residential Bill'!G8</f>
        <v>9821.3422828800303</v>
      </c>
      <c r="I20" s="37">
        <f>I19*('Residential Bill'!$D$2/'Residential Bill'!$D$3)*'Residential Bill'!H8</f>
        <v>9442.3558095539247</v>
      </c>
      <c r="J20" s="37">
        <f>J19*('Residential Bill'!$D$2/'Residential Bill'!$D$3)*'Residential Bill'!I8</f>
        <v>8917.5241391967647</v>
      </c>
      <c r="K20" s="37">
        <f>K19*('Residential Bill'!$D$2/'Residential Bill'!$D$3)*'Residential Bill'!J8</f>
        <v>9497.7424611706374</v>
      </c>
      <c r="L20" s="37">
        <f>L19*('Residential Bill'!$D$2/'Residential Bill'!$D$3)*'Residential Bill'!K8</f>
        <v>8808.5378194368222</v>
      </c>
      <c r="M20" s="37">
        <f>M19*('Residential Bill'!$D$2/'Residential Bill'!$D$3)*'Residential Bill'!L8</f>
        <v>8230.7900972944208</v>
      </c>
      <c r="N20" s="37">
        <f>N19*('Residential Bill'!$D$2/'Residential Bill'!$D$3)*'Residential Bill'!M8</f>
        <v>8881.351459927273</v>
      </c>
      <c r="O20" s="37">
        <f>O19*('Residential Bill'!$D$2/'Residential Bill'!$D$3)*'Residential Bill'!N8</f>
        <v>8530.7846567512552</v>
      </c>
      <c r="P20" s="37">
        <f>P19*('Residential Bill'!$D$2/'Residential Bill'!$D$3)*'Residential Bill'!O8</f>
        <v>7737.0445893239257</v>
      </c>
      <c r="Q20" s="37">
        <f>Q19*('Residential Bill'!$D$2/'Residential Bill'!$D$3)*'Residential Bill'!P8</f>
        <v>7367.6351484219895</v>
      </c>
      <c r="R20" s="37">
        <f>R19*('Residential Bill'!$D$2/'Residential Bill'!$D$3)*'Residential Bill'!Q8</f>
        <v>6430.4096091392439</v>
      </c>
      <c r="S20" s="37">
        <f>S19*('Residential Bill'!$D$2/'Residential Bill'!$D$3)*'Residential Bill'!R8</f>
        <v>6424.8475177019063</v>
      </c>
      <c r="T20" s="37">
        <f>T19*('Residential Bill'!$D$2/'Residential Bill'!$D$3)*'Residential Bill'!S8</f>
        <v>5883.2985579964843</v>
      </c>
      <c r="U20" s="37">
        <f>U19*('Residential Bill'!$D$2/'Residential Bill'!$D$3)*'Residential Bill'!T8</f>
        <v>5430.7407739519704</v>
      </c>
      <c r="V20" s="37">
        <f>V19*('Residential Bill'!$D$2/'Residential Bill'!$D$3)*'Residential Bill'!U8</f>
        <v>3886.7914376528115</v>
      </c>
      <c r="W20" s="37">
        <f>W19*('Residential Bill'!$D$2/'Residential Bill'!$D$3)*'Residential Bill'!V8</f>
        <v>3626.5378743836122</v>
      </c>
      <c r="X20" s="37">
        <f>X19*('Residential Bill'!$D$2/'Residential Bill'!$D$3)*'Residential Bill'!W8</f>
        <v>3383.710488536276</v>
      </c>
      <c r="Y20" s="37">
        <f>Y19*('Residential Bill'!$D$2/'Residential Bill'!$D$3)*'Residential Bill'!X8</f>
        <v>3157.1424501326692</v>
      </c>
      <c r="Z20" s="37">
        <f>Z19*('Residential Bill'!$D$2/'Residential Bill'!$D$3)*'Residential Bill'!Y8</f>
        <v>2945.7450583313571</v>
      </c>
      <c r="AA20" s="37">
        <f>AA19*('Residential Bill'!$D$2/'Residential Bill'!$D$3)*'Residential Bill'!Z8</f>
        <v>2748.5025100210373</v>
      </c>
      <c r="AB20" s="37">
        <f>AB19*('Residential Bill'!$D$2/'Residential Bill'!$D$3)*'Residential Bill'!AA8</f>
        <v>2564.4670187009065</v>
      </c>
      <c r="AC20" s="37">
        <f>AC19*('Residential Bill'!$D$2/'Residential Bill'!$D$3)*'Residential Bill'!AB8</f>
        <v>2392.7542601932632</v>
      </c>
      <c r="AD20" s="37">
        <f>AD19*('Residential Bill'!$D$2/'Residential Bill'!$D$3)*'Residential Bill'!AC8</f>
        <v>2232.5391233041819</v>
      </c>
      <c r="AE20" s="37">
        <f>AE19*('Residential Bill'!$D$2/'Residential Bill'!$D$3)*'Residential Bill'!AD8</f>
        <v>2083.0517450133925</v>
      </c>
      <c r="AF20" s="37">
        <f>AF19*('Residential Bill'!$D$2/'Residential Bill'!$D$3)*'Residential Bill'!AE8</f>
        <v>1943.5738111417361</v>
      </c>
      <c r="AG20" s="37">
        <f>AG19*('Residential Bill'!$D$2/'Residential Bill'!$D$3)*'Residential Bill'!AF8</f>
        <v>1813.4351047202267</v>
      </c>
      <c r="AH20" s="37">
        <f>AH19*('Residential Bill'!$D$2/'Residential Bill'!$D$3)*'Residential Bill'!AG8</f>
        <v>1692.0102854749985</v>
      </c>
      <c r="AI20" s="37">
        <f>AI19*('Residential Bill'!$D$2/'Residential Bill'!$D$3)*'Residential Bill'!AH8</f>
        <v>1578.715884952976</v>
      </c>
      <c r="AJ20" s="37">
        <f>AJ19*('Residential Bill'!$D$2/'Residential Bill'!$D$3)*'Residential Bill'!AI8</f>
        <v>1473.0075028493</v>
      </c>
      <c r="AK20" s="37">
        <f>AK19*('Residential Bill'!$D$2/'Residential Bill'!$D$3)*'Residential Bill'!AJ8</f>
        <v>1374.3771910643436</v>
      </c>
    </row>
    <row r="21" spans="2:37" x14ac:dyDescent="0.25">
      <c r="B21" t="s">
        <v>86</v>
      </c>
      <c r="D21" s="32">
        <f t="shared" ref="D21:AK21" si="6">D20*1.02^(D15-2016)</f>
        <v>12095.369682235045</v>
      </c>
      <c r="E21" s="32">
        <f t="shared" si="6"/>
        <v>11834.680968387356</v>
      </c>
      <c r="F21" s="32">
        <f t="shared" si="6"/>
        <v>11552.105152780023</v>
      </c>
      <c r="G21" s="32">
        <f t="shared" si="6"/>
        <v>12168.427804857231</v>
      </c>
      <c r="H21" s="32">
        <f t="shared" si="6"/>
        <v>10843.555476184305</v>
      </c>
      <c r="I21" s="32">
        <f t="shared" si="6"/>
        <v>10633.626262038733</v>
      </c>
      <c r="J21" s="32">
        <f t="shared" si="6"/>
        <v>10243.432169611806</v>
      </c>
      <c r="K21" s="32">
        <f t="shared" si="6"/>
        <v>11128.119052974123</v>
      </c>
      <c r="L21" s="32">
        <f t="shared" si="6"/>
        <v>10527.01808843752</v>
      </c>
      <c r="M21" s="32">
        <f t="shared" si="6"/>
        <v>10033.287200750003</v>
      </c>
      <c r="N21" s="32">
        <f t="shared" si="6"/>
        <v>11042.844229096907</v>
      </c>
      <c r="O21" s="32">
        <f t="shared" si="6"/>
        <v>10819.097642104838</v>
      </c>
      <c r="P21" s="32">
        <f t="shared" si="6"/>
        <v>10008.692180866097</v>
      </c>
      <c r="Q21" s="32">
        <f t="shared" si="6"/>
        <v>9721.4381123383864</v>
      </c>
      <c r="R21" s="32">
        <f t="shared" si="6"/>
        <v>8654.4846953957476</v>
      </c>
      <c r="S21" s="32">
        <f t="shared" si="6"/>
        <v>8819.9388296880807</v>
      </c>
      <c r="T21" s="32">
        <f t="shared" si="6"/>
        <v>8238.0383223817407</v>
      </c>
      <c r="U21" s="32">
        <f t="shared" si="6"/>
        <v>7756.4351319563648</v>
      </c>
      <c r="V21" s="32">
        <f t="shared" si="6"/>
        <v>5662.3211916579985</v>
      </c>
      <c r="W21" s="32">
        <f t="shared" si="6"/>
        <v>5388.8445108572041</v>
      </c>
      <c r="X21" s="32">
        <f t="shared" si="6"/>
        <v>5128.5761049688263</v>
      </c>
      <c r="Y21" s="32">
        <f t="shared" si="6"/>
        <v>4880.8780456486584</v>
      </c>
      <c r="Z21" s="32">
        <f t="shared" si="6"/>
        <v>4645.1432149781613</v>
      </c>
      <c r="AA21" s="32">
        <f t="shared" si="6"/>
        <v>4420.7938173939892</v>
      </c>
      <c r="AB21" s="32">
        <f t="shared" si="6"/>
        <v>4207.2799634878011</v>
      </c>
      <c r="AC21" s="32">
        <f t="shared" si="6"/>
        <v>4004.0783222051691</v>
      </c>
      <c r="AD21" s="32">
        <f t="shared" si="6"/>
        <v>3810.6908381400954</v>
      </c>
      <c r="AE21" s="32">
        <f t="shared" si="6"/>
        <v>3626.6435107811549</v>
      </c>
      <c r="AF21" s="32">
        <f t="shared" si="6"/>
        <v>3451.4852327171438</v>
      </c>
      <c r="AG21" s="32">
        <f t="shared" si="6"/>
        <v>3284.7866839546605</v>
      </c>
      <c r="AH21" s="32">
        <f t="shared" si="6"/>
        <v>3126.139279637503</v>
      </c>
      <c r="AI21" s="32">
        <f t="shared" si="6"/>
        <v>2975.1541685887391</v>
      </c>
      <c r="AJ21" s="32">
        <f t="shared" si="6"/>
        <v>2831.4612802208057</v>
      </c>
      <c r="AK21" s="32">
        <f t="shared" si="6"/>
        <v>2694.7084174775991</v>
      </c>
    </row>
    <row r="22" spans="2:37" s="19" customFormat="1" x14ac:dyDescent="0.25"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AI22" s="53"/>
      <c r="AJ22" s="53"/>
      <c r="AK22" s="53"/>
    </row>
    <row r="23" spans="2:37" x14ac:dyDescent="0.25">
      <c r="B23" s="20" t="s">
        <v>85</v>
      </c>
      <c r="AI23" s="53"/>
      <c r="AJ23" s="53"/>
      <c r="AK23" s="53"/>
    </row>
    <row r="24" spans="2:37" s="19" customFormat="1" x14ac:dyDescent="0.25">
      <c r="B24" s="19" t="s">
        <v>201</v>
      </c>
      <c r="D24" s="150">
        <v>9589.4719106879511</v>
      </c>
      <c r="E24" s="150">
        <v>9286.0056405107243</v>
      </c>
      <c r="F24" s="150">
        <v>8826.424300612387</v>
      </c>
      <c r="G24" s="150">
        <v>8067.5536621866768</v>
      </c>
      <c r="H24" s="150">
        <v>7661.7064782927464</v>
      </c>
      <c r="I24" s="32">
        <f>IF(I15&lt;$D$15+$C$4, H24*(1+$C$5), H24*(1+$C$6))</f>
        <v>7661.7064782927464</v>
      </c>
      <c r="J24" s="32">
        <f t="shared" ref="J24:AK24" si="7">IF(J15&lt;$D$15+$C$4, I24*(1+$C$5), I24*(1+$C$6))</f>
        <v>7661.7064782927464</v>
      </c>
      <c r="K24" s="32">
        <f t="shared" si="7"/>
        <v>7661.7064782927464</v>
      </c>
      <c r="L24" s="32">
        <f t="shared" si="7"/>
        <v>7661.7064782927464</v>
      </c>
      <c r="M24" s="32">
        <f t="shared" si="7"/>
        <v>7661.7064782927464</v>
      </c>
      <c r="N24" s="32">
        <f t="shared" si="7"/>
        <v>7661.7064782927464</v>
      </c>
      <c r="O24" s="32">
        <f t="shared" si="7"/>
        <v>7661.7064782927464</v>
      </c>
      <c r="P24" s="32">
        <f t="shared" si="7"/>
        <v>7661.7064782927464</v>
      </c>
      <c r="Q24" s="32">
        <f t="shared" si="7"/>
        <v>7661.7064782927464</v>
      </c>
      <c r="R24" s="32">
        <f t="shared" si="7"/>
        <v>7661.7064782927464</v>
      </c>
      <c r="S24" s="32">
        <f t="shared" si="7"/>
        <v>7661.7064782927464</v>
      </c>
      <c r="T24" s="32">
        <f t="shared" si="7"/>
        <v>7661.7064782927464</v>
      </c>
      <c r="U24" s="32">
        <f t="shared" si="7"/>
        <v>7661.7064782927464</v>
      </c>
      <c r="V24" s="32">
        <f t="shared" si="7"/>
        <v>7661.7064782927464</v>
      </c>
      <c r="W24" s="32">
        <f t="shared" si="7"/>
        <v>7661.7064782927464</v>
      </c>
      <c r="X24" s="32">
        <f t="shared" si="7"/>
        <v>7661.7064782927464</v>
      </c>
      <c r="Y24" s="32">
        <f t="shared" si="7"/>
        <v>7661.7064782927464</v>
      </c>
      <c r="Z24" s="32">
        <f t="shared" si="7"/>
        <v>7661.7064782927464</v>
      </c>
      <c r="AA24" s="32">
        <f t="shared" si="7"/>
        <v>7661.7064782927464</v>
      </c>
      <c r="AB24" s="32">
        <f t="shared" si="7"/>
        <v>7661.7064782927464</v>
      </c>
      <c r="AC24" s="32">
        <f t="shared" si="7"/>
        <v>7661.7064782927464</v>
      </c>
      <c r="AD24" s="32">
        <f t="shared" si="7"/>
        <v>7661.7064782927464</v>
      </c>
      <c r="AE24" s="32">
        <f t="shared" si="7"/>
        <v>7661.7064782927464</v>
      </c>
      <c r="AF24" s="32">
        <f t="shared" si="7"/>
        <v>7661.7064782927464</v>
      </c>
      <c r="AG24" s="32">
        <f t="shared" si="7"/>
        <v>7661.7064782927464</v>
      </c>
      <c r="AH24" s="32">
        <f t="shared" si="7"/>
        <v>7661.7064782927464</v>
      </c>
      <c r="AI24" s="32">
        <f t="shared" si="7"/>
        <v>7661.7064782927464</v>
      </c>
      <c r="AJ24" s="32">
        <f t="shared" si="7"/>
        <v>7661.7064782927464</v>
      </c>
      <c r="AK24" s="32">
        <f t="shared" si="7"/>
        <v>7661.7064782927464</v>
      </c>
    </row>
    <row r="25" spans="2:37" s="19" customFormat="1" x14ac:dyDescent="0.25">
      <c r="B25" s="19" t="s">
        <v>202</v>
      </c>
      <c r="D25" s="32">
        <f>MIN(D24*(1.02)^(D$15-2016), D21+$C$11)</f>
        <v>9781.2613489017094</v>
      </c>
      <c r="E25" s="32">
        <f t="shared" ref="E25:AK25" si="8">MIN(E24*(1.02)^(E$15-2016), E21+$C$11)</f>
        <v>9661.1602683873571</v>
      </c>
      <c r="F25" s="32">
        <f t="shared" si="8"/>
        <v>9366.6720792042688</v>
      </c>
      <c r="G25" s="32">
        <f t="shared" si="8"/>
        <v>8732.5795364766345</v>
      </c>
      <c r="H25" s="32">
        <f t="shared" si="8"/>
        <v>8459.1430424360988</v>
      </c>
      <c r="I25" s="32">
        <f t="shared" si="8"/>
        <v>8628.3259032848218</v>
      </c>
      <c r="J25" s="32">
        <f t="shared" si="8"/>
        <v>8800.8924213505161</v>
      </c>
      <c r="K25" s="32">
        <f>MIN(K24*(1.02)^(K$15-2016), K21+$C$11)</f>
        <v>8976.910269777527</v>
      </c>
      <c r="L25" s="32">
        <f t="shared" si="8"/>
        <v>9156.4484751730779</v>
      </c>
      <c r="M25" s="32">
        <f t="shared" si="8"/>
        <v>9339.577444676539</v>
      </c>
      <c r="N25" s="32">
        <f t="shared" si="8"/>
        <v>9526.3689935700677</v>
      </c>
      <c r="O25" s="32">
        <f t="shared" si="8"/>
        <v>9716.896373441472</v>
      </c>
      <c r="P25" s="32">
        <f t="shared" si="8"/>
        <v>9911.2343009103006</v>
      </c>
      <c r="Q25" s="32">
        <f t="shared" si="8"/>
        <v>10109.458986928508</v>
      </c>
      <c r="R25" s="32">
        <f t="shared" si="8"/>
        <v>10311.648166667075</v>
      </c>
      <c r="S25" s="32">
        <f t="shared" si="8"/>
        <v>10517.881130000418</v>
      </c>
      <c r="T25" s="32">
        <f t="shared" si="8"/>
        <v>10728.238752600428</v>
      </c>
      <c r="U25" s="32">
        <f t="shared" si="8"/>
        <v>10942.803527652435</v>
      </c>
      <c r="V25" s="32">
        <f t="shared" si="8"/>
        <v>9186.8130996110285</v>
      </c>
      <c r="W25" s="32">
        <f t="shared" si="8"/>
        <v>8913.336418810235</v>
      </c>
      <c r="X25" s="32">
        <f t="shared" si="8"/>
        <v>8653.0680129218563</v>
      </c>
      <c r="Y25" s="32">
        <f t="shared" si="8"/>
        <v>8405.3699536016884</v>
      </c>
      <c r="Z25" s="32">
        <f t="shared" si="8"/>
        <v>8169.6351229311913</v>
      </c>
      <c r="AA25" s="32">
        <f t="shared" si="8"/>
        <v>7945.2857253470193</v>
      </c>
      <c r="AB25" s="32">
        <f t="shared" si="8"/>
        <v>7731.7718714408311</v>
      </c>
      <c r="AC25" s="32">
        <f t="shared" si="8"/>
        <v>7528.5702301581996</v>
      </c>
      <c r="AD25" s="32">
        <f t="shared" si="8"/>
        <v>7335.1827460931254</v>
      </c>
      <c r="AE25" s="32">
        <f t="shared" si="8"/>
        <v>7151.1354187341858</v>
      </c>
      <c r="AF25" s="32">
        <f t="shared" si="8"/>
        <v>6975.9771406701748</v>
      </c>
      <c r="AG25" s="32">
        <f t="shared" si="8"/>
        <v>6809.2785919076905</v>
      </c>
      <c r="AH25" s="32">
        <f t="shared" si="8"/>
        <v>6650.631187590534</v>
      </c>
      <c r="AI25" s="32">
        <f t="shared" si="8"/>
        <v>6499.6460765417696</v>
      </c>
      <c r="AJ25" s="32">
        <f t="shared" si="8"/>
        <v>6355.9531881738367</v>
      </c>
      <c r="AK25" s="32">
        <f t="shared" si="8"/>
        <v>6219.2003254306292</v>
      </c>
    </row>
    <row r="26" spans="2:37" s="19" customFormat="1" x14ac:dyDescent="0.25">
      <c r="B26" s="19" t="s">
        <v>203</v>
      </c>
      <c r="D26" s="32">
        <f t="shared" ref="D26:AK26" si="9">D21-D25</f>
        <v>2314.1083333333354</v>
      </c>
      <c r="E26" s="32">
        <f t="shared" si="9"/>
        <v>2173.5206999999991</v>
      </c>
      <c r="F26" s="32">
        <f t="shared" si="9"/>
        <v>2185.433073575754</v>
      </c>
      <c r="G26" s="32">
        <f t="shared" si="9"/>
        <v>3435.848268380596</v>
      </c>
      <c r="H26" s="32">
        <f t="shared" si="9"/>
        <v>2384.4124337482062</v>
      </c>
      <c r="I26" s="32">
        <f t="shared" si="9"/>
        <v>2005.3003587539115</v>
      </c>
      <c r="J26" s="32">
        <f t="shared" si="9"/>
        <v>1442.5397482612898</v>
      </c>
      <c r="K26" s="32">
        <f t="shared" si="9"/>
        <v>2151.2087831965964</v>
      </c>
      <c r="L26" s="32">
        <f t="shared" si="9"/>
        <v>1370.5696132644425</v>
      </c>
      <c r="M26" s="32">
        <f t="shared" si="9"/>
        <v>693.70975607346372</v>
      </c>
      <c r="N26" s="32">
        <f t="shared" si="9"/>
        <v>1516.4752355268392</v>
      </c>
      <c r="O26" s="32">
        <f t="shared" si="9"/>
        <v>1102.2012686633661</v>
      </c>
      <c r="P26" s="32">
        <f t="shared" si="9"/>
        <v>97.45787995579667</v>
      </c>
      <c r="Q26" s="32">
        <f t="shared" si="9"/>
        <v>-388.02087459012182</v>
      </c>
      <c r="R26" s="32">
        <f t="shared" si="9"/>
        <v>-1657.1634712713276</v>
      </c>
      <c r="S26" s="32">
        <f t="shared" si="9"/>
        <v>-1697.9423003123375</v>
      </c>
      <c r="T26" s="32">
        <f t="shared" si="9"/>
        <v>-2490.200430218687</v>
      </c>
      <c r="U26" s="32">
        <f t="shared" si="9"/>
        <v>-3186.3683956960704</v>
      </c>
      <c r="V26" s="32">
        <f t="shared" si="9"/>
        <v>-3524.49190795303</v>
      </c>
      <c r="W26" s="32">
        <f t="shared" si="9"/>
        <v>-3524.4919079530309</v>
      </c>
      <c r="X26" s="32">
        <f t="shared" si="9"/>
        <v>-3524.49190795303</v>
      </c>
      <c r="Y26" s="32">
        <f t="shared" si="9"/>
        <v>-3524.49190795303</v>
      </c>
      <c r="Z26" s="32">
        <f t="shared" si="9"/>
        <v>-3524.49190795303</v>
      </c>
      <c r="AA26" s="32">
        <f t="shared" si="9"/>
        <v>-3524.49190795303</v>
      </c>
      <c r="AB26" s="32">
        <f t="shared" si="9"/>
        <v>-3524.49190795303</v>
      </c>
      <c r="AC26" s="32">
        <f t="shared" si="9"/>
        <v>-3524.4919079530305</v>
      </c>
      <c r="AD26" s="32">
        <f t="shared" si="9"/>
        <v>-3524.49190795303</v>
      </c>
      <c r="AE26" s="32">
        <f t="shared" si="9"/>
        <v>-3524.4919079530309</v>
      </c>
      <c r="AF26" s="32">
        <f t="shared" si="9"/>
        <v>-3524.4919079530309</v>
      </c>
      <c r="AG26" s="32">
        <f t="shared" si="9"/>
        <v>-3524.49190795303</v>
      </c>
      <c r="AH26" s="32">
        <f t="shared" si="9"/>
        <v>-3524.4919079530309</v>
      </c>
      <c r="AI26" s="32">
        <f t="shared" si="9"/>
        <v>-3524.4919079530305</v>
      </c>
      <c r="AJ26" s="32">
        <f t="shared" si="9"/>
        <v>-3524.4919079530309</v>
      </c>
      <c r="AK26" s="32">
        <f t="shared" si="9"/>
        <v>-3524.49190795303</v>
      </c>
    </row>
    <row r="27" spans="2:37" s="19" customFormat="1" x14ac:dyDescent="0.25">
      <c r="B27" s="19" t="s">
        <v>204</v>
      </c>
      <c r="D27" s="32"/>
      <c r="E27" s="32">
        <f t="shared" ref="E27:AK27" si="10">IF(E15&gt;=$C$7, D28*$C$9, 0)</f>
        <v>0</v>
      </c>
      <c r="F27" s="32">
        <f t="shared" si="10"/>
        <v>0</v>
      </c>
      <c r="G27" s="32">
        <f t="shared" si="10"/>
        <v>0</v>
      </c>
      <c r="H27" s="32">
        <f t="shared" si="10"/>
        <v>0</v>
      </c>
      <c r="I27" s="32">
        <f t="shared" si="10"/>
        <v>0</v>
      </c>
      <c r="J27" s="32">
        <f t="shared" si="10"/>
        <v>0</v>
      </c>
      <c r="K27" s="32">
        <f t="shared" si="10"/>
        <v>0</v>
      </c>
      <c r="L27" s="32">
        <f t="shared" si="10"/>
        <v>0</v>
      </c>
      <c r="M27" s="32">
        <f t="shared" si="10"/>
        <v>0</v>
      </c>
      <c r="N27" s="32">
        <f t="shared" si="10"/>
        <v>0</v>
      </c>
      <c r="O27" s="32">
        <f t="shared" si="10"/>
        <v>0</v>
      </c>
      <c r="P27" s="32">
        <f t="shared" si="10"/>
        <v>0</v>
      </c>
      <c r="Q27" s="32">
        <f t="shared" si="10"/>
        <v>0</v>
      </c>
      <c r="R27" s="32">
        <f t="shared" si="10"/>
        <v>0</v>
      </c>
      <c r="S27" s="32">
        <f t="shared" si="10"/>
        <v>0</v>
      </c>
      <c r="T27" s="32">
        <f t="shared" si="10"/>
        <v>0</v>
      </c>
      <c r="U27" s="32">
        <f t="shared" si="10"/>
        <v>0</v>
      </c>
      <c r="V27" s="32">
        <f t="shared" si="10"/>
        <v>0</v>
      </c>
      <c r="W27" s="32">
        <f t="shared" si="10"/>
        <v>0</v>
      </c>
      <c r="X27" s="32">
        <f t="shared" si="10"/>
        <v>0</v>
      </c>
      <c r="Y27" s="32">
        <f t="shared" si="10"/>
        <v>0</v>
      </c>
      <c r="Z27" s="32">
        <f t="shared" si="10"/>
        <v>0</v>
      </c>
      <c r="AA27" s="32">
        <f t="shared" si="10"/>
        <v>0</v>
      </c>
      <c r="AB27" s="32">
        <f t="shared" si="10"/>
        <v>0</v>
      </c>
      <c r="AC27" s="32">
        <f t="shared" si="10"/>
        <v>0</v>
      </c>
      <c r="AD27" s="32">
        <f t="shared" si="10"/>
        <v>0</v>
      </c>
      <c r="AE27" s="32">
        <f t="shared" si="10"/>
        <v>0</v>
      </c>
      <c r="AF27" s="32">
        <f t="shared" si="10"/>
        <v>0</v>
      </c>
      <c r="AG27" s="32">
        <f t="shared" si="10"/>
        <v>0</v>
      </c>
      <c r="AH27" s="32">
        <f t="shared" si="10"/>
        <v>0</v>
      </c>
      <c r="AI27" s="32">
        <f t="shared" si="10"/>
        <v>0</v>
      </c>
      <c r="AJ27" s="32">
        <f t="shared" si="10"/>
        <v>0</v>
      </c>
      <c r="AK27" s="32">
        <f t="shared" si="10"/>
        <v>0</v>
      </c>
    </row>
    <row r="28" spans="2:37" x14ac:dyDescent="0.25">
      <c r="B28" t="s">
        <v>205</v>
      </c>
      <c r="D28" s="32">
        <f>IF(D26&gt;0, D26, 0)</f>
        <v>2314.1083333333354</v>
      </c>
      <c r="E28" s="32">
        <f>D28*(1+$C$10) - E27 + E26</f>
        <v>4606.0188156666682</v>
      </c>
      <c r="F28" s="32">
        <f t="shared" ref="F28:AK28" si="11">E28*(1+$C$10) - F27 + F26</f>
        <v>7027.0958118519293</v>
      </c>
      <c r="G28" s="32">
        <f t="shared" si="11"/>
        <v>10822.45030196687</v>
      </c>
      <c r="H28" s="32">
        <f t="shared" si="11"/>
        <v>13760.539293163702</v>
      </c>
      <c r="I28" s="32">
        <f t="shared" si="11"/>
        <v>16469.828842155868</v>
      </c>
      <c r="J28" s="32">
        <f t="shared" si="11"/>
        <v>18754.965033981855</v>
      </c>
      <c r="K28" s="32">
        <f t="shared" si="11"/>
        <v>21865.677828316962</v>
      </c>
      <c r="L28" s="32">
        <f t="shared" si="11"/>
        <v>24354.8955192781</v>
      </c>
      <c r="M28" s="32">
        <f t="shared" si="11"/>
        <v>26294.601730117836</v>
      </c>
      <c r="N28" s="32">
        <f t="shared" si="11"/>
        <v>29156.308790157505</v>
      </c>
      <c r="O28" s="32">
        <f t="shared" si="11"/>
        <v>31750.146816525332</v>
      </c>
      <c r="P28" s="32">
        <f t="shared" si="11"/>
        <v>33471.942207614571</v>
      </c>
      <c r="Q28" s="32">
        <f t="shared" si="11"/>
        <v>34796.345896366009</v>
      </c>
      <c r="R28" s="32">
        <f t="shared" si="11"/>
        <v>34919.363481152766</v>
      </c>
      <c r="S28" s="32">
        <f t="shared" si="11"/>
        <v>35007.895816536206</v>
      </c>
      <c r="T28" s="32">
        <f t="shared" si="11"/>
        <v>34308.699336291509</v>
      </c>
      <c r="U28" s="32">
        <f t="shared" si="11"/>
        <v>32877.563998640122</v>
      </c>
      <c r="V28" s="32">
        <f t="shared" si="11"/>
        <v>31035.088264857521</v>
      </c>
      <c r="W28" s="32">
        <f t="shared" si="11"/>
        <v>29098.351472534603</v>
      </c>
      <c r="X28" s="32">
        <f t="shared" si="11"/>
        <v>27062.531225916446</v>
      </c>
      <c r="Y28" s="32">
        <f t="shared" si="11"/>
        <v>24922.558415481304</v>
      </c>
      <c r="Z28" s="32">
        <f t="shared" si="11"/>
        <v>22673.104596064299</v>
      </c>
      <c r="AA28" s="32">
        <f t="shared" si="11"/>
        <v>20308.568719245919</v>
      </c>
      <c r="AB28" s="32">
        <f t="shared" si="11"/>
        <v>17823.063186969513</v>
      </c>
      <c r="AC28" s="32">
        <f t="shared" si="11"/>
        <v>15210.399191661847</v>
      </c>
      <c r="AD28" s="32">
        <f t="shared" si="11"/>
        <v>12464.071306354239</v>
      </c>
      <c r="AE28" s="32">
        <f t="shared" si="11"/>
        <v>9577.2412864342914</v>
      </c>
      <c r="AF28" s="32">
        <f t="shared" si="11"/>
        <v>6542.7210426952397</v>
      </c>
      <c r="AG28" s="32">
        <f t="shared" si="11"/>
        <v>3352.9547432864983</v>
      </c>
      <c r="AH28" s="32">
        <f t="shared" si="11"/>
        <v>5.0022208597511053E-12</v>
      </c>
      <c r="AI28" s="32">
        <f t="shared" si="11"/>
        <v>-3524.491907953025</v>
      </c>
      <c r="AJ28" s="32">
        <f t="shared" si="11"/>
        <v>-7229.2968219169325</v>
      </c>
      <c r="AK28" s="32">
        <f t="shared" si="11"/>
        <v>-11123.639555279235</v>
      </c>
    </row>
    <row r="29" spans="2:37" s="19" customFormat="1" x14ac:dyDescent="0.25">
      <c r="B29" s="19" t="s">
        <v>206</v>
      </c>
      <c r="D29" s="32">
        <f>D25+D27</f>
        <v>9781.2613489017094</v>
      </c>
      <c r="E29" s="32">
        <f t="shared" ref="E29:AK29" si="12">E25+E27</f>
        <v>9661.1602683873571</v>
      </c>
      <c r="F29" s="32">
        <f t="shared" si="12"/>
        <v>9366.6720792042688</v>
      </c>
      <c r="G29" s="32">
        <f t="shared" si="12"/>
        <v>8732.5795364766345</v>
      </c>
      <c r="H29" s="32">
        <f t="shared" si="12"/>
        <v>8459.1430424360988</v>
      </c>
      <c r="I29" s="32">
        <f t="shared" si="12"/>
        <v>8628.3259032848218</v>
      </c>
      <c r="J29" s="32">
        <f t="shared" si="12"/>
        <v>8800.8924213505161</v>
      </c>
      <c r="K29" s="32">
        <f t="shared" si="12"/>
        <v>8976.910269777527</v>
      </c>
      <c r="L29" s="32">
        <f t="shared" si="12"/>
        <v>9156.4484751730779</v>
      </c>
      <c r="M29" s="32">
        <f t="shared" si="12"/>
        <v>9339.577444676539</v>
      </c>
      <c r="N29" s="32">
        <f t="shared" si="12"/>
        <v>9526.3689935700677</v>
      </c>
      <c r="O29" s="32">
        <f t="shared" si="12"/>
        <v>9716.896373441472</v>
      </c>
      <c r="P29" s="32">
        <f t="shared" si="12"/>
        <v>9911.2343009103006</v>
      </c>
      <c r="Q29" s="32">
        <f t="shared" si="12"/>
        <v>10109.458986928508</v>
      </c>
      <c r="R29" s="32">
        <f t="shared" si="12"/>
        <v>10311.648166667075</v>
      </c>
      <c r="S29" s="32">
        <f t="shared" si="12"/>
        <v>10517.881130000418</v>
      </c>
      <c r="T29" s="32">
        <f t="shared" si="12"/>
        <v>10728.238752600428</v>
      </c>
      <c r="U29" s="32">
        <f t="shared" si="12"/>
        <v>10942.803527652435</v>
      </c>
      <c r="V29" s="32">
        <f t="shared" si="12"/>
        <v>9186.8130996110285</v>
      </c>
      <c r="W29" s="32">
        <f t="shared" si="12"/>
        <v>8913.336418810235</v>
      </c>
      <c r="X29" s="32">
        <f t="shared" si="12"/>
        <v>8653.0680129218563</v>
      </c>
      <c r="Y29" s="32">
        <f t="shared" si="12"/>
        <v>8405.3699536016884</v>
      </c>
      <c r="Z29" s="32">
        <f t="shared" si="12"/>
        <v>8169.6351229311913</v>
      </c>
      <c r="AA29" s="32">
        <f t="shared" si="12"/>
        <v>7945.2857253470193</v>
      </c>
      <c r="AB29" s="32">
        <f t="shared" si="12"/>
        <v>7731.7718714408311</v>
      </c>
      <c r="AC29" s="32">
        <f t="shared" si="12"/>
        <v>7528.5702301581996</v>
      </c>
      <c r="AD29" s="32">
        <f t="shared" si="12"/>
        <v>7335.1827460931254</v>
      </c>
      <c r="AE29" s="32">
        <f t="shared" si="12"/>
        <v>7151.1354187341858</v>
      </c>
      <c r="AF29" s="32">
        <f t="shared" si="12"/>
        <v>6975.9771406701748</v>
      </c>
      <c r="AG29" s="32">
        <f t="shared" si="12"/>
        <v>6809.2785919076905</v>
      </c>
      <c r="AH29" s="32">
        <f t="shared" si="12"/>
        <v>6650.631187590534</v>
      </c>
      <c r="AI29" s="32">
        <f t="shared" si="12"/>
        <v>6499.6460765417696</v>
      </c>
      <c r="AJ29" s="32">
        <f t="shared" si="12"/>
        <v>6355.9531881738367</v>
      </c>
      <c r="AK29" s="32">
        <f t="shared" si="12"/>
        <v>6219.2003254306292</v>
      </c>
    </row>
    <row r="30" spans="2:37" s="19" customFormat="1" x14ac:dyDescent="0.25">
      <c r="AI30" s="53"/>
      <c r="AJ30" s="53"/>
      <c r="AK30" s="53"/>
    </row>
    <row r="31" spans="2:37" s="19" customFormat="1" x14ac:dyDescent="0.25">
      <c r="AI31" s="53"/>
      <c r="AJ31" s="53"/>
      <c r="AK31" s="53"/>
    </row>
    <row r="32" spans="2:37" s="19" customFormat="1" x14ac:dyDescent="0.25">
      <c r="B32" s="19" t="s">
        <v>126</v>
      </c>
      <c r="D32" s="32">
        <f t="shared" ref="D32:AK32" si="13">IF(D28&lt;=0, 0, D28)</f>
        <v>2314.1083333333354</v>
      </c>
      <c r="E32" s="32">
        <f t="shared" si="13"/>
        <v>4606.0188156666682</v>
      </c>
      <c r="F32" s="32">
        <f t="shared" si="13"/>
        <v>7027.0958118519293</v>
      </c>
      <c r="G32" s="32">
        <f t="shared" si="13"/>
        <v>10822.45030196687</v>
      </c>
      <c r="H32" s="32">
        <f t="shared" si="13"/>
        <v>13760.539293163702</v>
      </c>
      <c r="I32" s="32">
        <f t="shared" si="13"/>
        <v>16469.828842155868</v>
      </c>
      <c r="J32" s="32">
        <f t="shared" si="13"/>
        <v>18754.965033981855</v>
      </c>
      <c r="K32" s="32">
        <f t="shared" si="13"/>
        <v>21865.677828316962</v>
      </c>
      <c r="L32" s="32">
        <f t="shared" si="13"/>
        <v>24354.8955192781</v>
      </c>
      <c r="M32" s="32">
        <f t="shared" si="13"/>
        <v>26294.601730117836</v>
      </c>
      <c r="N32" s="32">
        <f t="shared" si="13"/>
        <v>29156.308790157505</v>
      </c>
      <c r="O32" s="32">
        <f t="shared" si="13"/>
        <v>31750.146816525332</v>
      </c>
      <c r="P32" s="32">
        <f t="shared" si="13"/>
        <v>33471.942207614571</v>
      </c>
      <c r="Q32" s="32">
        <f t="shared" si="13"/>
        <v>34796.345896366009</v>
      </c>
      <c r="R32" s="32">
        <f t="shared" si="13"/>
        <v>34919.363481152766</v>
      </c>
      <c r="S32" s="32">
        <f t="shared" si="13"/>
        <v>35007.895816536206</v>
      </c>
      <c r="T32" s="32">
        <f t="shared" si="13"/>
        <v>34308.699336291509</v>
      </c>
      <c r="U32" s="32">
        <f t="shared" si="13"/>
        <v>32877.563998640122</v>
      </c>
      <c r="V32" s="32">
        <f>IF(V28&lt;=0, 0, V28)</f>
        <v>31035.088264857521</v>
      </c>
      <c r="W32" s="32">
        <f t="shared" si="13"/>
        <v>29098.351472534603</v>
      </c>
      <c r="X32" s="32">
        <f t="shared" si="13"/>
        <v>27062.531225916446</v>
      </c>
      <c r="Y32" s="32">
        <f t="shared" si="13"/>
        <v>24922.558415481304</v>
      </c>
      <c r="Z32" s="32">
        <f t="shared" si="13"/>
        <v>22673.104596064299</v>
      </c>
      <c r="AA32" s="32">
        <f t="shared" si="13"/>
        <v>20308.568719245919</v>
      </c>
      <c r="AB32" s="32">
        <f t="shared" si="13"/>
        <v>17823.063186969513</v>
      </c>
      <c r="AC32" s="32">
        <f t="shared" si="13"/>
        <v>15210.399191661847</v>
      </c>
      <c r="AD32" s="32">
        <f t="shared" si="13"/>
        <v>12464.071306354239</v>
      </c>
      <c r="AE32" s="32">
        <f t="shared" si="13"/>
        <v>9577.2412864342914</v>
      </c>
      <c r="AF32" s="32">
        <f t="shared" si="13"/>
        <v>6542.7210426952397</v>
      </c>
      <c r="AG32" s="32">
        <f t="shared" si="13"/>
        <v>3352.9547432864983</v>
      </c>
      <c r="AH32" s="32">
        <f t="shared" si="13"/>
        <v>5.0022208597511053E-12</v>
      </c>
      <c r="AI32" s="32">
        <f t="shared" si="13"/>
        <v>0</v>
      </c>
      <c r="AJ32" s="32">
        <f t="shared" si="13"/>
        <v>0</v>
      </c>
      <c r="AK32" s="32">
        <f t="shared" si="13"/>
        <v>0</v>
      </c>
    </row>
    <row r="33" spans="2:37" s="19" customFormat="1" x14ac:dyDescent="0.25">
      <c r="B33" s="19" t="s">
        <v>207</v>
      </c>
      <c r="D33" s="32">
        <f>IF(D32&lt;0.1, D$21, D29)</f>
        <v>9781.2613489017094</v>
      </c>
      <c r="E33" s="32">
        <f t="shared" ref="E33:AK33" si="14">IF(D32&lt;0.1, E$21, E29)</f>
        <v>9661.1602683873571</v>
      </c>
      <c r="F33" s="32">
        <f t="shared" si="14"/>
        <v>9366.6720792042688</v>
      </c>
      <c r="G33" s="32">
        <f>IF(F32&lt;0.1, G$21, G29)</f>
        <v>8732.5795364766345</v>
      </c>
      <c r="H33" s="32">
        <f t="shared" si="14"/>
        <v>8459.1430424360988</v>
      </c>
      <c r="I33" s="32">
        <f t="shared" si="14"/>
        <v>8628.3259032848218</v>
      </c>
      <c r="J33" s="32">
        <f t="shared" si="14"/>
        <v>8800.8924213505161</v>
      </c>
      <c r="K33" s="32">
        <f t="shared" si="14"/>
        <v>8976.910269777527</v>
      </c>
      <c r="L33" s="32">
        <f t="shared" si="14"/>
        <v>9156.4484751730779</v>
      </c>
      <c r="M33" s="32">
        <f t="shared" si="14"/>
        <v>9339.577444676539</v>
      </c>
      <c r="N33" s="32">
        <f t="shared" si="14"/>
        <v>9526.3689935700677</v>
      </c>
      <c r="O33" s="32">
        <f t="shared" si="14"/>
        <v>9716.896373441472</v>
      </c>
      <c r="P33" s="32">
        <f t="shared" si="14"/>
        <v>9911.2343009103006</v>
      </c>
      <c r="Q33" s="32">
        <f t="shared" si="14"/>
        <v>10109.458986928508</v>
      </c>
      <c r="R33" s="32">
        <f t="shared" si="14"/>
        <v>10311.648166667075</v>
      </c>
      <c r="S33" s="32">
        <f t="shared" si="14"/>
        <v>10517.881130000418</v>
      </c>
      <c r="T33" s="32">
        <f t="shared" si="14"/>
        <v>10728.238752600428</v>
      </c>
      <c r="U33" s="32">
        <f t="shared" si="14"/>
        <v>10942.803527652435</v>
      </c>
      <c r="V33" s="32">
        <f t="shared" si="14"/>
        <v>9186.8130996110285</v>
      </c>
      <c r="W33" s="32">
        <f t="shared" si="14"/>
        <v>8913.336418810235</v>
      </c>
      <c r="X33" s="32">
        <f t="shared" si="14"/>
        <v>8653.0680129218563</v>
      </c>
      <c r="Y33" s="32">
        <f t="shared" si="14"/>
        <v>8405.3699536016884</v>
      </c>
      <c r="Z33" s="32">
        <f t="shared" si="14"/>
        <v>8169.6351229311913</v>
      </c>
      <c r="AA33" s="32">
        <f t="shared" si="14"/>
        <v>7945.2857253470193</v>
      </c>
      <c r="AB33" s="32">
        <f t="shared" si="14"/>
        <v>7731.7718714408311</v>
      </c>
      <c r="AC33" s="32">
        <f t="shared" si="14"/>
        <v>7528.5702301581996</v>
      </c>
      <c r="AD33" s="32">
        <f t="shared" si="14"/>
        <v>7335.1827460931254</v>
      </c>
      <c r="AE33" s="32">
        <f t="shared" si="14"/>
        <v>7151.1354187341858</v>
      </c>
      <c r="AF33" s="32">
        <f t="shared" si="14"/>
        <v>6975.9771406701748</v>
      </c>
      <c r="AG33" s="32">
        <f t="shared" si="14"/>
        <v>6809.2785919076905</v>
      </c>
      <c r="AH33" s="32">
        <f t="shared" si="14"/>
        <v>6650.631187590534</v>
      </c>
      <c r="AI33" s="32">
        <f t="shared" si="14"/>
        <v>2975.1541685887391</v>
      </c>
      <c r="AJ33" s="32">
        <f t="shared" si="14"/>
        <v>2831.4612802208057</v>
      </c>
      <c r="AK33" s="32">
        <f t="shared" si="14"/>
        <v>2694.7084174775991</v>
      </c>
    </row>
    <row r="34" spans="2:37" x14ac:dyDescent="0.25">
      <c r="B34" s="19" t="s">
        <v>208</v>
      </c>
      <c r="C34" s="19"/>
      <c r="D34" s="32">
        <f>D33-D$21</f>
        <v>-2314.1083333333354</v>
      </c>
      <c r="E34" s="32">
        <f t="shared" ref="E34:U34" si="15">E33-E$21</f>
        <v>-2173.5206999999991</v>
      </c>
      <c r="F34" s="32">
        <f t="shared" si="15"/>
        <v>-2185.433073575754</v>
      </c>
      <c r="G34" s="32">
        <f>G33-G$21</f>
        <v>-3435.848268380596</v>
      </c>
      <c r="H34" s="32">
        <f t="shared" si="15"/>
        <v>-2384.4124337482062</v>
      </c>
      <c r="I34" s="32">
        <f t="shared" si="15"/>
        <v>-2005.3003587539115</v>
      </c>
      <c r="J34" s="32">
        <f t="shared" si="15"/>
        <v>-1442.5397482612898</v>
      </c>
      <c r="K34" s="32">
        <f t="shared" si="15"/>
        <v>-2151.2087831965964</v>
      </c>
      <c r="L34" s="32">
        <f t="shared" si="15"/>
        <v>-1370.5696132644425</v>
      </c>
      <c r="M34" s="32">
        <f t="shared" si="15"/>
        <v>-693.70975607346372</v>
      </c>
      <c r="N34" s="32">
        <f t="shared" si="15"/>
        <v>-1516.4752355268392</v>
      </c>
      <c r="O34" s="32">
        <f t="shared" si="15"/>
        <v>-1102.2012686633661</v>
      </c>
      <c r="P34" s="32">
        <f t="shared" si="15"/>
        <v>-97.45787995579667</v>
      </c>
      <c r="Q34" s="32">
        <f t="shared" si="15"/>
        <v>388.02087459012182</v>
      </c>
      <c r="R34" s="32">
        <f t="shared" si="15"/>
        <v>1657.1634712713276</v>
      </c>
      <c r="S34" s="32">
        <f t="shared" si="15"/>
        <v>1697.9423003123375</v>
      </c>
      <c r="T34" s="32">
        <f t="shared" si="15"/>
        <v>2490.200430218687</v>
      </c>
      <c r="U34" s="32">
        <f t="shared" si="15"/>
        <v>3186.3683956960704</v>
      </c>
      <c r="V34" s="32">
        <f>V33-V$21</f>
        <v>3524.49190795303</v>
      </c>
      <c r="W34" s="32">
        <f t="shared" ref="W34:AH34" si="16">W33-W$21</f>
        <v>3524.4919079530309</v>
      </c>
      <c r="X34" s="32">
        <f t="shared" si="16"/>
        <v>3524.49190795303</v>
      </c>
      <c r="Y34" s="32">
        <f t="shared" si="16"/>
        <v>3524.49190795303</v>
      </c>
      <c r="Z34" s="32">
        <f t="shared" si="16"/>
        <v>3524.49190795303</v>
      </c>
      <c r="AA34" s="32">
        <f t="shared" si="16"/>
        <v>3524.49190795303</v>
      </c>
      <c r="AB34" s="32">
        <f t="shared" si="16"/>
        <v>3524.49190795303</v>
      </c>
      <c r="AC34" s="32">
        <f t="shared" si="16"/>
        <v>3524.4919079530305</v>
      </c>
      <c r="AD34" s="32">
        <f t="shared" si="16"/>
        <v>3524.49190795303</v>
      </c>
      <c r="AE34" s="32">
        <f t="shared" si="16"/>
        <v>3524.4919079530309</v>
      </c>
      <c r="AF34" s="32">
        <f t="shared" si="16"/>
        <v>3524.4919079530309</v>
      </c>
      <c r="AG34" s="32">
        <f t="shared" si="16"/>
        <v>3524.49190795303</v>
      </c>
      <c r="AH34" s="32">
        <f t="shared" si="16"/>
        <v>3524.4919079530309</v>
      </c>
      <c r="AI34" s="32">
        <f t="shared" ref="AI34:AK34" si="17">AI33-AI$21</f>
        <v>0</v>
      </c>
      <c r="AJ34" s="32">
        <f t="shared" si="17"/>
        <v>0</v>
      </c>
      <c r="AK34" s="32">
        <f t="shared" si="17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F61"/>
  <sheetViews>
    <sheetView zoomScale="70" zoomScaleNormal="70" workbookViewId="0">
      <selection activeCell="AB3" sqref="AB3"/>
    </sheetView>
  </sheetViews>
  <sheetFormatPr defaultRowHeight="15" x14ac:dyDescent="0.25"/>
  <cols>
    <col min="20" max="20" width="20" bestFit="1" customWidth="1"/>
  </cols>
  <sheetData>
    <row r="1" spans="1:32" x14ac:dyDescent="0.25">
      <c r="A1" s="76" t="s">
        <v>240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T1" t="s">
        <v>231</v>
      </c>
    </row>
    <row r="2" spans="1:32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U2">
        <v>2017</v>
      </c>
      <c r="V2">
        <v>2018</v>
      </c>
      <c r="W2" s="105">
        <v>2019</v>
      </c>
      <c r="X2" s="105">
        <v>2020</v>
      </c>
      <c r="Y2" s="105">
        <v>2021</v>
      </c>
      <c r="Z2" s="105"/>
      <c r="AA2" s="105"/>
    </row>
    <row r="3" spans="1:32" x14ac:dyDescent="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T3" t="s">
        <v>244</v>
      </c>
      <c r="U3">
        <v>-26.31</v>
      </c>
      <c r="V3">
        <v>-26.05</v>
      </c>
      <c r="W3">
        <v>-25.83</v>
      </c>
      <c r="X3">
        <v>-33.1</v>
      </c>
      <c r="Y3">
        <v>-28.09</v>
      </c>
    </row>
    <row r="4" spans="1:32" x14ac:dyDescent="0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T4" t="s">
        <v>241</v>
      </c>
      <c r="U4">
        <f>0-26.31</f>
        <v>-26.31</v>
      </c>
      <c r="V4">
        <f>-0.35-25.71</f>
        <v>-26.060000000000002</v>
      </c>
      <c r="W4">
        <f>-0.8-25.03</f>
        <v>-25.830000000000002</v>
      </c>
      <c r="X4">
        <f>-8.16-24.94</f>
        <v>-33.1</v>
      </c>
      <c r="Y4">
        <f>-3.8-24.28</f>
        <v>-28.080000000000002</v>
      </c>
    </row>
    <row r="5" spans="1:32" x14ac:dyDescent="0.25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T5" t="s">
        <v>242</v>
      </c>
      <c r="U5">
        <v>-7.75</v>
      </c>
      <c r="V5">
        <v>-7.2913025897127293</v>
      </c>
      <c r="W5">
        <v>-6.8645162772965378</v>
      </c>
      <c r="X5">
        <v>-13.875739574607909</v>
      </c>
      <c r="Y5">
        <v>-8.5800616444331776</v>
      </c>
    </row>
    <row r="6" spans="1:32" x14ac:dyDescent="0.25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T6" s="105" t="s">
        <v>243</v>
      </c>
      <c r="U6">
        <v>-19.920000000000002</v>
      </c>
      <c r="V6">
        <v>-19.53</v>
      </c>
      <c r="W6">
        <v>-19.170000000000002</v>
      </c>
      <c r="X6">
        <v>-26.31</v>
      </c>
      <c r="Y6">
        <v>-21.14</v>
      </c>
    </row>
    <row r="7" spans="1:32" x14ac:dyDescent="0.2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</row>
    <row r="8" spans="1:32" x14ac:dyDescent="0.2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</row>
    <row r="9" spans="1:32" x14ac:dyDescent="0.2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T9" t="s">
        <v>254</v>
      </c>
      <c r="U9">
        <v>-9.0230144999999968</v>
      </c>
      <c r="V9">
        <v>-8.6204622502270869</v>
      </c>
      <c r="W9">
        <v>-8.2488897492316973</v>
      </c>
      <c r="X9">
        <v>-14.831126954308923</v>
      </c>
      <c r="Y9">
        <v>-9.7802710769557191</v>
      </c>
    </row>
    <row r="10" spans="1:32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T10" t="s">
        <v>253</v>
      </c>
      <c r="U10">
        <f>U9*0.875</f>
        <v>-7.8951376874999974</v>
      </c>
      <c r="V10" s="105">
        <f t="shared" ref="V10:Y10" si="0">V9*0.875</f>
        <v>-7.5429044689487013</v>
      </c>
      <c r="W10" s="105">
        <f t="shared" si="0"/>
        <v>-7.2177785305777356</v>
      </c>
      <c r="X10" s="105">
        <f t="shared" si="0"/>
        <v>-12.977236085020307</v>
      </c>
      <c r="Y10" s="105">
        <f t="shared" si="0"/>
        <v>-8.5577371923362549</v>
      </c>
    </row>
    <row r="11" spans="1:32" x14ac:dyDescent="0.2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U11">
        <v>-9.4979099999999974</v>
      </c>
      <c r="V11">
        <v>-9.0741707897127242</v>
      </c>
      <c r="W11">
        <v>-8.6830418412965233</v>
      </c>
      <c r="X11">
        <v>-15.611712583483078</v>
      </c>
      <c r="Y11">
        <v>-10.295022186269179</v>
      </c>
    </row>
    <row r="12" spans="1:32" x14ac:dyDescent="0.25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T12" t="s">
        <v>255</v>
      </c>
      <c r="U12" s="163">
        <v>-9.4979099999999992</v>
      </c>
      <c r="V12" s="163">
        <v>-8.9600200000000001</v>
      </c>
      <c r="W12" s="163">
        <v>-8.414909999999999</v>
      </c>
      <c r="X12" s="163">
        <v>-10.548419999999998</v>
      </c>
      <c r="Y12" s="163">
        <v>-8.2235800000000001</v>
      </c>
      <c r="AB12">
        <v>-7.8951376875000108</v>
      </c>
      <c r="AC12">
        <v>-7.542904468948703</v>
      </c>
      <c r="AD12">
        <v>-7.2177785305777373</v>
      </c>
      <c r="AE12">
        <v>-14.236067072954722</v>
      </c>
      <c r="AF12">
        <v>-8.9475956927469333</v>
      </c>
    </row>
    <row r="13" spans="1:32" x14ac:dyDescent="0.25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T13" t="s">
        <v>256</v>
      </c>
      <c r="U13">
        <v>-7.8951376874999974</v>
      </c>
      <c r="V13">
        <v>-7.5429044689487013</v>
      </c>
      <c r="W13">
        <v>-7.2177785305777356</v>
      </c>
      <c r="X13">
        <v>-12.977236085020307</v>
      </c>
      <c r="Y13">
        <v>-8.5577371923362549</v>
      </c>
    </row>
    <row r="14" spans="1:32" x14ac:dyDescent="0.25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</row>
    <row r="15" spans="1:32" x14ac:dyDescent="0.25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</row>
    <row r="16" spans="1:32" x14ac:dyDescent="0.25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</row>
    <row r="17" spans="1:18" x14ac:dyDescent="0.25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</row>
    <row r="18" spans="1:18" x14ac:dyDescent="0.25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</row>
    <row r="19" spans="1:18" x14ac:dyDescent="0.25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</row>
    <row r="20" spans="1:18" x14ac:dyDescent="0.25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</row>
    <row r="21" spans="1:18" x14ac:dyDescent="0.25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</row>
    <row r="22" spans="1:18" x14ac:dyDescent="0.2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</row>
    <row r="23" spans="1:18" x14ac:dyDescent="0.25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</row>
    <row r="24" spans="1:18" x14ac:dyDescent="0.25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</row>
    <row r="25" spans="1:18" x14ac:dyDescent="0.25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</row>
    <row r="26" spans="1:18" x14ac:dyDescent="0.25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</row>
    <row r="27" spans="1:18" x14ac:dyDescent="0.25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</row>
    <row r="28" spans="1:18" x14ac:dyDescent="0.25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</row>
    <row r="29" spans="1:18" x14ac:dyDescent="0.25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</row>
    <row r="30" spans="1:18" x14ac:dyDescent="0.25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</row>
    <row r="31" spans="1:18" x14ac:dyDescent="0.25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</row>
    <row r="32" spans="1:18" x14ac:dyDescent="0.25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</row>
    <row r="33" spans="1:18" x14ac:dyDescent="0.25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</row>
    <row r="34" spans="1:18" x14ac:dyDescent="0.25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</row>
    <row r="35" spans="1:18" x14ac:dyDescent="0.25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</row>
    <row r="36" spans="1:18" x14ac:dyDescent="0.25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</row>
    <row r="37" spans="1:18" x14ac:dyDescent="0.25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</row>
    <row r="38" spans="1:18" x14ac:dyDescent="0.25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</row>
    <row r="39" spans="1:18" x14ac:dyDescent="0.25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</row>
    <row r="40" spans="1:18" x14ac:dyDescent="0.2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</row>
    <row r="41" spans="1:18" x14ac:dyDescent="0.25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</row>
    <row r="42" spans="1:18" x14ac:dyDescent="0.25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</row>
    <row r="43" spans="1:18" x14ac:dyDescent="0.25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</row>
    <row r="44" spans="1:18" x14ac:dyDescent="0.25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</row>
    <row r="45" spans="1:18" x14ac:dyDescent="0.25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</row>
    <row r="46" spans="1:18" x14ac:dyDescent="0.25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</row>
    <row r="47" spans="1:18" x14ac:dyDescent="0.25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</row>
    <row r="48" spans="1:18" x14ac:dyDescent="0.25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</row>
    <row r="49" spans="1:18" x14ac:dyDescent="0.25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</row>
    <row r="50" spans="1:18" x14ac:dyDescent="0.25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</row>
    <row r="51" spans="1:18" x14ac:dyDescent="0.25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</row>
    <row r="52" spans="1:18" x14ac:dyDescent="0.25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</row>
    <row r="53" spans="1:18" x14ac:dyDescent="0.25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</row>
    <row r="54" spans="1:18" x14ac:dyDescent="0.25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</row>
    <row r="55" spans="1:18" x14ac:dyDescent="0.25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</row>
    <row r="56" spans="1:18" x14ac:dyDescent="0.25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</row>
    <row r="57" spans="1:18" x14ac:dyDescent="0.25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</row>
    <row r="58" spans="1:18" x14ac:dyDescent="0.25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</row>
    <row r="59" spans="1:18" x14ac:dyDescent="0.25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</row>
    <row r="60" spans="1:18" x14ac:dyDescent="0.25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</row>
    <row r="61" spans="1:18" x14ac:dyDescent="0.25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U48"/>
  <sheetViews>
    <sheetView workbookViewId="0">
      <selection activeCell="H14" sqref="H14"/>
    </sheetView>
  </sheetViews>
  <sheetFormatPr defaultRowHeight="15" x14ac:dyDescent="0.25"/>
  <cols>
    <col min="1" max="1" width="16.5703125" style="53" bestFit="1" customWidth="1"/>
    <col min="2" max="2" width="44.5703125" style="53" bestFit="1" customWidth="1"/>
    <col min="3" max="4" width="12" style="53" bestFit="1" customWidth="1"/>
    <col min="5" max="5" width="12.42578125" style="53" bestFit="1" customWidth="1"/>
    <col min="6" max="6" width="29" style="53" customWidth="1"/>
    <col min="7" max="16384" width="9.140625" style="53"/>
  </cols>
  <sheetData>
    <row r="1" spans="2:12" x14ac:dyDescent="0.25">
      <c r="B1" s="46" t="s">
        <v>97</v>
      </c>
    </row>
    <row r="3" spans="2:12" x14ac:dyDescent="0.25">
      <c r="B3" s="24" t="s">
        <v>96</v>
      </c>
      <c r="C3" s="40">
        <f>Calcs!D21</f>
        <v>12095.369682235045</v>
      </c>
      <c r="J3" s="59" t="s">
        <v>104</v>
      </c>
      <c r="K3" s="59"/>
      <c r="L3" s="59"/>
    </row>
    <row r="4" spans="2:12" x14ac:dyDescent="0.25">
      <c r="C4" s="38"/>
      <c r="J4" s="54">
        <v>2017</v>
      </c>
      <c r="K4" s="54">
        <v>2020</v>
      </c>
      <c r="L4" s="54">
        <v>2030</v>
      </c>
    </row>
    <row r="5" spans="2:12" x14ac:dyDescent="0.25">
      <c r="B5" s="25"/>
      <c r="C5" s="44" t="s">
        <v>98</v>
      </c>
      <c r="D5" s="45" t="s">
        <v>99</v>
      </c>
      <c r="I5" s="54" t="s">
        <v>98</v>
      </c>
      <c r="J5" s="55">
        <f>C47-$C$46</f>
        <v>-12.356677385938355</v>
      </c>
      <c r="K5" s="55">
        <f>F47-$F$46</f>
        <v>-9.4231301889880967</v>
      </c>
      <c r="L5" s="55">
        <f>P47-$P$46</f>
        <v>17.767267192060785</v>
      </c>
    </row>
    <row r="6" spans="2:12" x14ac:dyDescent="0.25">
      <c r="B6" s="24" t="s">
        <v>87</v>
      </c>
      <c r="C6" s="41">
        <v>9905</v>
      </c>
      <c r="D6" s="41">
        <v>9904.5614088016573</v>
      </c>
      <c r="E6" s="50" t="s">
        <v>111</v>
      </c>
      <c r="I6" s="54" t="s">
        <v>105</v>
      </c>
      <c r="J6" s="55">
        <f>C48-$C$46</f>
        <v>-12.356677385938355</v>
      </c>
      <c r="K6" s="55">
        <f>F48-$F$46</f>
        <v>-9.4231301889880967</v>
      </c>
      <c r="L6" s="55">
        <f>P48-$P$46</f>
        <v>17.767267192060785</v>
      </c>
    </row>
    <row r="7" spans="2:12" x14ac:dyDescent="0.25">
      <c r="B7" s="24" t="s">
        <v>88</v>
      </c>
      <c r="C7" s="42">
        <f>C6/C3-1</f>
        <v>-0.18109158626644783</v>
      </c>
      <c r="D7" s="42">
        <f>D6/C3-1</f>
        <v>-0.18112784734898313</v>
      </c>
    </row>
    <row r="8" spans="2:12" x14ac:dyDescent="0.25">
      <c r="B8" s="24" t="s">
        <v>89</v>
      </c>
      <c r="C8" s="196">
        <v>0</v>
      </c>
      <c r="D8" s="196"/>
    </row>
    <row r="9" spans="2:12" x14ac:dyDescent="0.25">
      <c r="B9" s="24" t="s">
        <v>90</v>
      </c>
      <c r="C9" s="43">
        <v>0.03</v>
      </c>
      <c r="D9" s="43">
        <v>0.08</v>
      </c>
    </row>
    <row r="10" spans="2:12" x14ac:dyDescent="0.25">
      <c r="B10" s="24" t="s">
        <v>106</v>
      </c>
      <c r="C10" s="60">
        <v>10000</v>
      </c>
      <c r="D10" s="60">
        <v>10000</v>
      </c>
      <c r="E10" s="50" t="s">
        <v>111</v>
      </c>
    </row>
    <row r="11" spans="2:12" x14ac:dyDescent="0.25">
      <c r="B11" s="24" t="s">
        <v>107</v>
      </c>
      <c r="C11" s="48">
        <v>2020</v>
      </c>
      <c r="D11" s="43">
        <v>2020</v>
      </c>
    </row>
    <row r="12" spans="2:12" x14ac:dyDescent="0.25">
      <c r="B12" s="24" t="s">
        <v>108</v>
      </c>
      <c r="C12" s="43">
        <v>2030</v>
      </c>
      <c r="D12" s="43">
        <v>2030</v>
      </c>
    </row>
    <row r="13" spans="2:12" x14ac:dyDescent="0.25">
      <c r="B13" s="24" t="s">
        <v>110</v>
      </c>
      <c r="C13" s="52">
        <v>0</v>
      </c>
      <c r="D13" s="51">
        <v>0</v>
      </c>
      <c r="E13" s="50" t="s">
        <v>111</v>
      </c>
    </row>
    <row r="14" spans="2:12" x14ac:dyDescent="0.25">
      <c r="B14" s="24" t="s">
        <v>109</v>
      </c>
      <c r="C14" s="40" t="e">
        <f ca="1">OFFSET(Calcs!#REF!, 0, 'Indicative graph'!C12-Calcs!D15)</f>
        <v>#REF!</v>
      </c>
      <c r="D14" s="40">
        <f ca="1">OFFSET(Calcs!D28, 0, 'Indicative graph'!D12-Calcs!D15)</f>
        <v>34796.345896366009</v>
      </c>
    </row>
    <row r="15" spans="2:12" x14ac:dyDescent="0.25">
      <c r="B15" s="24" t="s">
        <v>120</v>
      </c>
      <c r="C15" s="197">
        <v>0</v>
      </c>
      <c r="D15" s="198"/>
    </row>
    <row r="35" spans="1:21" x14ac:dyDescent="0.25">
      <c r="B35" s="54" t="s">
        <v>94</v>
      </c>
    </row>
    <row r="36" spans="1:21" x14ac:dyDescent="0.25">
      <c r="A36" s="53" t="s">
        <v>91</v>
      </c>
      <c r="C36" s="54">
        <v>2017</v>
      </c>
      <c r="D36" s="54">
        <v>2018</v>
      </c>
      <c r="E36" s="54">
        <v>2019</v>
      </c>
      <c r="F36" s="54">
        <v>2020</v>
      </c>
      <c r="G36" s="54">
        <v>2021</v>
      </c>
      <c r="H36" s="54">
        <v>2022</v>
      </c>
      <c r="I36" s="54">
        <v>2023</v>
      </c>
      <c r="J36" s="54">
        <v>2024</v>
      </c>
      <c r="K36" s="54">
        <v>2025</v>
      </c>
      <c r="L36" s="54">
        <v>2026</v>
      </c>
      <c r="M36" s="54">
        <v>2027</v>
      </c>
      <c r="N36" s="54">
        <v>2028</v>
      </c>
      <c r="O36" s="54">
        <v>2029</v>
      </c>
      <c r="P36" s="54">
        <v>2030</v>
      </c>
      <c r="Q36" s="54">
        <v>2031</v>
      </c>
      <c r="R36" s="54">
        <v>2032</v>
      </c>
      <c r="S36" s="54">
        <v>2033</v>
      </c>
      <c r="T36" s="54">
        <v>2034</v>
      </c>
      <c r="U36" s="54">
        <v>2035</v>
      </c>
    </row>
    <row r="37" spans="1:21" x14ac:dyDescent="0.25">
      <c r="B37" s="53" t="s">
        <v>127</v>
      </c>
      <c r="C37" s="32">
        <v>12095.369682235045</v>
      </c>
      <c r="D37" s="32">
        <v>11834.680968387356</v>
      </c>
      <c r="E37" s="32">
        <v>11552.105152780023</v>
      </c>
      <c r="F37" s="32">
        <v>12168.427804857231</v>
      </c>
      <c r="G37" s="32">
        <v>10843.555476184305</v>
      </c>
      <c r="H37" s="32">
        <v>10633.626262038733</v>
      </c>
      <c r="I37" s="32">
        <v>10212.197060782577</v>
      </c>
      <c r="J37" s="32">
        <v>11081.446635690807</v>
      </c>
      <c r="K37" s="32">
        <v>10489.324810679589</v>
      </c>
      <c r="L37" s="32">
        <v>10020.47916266488</v>
      </c>
      <c r="M37" s="32">
        <v>10975.225563013388</v>
      </c>
      <c r="N37" s="32">
        <v>10763.938832201098</v>
      </c>
      <c r="O37" s="32">
        <v>9918.7716611825563</v>
      </c>
      <c r="P37" s="32">
        <v>9650.054503703117</v>
      </c>
      <c r="Q37" s="32">
        <v>8586.9634337325642</v>
      </c>
      <c r="R37" s="32">
        <v>8757.5658377633827</v>
      </c>
      <c r="S37" s="32">
        <v>8146.9598419964004</v>
      </c>
      <c r="T37" s="32">
        <v>7669.8510360503606</v>
      </c>
      <c r="U37" s="32">
        <v>5552.6253971661972</v>
      </c>
    </row>
    <row r="38" spans="1:21" x14ac:dyDescent="0.25">
      <c r="B38" s="53" t="s">
        <v>128</v>
      </c>
      <c r="C38" s="32">
        <v>9900</v>
      </c>
      <c r="D38" s="32">
        <v>10098</v>
      </c>
      <c r="E38" s="32">
        <v>10299.959999999999</v>
      </c>
      <c r="F38" s="32">
        <v>10505.959199999999</v>
      </c>
      <c r="G38" s="32">
        <v>10716.078384</v>
      </c>
      <c r="H38" s="32">
        <v>10930.399951680001</v>
      </c>
      <c r="I38" s="32">
        <v>11149.007950713598</v>
      </c>
      <c r="J38" s="32">
        <v>11371.988109727872</v>
      </c>
      <c r="K38" s="32">
        <v>11599.427871922429</v>
      </c>
      <c r="L38" s="32">
        <v>11831.416429360877</v>
      </c>
      <c r="M38" s="32">
        <v>12068.044757948093</v>
      </c>
      <c r="N38" s="32">
        <v>12309.405653107056</v>
      </c>
      <c r="O38" s="32">
        <v>12555.593766169197</v>
      </c>
      <c r="P38" s="32">
        <v>12806.705641492583</v>
      </c>
      <c r="Q38" s="32">
        <v>13062.839754322431</v>
      </c>
      <c r="R38" s="32">
        <v>8757.5658377633827</v>
      </c>
      <c r="S38" s="32">
        <v>8146.9598419964004</v>
      </c>
      <c r="T38" s="32">
        <v>7669.8510360503606</v>
      </c>
      <c r="U38" s="32">
        <v>5552.6253971661972</v>
      </c>
    </row>
    <row r="39" spans="1:21" x14ac:dyDescent="0.25">
      <c r="B39" s="53" t="s">
        <v>100</v>
      </c>
      <c r="C39" s="32">
        <v>9900</v>
      </c>
      <c r="D39" s="32">
        <v>10098</v>
      </c>
      <c r="E39" s="32">
        <v>10299.959999999999</v>
      </c>
      <c r="F39" s="32">
        <v>10505.959199999999</v>
      </c>
      <c r="G39" s="32">
        <v>10716.078384</v>
      </c>
      <c r="H39" s="32">
        <v>10930.399951680001</v>
      </c>
      <c r="I39" s="32">
        <v>11149.007950713598</v>
      </c>
      <c r="J39" s="32">
        <v>11371.988109727872</v>
      </c>
      <c r="K39" s="32">
        <v>11599.427871922429</v>
      </c>
      <c r="L39" s="32">
        <v>11831.416429360877</v>
      </c>
      <c r="M39" s="32">
        <v>12068.044757948093</v>
      </c>
      <c r="N39" s="32">
        <v>12309.405653107056</v>
      </c>
      <c r="O39" s="32">
        <v>12555.593766169197</v>
      </c>
      <c r="P39" s="32">
        <v>12806.705641492583</v>
      </c>
      <c r="Q39" s="32">
        <v>13062.839754322431</v>
      </c>
      <c r="R39" s="32">
        <v>8757.5658377633827</v>
      </c>
      <c r="S39" s="32">
        <v>8146.9598419964004</v>
      </c>
      <c r="T39" s="32">
        <v>7669.8510360503606</v>
      </c>
      <c r="U39" s="32">
        <v>5552.6253971661972</v>
      </c>
    </row>
    <row r="40" spans="1:21" x14ac:dyDescent="0.25">
      <c r="B40" s="53" t="s">
        <v>126</v>
      </c>
      <c r="C40" s="32">
        <v>2195.3696822350448</v>
      </c>
      <c r="D40" s="32">
        <v>4107.6802252012048</v>
      </c>
      <c r="E40" s="32">
        <v>5688.4397959973248</v>
      </c>
      <c r="F40" s="32">
        <v>7805.9835845343423</v>
      </c>
      <c r="G40" s="32">
        <v>8557.939363481395</v>
      </c>
      <c r="H40" s="32">
        <v>8945.8008229186398</v>
      </c>
      <c r="I40" s="32">
        <v>8724.6539988211116</v>
      </c>
      <c r="J40" s="32">
        <v>9132.0848446897362</v>
      </c>
      <c r="K40" s="32">
        <v>8752.5485710220746</v>
      </c>
      <c r="L40" s="32">
        <v>7641.8151900078446</v>
      </c>
      <c r="M40" s="32">
        <v>7160.3412102737675</v>
      </c>
      <c r="N40" s="32">
        <v>6187.7016861897109</v>
      </c>
      <c r="O40" s="32">
        <v>4045.8957160982472</v>
      </c>
      <c r="P40" s="32">
        <v>1212.9162355966419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</row>
    <row r="41" spans="1:21" x14ac:dyDescent="0.25">
      <c r="B41" s="53" t="s">
        <v>101</v>
      </c>
      <c r="C41" s="32">
        <v>2195.3696822350448</v>
      </c>
      <c r="D41" s="32">
        <v>4107.6802252012048</v>
      </c>
      <c r="E41" s="32">
        <v>5688.4397959973248</v>
      </c>
      <c r="F41" s="32">
        <v>7805.9835845343423</v>
      </c>
      <c r="G41" s="32">
        <v>8557.939363481395</v>
      </c>
      <c r="H41" s="32">
        <v>8945.8008229186398</v>
      </c>
      <c r="I41" s="32">
        <v>8724.6539988211116</v>
      </c>
      <c r="J41" s="32">
        <v>9132.0848446897362</v>
      </c>
      <c r="K41" s="32">
        <v>8752.5485710220746</v>
      </c>
      <c r="L41" s="32">
        <v>7641.8151900078446</v>
      </c>
      <c r="M41" s="32">
        <v>7160.3412102737675</v>
      </c>
      <c r="N41" s="32">
        <v>6187.7016861897109</v>
      </c>
      <c r="O41" s="32">
        <v>4045.8957160982472</v>
      </c>
      <c r="P41" s="32">
        <v>1212.9162355966419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</row>
    <row r="43" spans="1:21" x14ac:dyDescent="0.25">
      <c r="B43" s="54" t="s">
        <v>95</v>
      </c>
    </row>
    <row r="44" spans="1:21" x14ac:dyDescent="0.25">
      <c r="A44" s="53" t="s">
        <v>92</v>
      </c>
    </row>
    <row r="45" spans="1:21" x14ac:dyDescent="0.25">
      <c r="C45" s="54">
        <v>2017</v>
      </c>
      <c r="D45" s="54">
        <v>2018</v>
      </c>
      <c r="E45" s="54">
        <v>2019</v>
      </c>
      <c r="F45" s="54">
        <v>2020</v>
      </c>
      <c r="G45" s="54">
        <v>2021</v>
      </c>
      <c r="H45" s="54">
        <v>2022</v>
      </c>
      <c r="I45" s="54">
        <v>2023</v>
      </c>
      <c r="J45" s="54">
        <v>2024</v>
      </c>
      <c r="K45" s="54">
        <v>2025</v>
      </c>
      <c r="L45" s="54">
        <v>2026</v>
      </c>
      <c r="M45" s="54">
        <v>2027</v>
      </c>
      <c r="N45" s="54">
        <v>2028</v>
      </c>
      <c r="O45" s="54">
        <v>2029</v>
      </c>
      <c r="P45" s="54">
        <v>2030</v>
      </c>
      <c r="Q45" s="54">
        <v>2031</v>
      </c>
      <c r="R45" s="54">
        <v>2032</v>
      </c>
      <c r="S45" s="54">
        <v>2033</v>
      </c>
      <c r="T45" s="54">
        <v>2034</v>
      </c>
      <c r="U45" s="54">
        <v>2035</v>
      </c>
    </row>
    <row r="46" spans="1:21" x14ac:dyDescent="0.25">
      <c r="B46" s="53" t="s">
        <v>93</v>
      </c>
      <c r="C46" s="37">
        <v>160.21813261808913</v>
      </c>
      <c r="D46" s="37">
        <v>162.76950298964928</v>
      </c>
      <c r="E46" s="37">
        <v>165.41420006702134</v>
      </c>
      <c r="F46" s="37">
        <v>175.93913634995977</v>
      </c>
      <c r="G46" s="37">
        <v>173.59521544491813</v>
      </c>
      <c r="H46" s="37">
        <v>176.91285983413323</v>
      </c>
      <c r="I46" s="37">
        <v>181.62400566574021</v>
      </c>
      <c r="J46" s="37">
        <v>184.27346390503419</v>
      </c>
      <c r="K46" s="37">
        <v>193.40059926022687</v>
      </c>
      <c r="L46" s="37">
        <v>188.34673981076375</v>
      </c>
      <c r="M46" s="37">
        <v>198.30087601824903</v>
      </c>
      <c r="N46" s="37">
        <v>198.7304092484664</v>
      </c>
      <c r="O46" s="37">
        <v>197.50537476437415</v>
      </c>
      <c r="P46" s="37">
        <v>199.74140225073614</v>
      </c>
      <c r="Q46" s="37">
        <v>202.23608967519249</v>
      </c>
      <c r="R46" s="37">
        <v>204.56887182590933</v>
      </c>
      <c r="S46" s="37">
        <v>206.53005862045072</v>
      </c>
      <c r="T46" s="37">
        <v>207.93290009161953</v>
      </c>
      <c r="U46" s="37">
        <v>204.40973222330072</v>
      </c>
    </row>
    <row r="47" spans="1:21" x14ac:dyDescent="0.25">
      <c r="B47" s="53" t="s">
        <v>102</v>
      </c>
      <c r="C47" s="37">
        <v>147.86145523215077</v>
      </c>
      <c r="D47" s="37">
        <v>152.99456320510507</v>
      </c>
      <c r="E47" s="37">
        <v>158.31684691660212</v>
      </c>
      <c r="F47" s="37">
        <v>166.51600616097167</v>
      </c>
      <c r="G47" s="37">
        <v>172.87265549265393</v>
      </c>
      <c r="H47" s="37">
        <v>178.59501918799134</v>
      </c>
      <c r="I47" s="37">
        <v>186.93399525140214</v>
      </c>
      <c r="J47" s="37">
        <v>185.92029809315221</v>
      </c>
      <c r="K47" s="37">
        <v>199.69283578049718</v>
      </c>
      <c r="L47" s="37">
        <v>198.68421253191372</v>
      </c>
      <c r="M47" s="37">
        <v>204.49514490056529</v>
      </c>
      <c r="N47" s="37">
        <v>207.49035515878873</v>
      </c>
      <c r="O47" s="37">
        <v>212.45129188298617</v>
      </c>
      <c r="P47" s="37">
        <v>217.50866944279693</v>
      </c>
      <c r="Q47" s="37">
        <v>227.42863932203977</v>
      </c>
      <c r="R47" s="37">
        <v>204.56887182590933</v>
      </c>
      <c r="S47" s="37">
        <v>206.53005862045072</v>
      </c>
      <c r="T47" s="37">
        <v>207.93290009161953</v>
      </c>
      <c r="U47" s="37">
        <v>204.40973222330072</v>
      </c>
    </row>
    <row r="48" spans="1:21" x14ac:dyDescent="0.25">
      <c r="B48" s="53" t="s">
        <v>103</v>
      </c>
      <c r="C48" s="37">
        <v>147.86145523215077</v>
      </c>
      <c r="D48" s="37">
        <v>152.99456320510507</v>
      </c>
      <c r="E48" s="37">
        <v>158.31684691660212</v>
      </c>
      <c r="F48" s="37">
        <v>166.51600616097167</v>
      </c>
      <c r="G48" s="37">
        <v>172.87265549265393</v>
      </c>
      <c r="H48" s="37">
        <v>178.59501918799134</v>
      </c>
      <c r="I48" s="37">
        <v>186.93399525140214</v>
      </c>
      <c r="J48" s="37">
        <v>185.92029809315221</v>
      </c>
      <c r="K48" s="37">
        <v>199.69283578049718</v>
      </c>
      <c r="L48" s="37">
        <v>198.68421253191372</v>
      </c>
      <c r="M48" s="37">
        <v>204.49514490056529</v>
      </c>
      <c r="N48" s="37">
        <v>207.49035515878873</v>
      </c>
      <c r="O48" s="37">
        <v>212.45129188298617</v>
      </c>
      <c r="P48" s="37">
        <v>217.50866944279693</v>
      </c>
      <c r="Q48" s="37">
        <v>227.42863932203977</v>
      </c>
      <c r="R48" s="37">
        <v>204.56887182590933</v>
      </c>
      <c r="S48" s="37">
        <v>206.53005862045072</v>
      </c>
      <c r="T48" s="37">
        <v>207.93290009161953</v>
      </c>
      <c r="U48" s="37">
        <v>204.40973222330072</v>
      </c>
    </row>
  </sheetData>
  <mergeCells count="2">
    <mergeCell ref="C8:D8"/>
    <mergeCell ref="C15:D15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PayDebtAllScenarios">
                <anchor moveWithCells="1" sizeWithCells="1">
                  <from>
                    <xdr:col>5</xdr:col>
                    <xdr:colOff>66675</xdr:colOff>
                    <xdr:row>11</xdr:row>
                    <xdr:rowOff>95250</xdr:rowOff>
                  </from>
                  <to>
                    <xdr:col>5</xdr:col>
                    <xdr:colOff>1885950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5" name="Button 3">
              <controlPr defaultSize="0" print="0" autoFill="0" autoPict="0" macro="[0]!PayDebtMaxIncrease">
                <anchor moveWithCells="1" sizeWithCells="1">
                  <from>
                    <xdr:col>5</xdr:col>
                    <xdr:colOff>66675</xdr:colOff>
                    <xdr:row>8</xdr:row>
                    <xdr:rowOff>85725</xdr:rowOff>
                  </from>
                  <to>
                    <xdr:col>5</xdr:col>
                    <xdr:colOff>1847850</xdr:colOff>
                    <xdr:row>10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J22"/>
  <sheetViews>
    <sheetView zoomScale="70" zoomScaleNormal="70" workbookViewId="0">
      <selection activeCell="H22" sqref="H22"/>
    </sheetView>
  </sheetViews>
  <sheetFormatPr defaultRowHeight="15" x14ac:dyDescent="0.25"/>
  <cols>
    <col min="2" max="2" width="55" bestFit="1" customWidth="1"/>
    <col min="3" max="3" width="21.140625" bestFit="1" customWidth="1"/>
    <col min="4" max="10" width="12.5703125" bestFit="1" customWidth="1"/>
    <col min="11" max="19" width="12" bestFit="1" customWidth="1"/>
    <col min="20" max="20" width="20.85546875" bestFit="1" customWidth="1"/>
    <col min="21" max="21" width="12" bestFit="1" customWidth="1"/>
    <col min="22" max="22" width="11.42578125" bestFit="1" customWidth="1"/>
    <col min="23" max="24" width="14.85546875" bestFit="1" customWidth="1"/>
    <col min="25" max="25" width="12.42578125" bestFit="1" customWidth="1"/>
    <col min="26" max="29" width="14.85546875" bestFit="1" customWidth="1"/>
    <col min="30" max="30" width="13.5703125" bestFit="1" customWidth="1"/>
    <col min="31" max="31" width="14.85546875" bestFit="1" customWidth="1"/>
    <col min="32" max="32" width="13.5703125" bestFit="1" customWidth="1"/>
    <col min="33" max="33" width="14.85546875" bestFit="1" customWidth="1"/>
  </cols>
  <sheetData>
    <row r="1" spans="2:36" x14ac:dyDescent="0.25">
      <c r="D1" t="s">
        <v>224</v>
      </c>
      <c r="E1" t="s">
        <v>227</v>
      </c>
      <c r="F1" t="s">
        <v>229</v>
      </c>
    </row>
    <row r="2" spans="2:36" x14ac:dyDescent="0.25">
      <c r="B2" s="19" t="s">
        <v>226</v>
      </c>
      <c r="C2" s="19">
        <f ca="1">OFFSET($C2, 0, MATCH(Summary!$C$18, 'Residential Bill'!$D$1:$F$1, 0))</f>
        <v>0.82</v>
      </c>
      <c r="D2" s="19">
        <v>0.82</v>
      </c>
      <c r="E2" s="19">
        <v>0.82</v>
      </c>
      <c r="F2" s="149">
        <f>E2*C5</f>
        <v>0.43459999999999999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2:36" x14ac:dyDescent="0.25">
      <c r="B3" s="19" t="s">
        <v>228</v>
      </c>
      <c r="C3" s="105">
        <f ca="1">OFFSET($C3, 0, MATCH(Summary!$C$18, 'Residential Bill'!$D$1:$F$1, 0))</f>
        <v>0.88</v>
      </c>
      <c r="D3" s="19">
        <v>0.88</v>
      </c>
      <c r="E3" s="19">
        <v>1</v>
      </c>
      <c r="F3" s="19">
        <v>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2:36" x14ac:dyDescent="0.25">
      <c r="B4" s="19" t="s">
        <v>81</v>
      </c>
      <c r="C4" s="19">
        <v>0.75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2:36" s="53" customFormat="1" x14ac:dyDescent="0.25">
      <c r="B5" s="53" t="s">
        <v>230</v>
      </c>
      <c r="C5" s="149">
        <v>0.53</v>
      </c>
      <c r="T5" s="53" t="s">
        <v>130</v>
      </c>
      <c r="U5" s="53">
        <f>AVERAGE(L9:U9)</f>
        <v>4.1624831880135993E-3</v>
      </c>
    </row>
    <row r="6" spans="2:36" ht="15.75" thickBot="1" x14ac:dyDescent="0.3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2:36" ht="15.75" thickBot="1" x14ac:dyDescent="0.3">
      <c r="B7" s="1"/>
      <c r="C7" s="2">
        <v>2017</v>
      </c>
      <c r="D7" s="2">
        <v>2018</v>
      </c>
      <c r="E7" s="2">
        <v>2019</v>
      </c>
      <c r="F7" s="2">
        <v>2020</v>
      </c>
      <c r="G7" s="2">
        <v>2021</v>
      </c>
      <c r="H7" s="2">
        <v>2022</v>
      </c>
      <c r="I7" s="2">
        <v>2023</v>
      </c>
      <c r="J7" s="2">
        <v>2024</v>
      </c>
      <c r="K7" s="2">
        <v>2025</v>
      </c>
      <c r="L7" s="2">
        <v>2026</v>
      </c>
      <c r="M7" s="2">
        <v>2027</v>
      </c>
      <c r="N7" s="2">
        <v>2028</v>
      </c>
      <c r="O7" s="2">
        <v>2029</v>
      </c>
      <c r="P7" s="2">
        <v>2030</v>
      </c>
      <c r="Q7" s="2">
        <v>2031</v>
      </c>
      <c r="R7" s="2">
        <v>2032</v>
      </c>
      <c r="S7" s="2">
        <v>2033</v>
      </c>
      <c r="T7" s="2">
        <v>2034</v>
      </c>
      <c r="U7" s="2">
        <v>2035</v>
      </c>
      <c r="V7" s="2">
        <v>2036</v>
      </c>
      <c r="W7" s="2">
        <v>2037</v>
      </c>
      <c r="X7" s="2">
        <v>2038</v>
      </c>
      <c r="Y7" s="2">
        <v>2039</v>
      </c>
      <c r="Z7" s="2">
        <v>2040</v>
      </c>
      <c r="AA7" s="2">
        <v>2041</v>
      </c>
      <c r="AB7" s="2">
        <v>2042</v>
      </c>
      <c r="AC7" s="2">
        <v>2043</v>
      </c>
      <c r="AD7" s="2">
        <v>2044</v>
      </c>
      <c r="AE7" s="2">
        <v>2045</v>
      </c>
      <c r="AF7" s="2">
        <v>2046</v>
      </c>
      <c r="AG7" s="2">
        <v>2047</v>
      </c>
      <c r="AH7" s="2">
        <v>2048</v>
      </c>
      <c r="AI7" s="2">
        <v>2049</v>
      </c>
      <c r="AJ7" s="2">
        <v>2050</v>
      </c>
    </row>
    <row r="8" spans="2:36" ht="16.5" thickBot="1" x14ac:dyDescent="0.3">
      <c r="B8" s="26" t="s">
        <v>136</v>
      </c>
      <c r="C8" s="27">
        <v>143</v>
      </c>
      <c r="D8" s="27">
        <v>143</v>
      </c>
      <c r="E8" s="27">
        <v>142</v>
      </c>
      <c r="F8" s="27">
        <v>142</v>
      </c>
      <c r="G8" s="27">
        <v>142</v>
      </c>
      <c r="H8" s="27">
        <v>142</v>
      </c>
      <c r="I8" s="27">
        <v>142</v>
      </c>
      <c r="J8" s="27">
        <v>142</v>
      </c>
      <c r="K8" s="27">
        <v>142</v>
      </c>
      <c r="L8" s="27">
        <v>141</v>
      </c>
      <c r="M8" s="27">
        <v>142</v>
      </c>
      <c r="N8" s="27">
        <v>142</v>
      </c>
      <c r="O8" s="27">
        <v>142</v>
      </c>
      <c r="P8" s="27">
        <v>143</v>
      </c>
      <c r="Q8" s="27">
        <v>143</v>
      </c>
      <c r="R8" s="27">
        <v>144</v>
      </c>
      <c r="S8" s="27">
        <v>145</v>
      </c>
      <c r="T8" s="27">
        <v>146</v>
      </c>
      <c r="U8" s="27">
        <v>148</v>
      </c>
      <c r="V8" s="65">
        <f t="shared" ref="V8:AJ8" si="0">U8*(1+$U$5)</f>
        <v>148.61604751182603</v>
      </c>
      <c r="W8" s="65">
        <f t="shared" si="0"/>
        <v>149.23465931106304</v>
      </c>
      <c r="X8" s="65">
        <f t="shared" si="0"/>
        <v>149.85584607151426</v>
      </c>
      <c r="Y8" s="65">
        <f t="shared" si="0"/>
        <v>150.4796185114125</v>
      </c>
      <c r="Z8" s="65">
        <f t="shared" si="0"/>
        <v>151.10598739360495</v>
      </c>
      <c r="AA8" s="65">
        <f t="shared" si="0"/>
        <v>151.73496352573903</v>
      </c>
      <c r="AB8" s="65">
        <f t="shared" si="0"/>
        <v>152.36655776044879</v>
      </c>
      <c r="AC8" s="65">
        <f t="shared" si="0"/>
        <v>153.00078099554216</v>
      </c>
      <c r="AD8" s="65">
        <f t="shared" si="0"/>
        <v>153.63764417418906</v>
      </c>
      <c r="AE8" s="65">
        <f t="shared" si="0"/>
        <v>154.27715828511015</v>
      </c>
      <c r="AF8" s="65">
        <f t="shared" si="0"/>
        <v>154.91933436276642</v>
      </c>
      <c r="AG8" s="65">
        <f t="shared" si="0"/>
        <v>155.56418348754968</v>
      </c>
      <c r="AH8" s="65">
        <f t="shared" si="0"/>
        <v>156.21171678597366</v>
      </c>
      <c r="AI8" s="65">
        <f t="shared" si="0"/>
        <v>156.86194543086603</v>
      </c>
      <c r="AJ8" s="65">
        <f t="shared" si="0"/>
        <v>157.51488064156112</v>
      </c>
    </row>
    <row r="9" spans="2:36" s="53" customFormat="1" ht="15.75" x14ac:dyDescent="0.25">
      <c r="B9" s="63"/>
      <c r="C9" s="64"/>
      <c r="D9" s="64">
        <f>D8/C8-1</f>
        <v>0</v>
      </c>
      <c r="E9" s="64">
        <f t="shared" ref="E9:U9" si="1">E8/D8-1</f>
        <v>-6.9930069930069783E-3</v>
      </c>
      <c r="F9" s="64">
        <f t="shared" si="1"/>
        <v>0</v>
      </c>
      <c r="G9" s="64">
        <f t="shared" si="1"/>
        <v>0</v>
      </c>
      <c r="H9" s="64">
        <f t="shared" si="1"/>
        <v>0</v>
      </c>
      <c r="I9" s="64">
        <f t="shared" si="1"/>
        <v>0</v>
      </c>
      <c r="J9" s="64">
        <f t="shared" si="1"/>
        <v>0</v>
      </c>
      <c r="K9" s="64">
        <f t="shared" si="1"/>
        <v>0</v>
      </c>
      <c r="L9" s="64">
        <f t="shared" si="1"/>
        <v>-7.0422535211267512E-3</v>
      </c>
      <c r="M9" s="64">
        <f t="shared" si="1"/>
        <v>7.0921985815601829E-3</v>
      </c>
      <c r="N9" s="64">
        <f t="shared" si="1"/>
        <v>0</v>
      </c>
      <c r="O9" s="64">
        <f t="shared" si="1"/>
        <v>0</v>
      </c>
      <c r="P9" s="64">
        <f t="shared" si="1"/>
        <v>7.0422535211267512E-3</v>
      </c>
      <c r="Q9" s="64">
        <f t="shared" si="1"/>
        <v>0</v>
      </c>
      <c r="R9" s="64">
        <f t="shared" si="1"/>
        <v>6.9930069930070893E-3</v>
      </c>
      <c r="S9" s="64">
        <f t="shared" si="1"/>
        <v>6.9444444444444198E-3</v>
      </c>
      <c r="T9" s="64">
        <f t="shared" si="1"/>
        <v>6.8965517241379448E-3</v>
      </c>
      <c r="U9" s="64">
        <f t="shared" si="1"/>
        <v>1.3698630136986356E-2</v>
      </c>
    </row>
    <row r="10" spans="2:36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 t="s">
        <v>82</v>
      </c>
      <c r="U10" s="21">
        <f>U19/P19-0.01</f>
        <v>1.0137120416140202</v>
      </c>
      <c r="AH10" s="53"/>
      <c r="AI10" s="53"/>
      <c r="AJ10" s="53"/>
    </row>
    <row r="11" spans="2:36" x14ac:dyDescent="0.25">
      <c r="B11" s="24"/>
      <c r="C11" s="25">
        <v>2017</v>
      </c>
      <c r="D11" s="25">
        <v>2018</v>
      </c>
      <c r="E11" s="25">
        <v>2019</v>
      </c>
      <c r="F11" s="25">
        <v>2020</v>
      </c>
      <c r="G11" s="25">
        <v>2021</v>
      </c>
      <c r="H11" s="25">
        <v>2022</v>
      </c>
      <c r="I11" s="25">
        <v>2023</v>
      </c>
      <c r="J11" s="25">
        <v>2024</v>
      </c>
      <c r="K11" s="25">
        <v>2025</v>
      </c>
      <c r="L11" s="25">
        <v>2026</v>
      </c>
      <c r="M11" s="25">
        <v>2027</v>
      </c>
      <c r="N11" s="25">
        <v>2028</v>
      </c>
      <c r="O11" s="25">
        <v>2029</v>
      </c>
      <c r="P11" s="25">
        <v>2030</v>
      </c>
      <c r="Q11" s="25">
        <v>2031</v>
      </c>
      <c r="R11" s="25">
        <v>2032</v>
      </c>
      <c r="S11" s="25">
        <v>2033</v>
      </c>
      <c r="T11" s="25">
        <v>2034</v>
      </c>
      <c r="U11" s="25">
        <v>2035</v>
      </c>
      <c r="V11" s="25">
        <v>2036</v>
      </c>
      <c r="W11" s="25">
        <v>2037</v>
      </c>
      <c r="X11" s="25">
        <v>2038</v>
      </c>
      <c r="Y11" s="25">
        <v>2039</v>
      </c>
      <c r="Z11" s="25">
        <v>2040</v>
      </c>
      <c r="AA11" s="25">
        <v>2041</v>
      </c>
      <c r="AB11" s="25">
        <v>2042</v>
      </c>
      <c r="AC11" s="25">
        <v>2043</v>
      </c>
      <c r="AD11" s="25">
        <v>2044</v>
      </c>
      <c r="AE11" s="25">
        <v>2045</v>
      </c>
      <c r="AF11" s="25">
        <v>2046</v>
      </c>
      <c r="AG11" s="25">
        <v>2047</v>
      </c>
      <c r="AH11" s="25">
        <v>2048</v>
      </c>
      <c r="AI11" s="25">
        <v>2049</v>
      </c>
      <c r="AJ11" s="25">
        <v>2050</v>
      </c>
    </row>
    <row r="12" spans="2:36" x14ac:dyDescent="0.25">
      <c r="B12" s="25" t="s">
        <v>83</v>
      </c>
      <c r="C12" s="28">
        <f>Calcs!D34</f>
        <v>-2314.1083333333354</v>
      </c>
      <c r="D12" s="28">
        <f>Calcs!E34</f>
        <v>-2173.5206999999991</v>
      </c>
      <c r="E12" s="28">
        <f>Calcs!F34</f>
        <v>-2185.433073575754</v>
      </c>
      <c r="F12" s="28">
        <f>Calcs!G34</f>
        <v>-3435.848268380596</v>
      </c>
      <c r="G12" s="28">
        <f>Calcs!H34</f>
        <v>-2384.4124337482062</v>
      </c>
      <c r="H12" s="28">
        <f>Calcs!I34</f>
        <v>-2005.3003587539115</v>
      </c>
      <c r="I12" s="28">
        <f>Calcs!J34</f>
        <v>-1442.5397482612898</v>
      </c>
      <c r="J12" s="28">
        <f>Calcs!K34</f>
        <v>-2151.2087831965964</v>
      </c>
      <c r="K12" s="28">
        <f>Calcs!L34</f>
        <v>-1370.5696132644425</v>
      </c>
      <c r="L12" s="28">
        <f>Calcs!M34</f>
        <v>-693.70975607346372</v>
      </c>
      <c r="M12" s="28">
        <f>Calcs!N34</f>
        <v>-1516.4752355268392</v>
      </c>
      <c r="N12" s="28">
        <f>Calcs!O34</f>
        <v>-1102.2012686633661</v>
      </c>
      <c r="O12" s="28">
        <f>Calcs!P34</f>
        <v>-97.45787995579667</v>
      </c>
      <c r="P12" s="28">
        <f>Calcs!Q34</f>
        <v>388.02087459012182</v>
      </c>
      <c r="Q12" s="28">
        <f>Calcs!R34</f>
        <v>1657.1634712713276</v>
      </c>
      <c r="R12" s="28">
        <f>Calcs!S34</f>
        <v>1697.9423003123375</v>
      </c>
      <c r="S12" s="28">
        <f>Calcs!T34</f>
        <v>2490.200430218687</v>
      </c>
      <c r="T12" s="28">
        <f>Calcs!U34</f>
        <v>3186.3683956960704</v>
      </c>
      <c r="U12" s="28">
        <f>Calcs!V34</f>
        <v>3524.49190795303</v>
      </c>
      <c r="V12" s="28">
        <f>Calcs!W34</f>
        <v>3524.4919079530309</v>
      </c>
      <c r="W12" s="28">
        <f>Calcs!X34</f>
        <v>3524.49190795303</v>
      </c>
      <c r="X12" s="28">
        <f>Calcs!Y34</f>
        <v>3524.49190795303</v>
      </c>
      <c r="Y12" s="28">
        <f>Calcs!Z34</f>
        <v>3524.49190795303</v>
      </c>
      <c r="Z12" s="28">
        <f>Calcs!AA34</f>
        <v>3524.49190795303</v>
      </c>
      <c r="AA12" s="28">
        <f>Calcs!AB34</f>
        <v>3524.49190795303</v>
      </c>
      <c r="AB12" s="28">
        <f>Calcs!AC34</f>
        <v>3524.4919079530305</v>
      </c>
      <c r="AC12" s="28">
        <f>Calcs!AD34</f>
        <v>3524.49190795303</v>
      </c>
      <c r="AD12" s="28">
        <f>Calcs!AE34</f>
        <v>3524.4919079530309</v>
      </c>
      <c r="AE12" s="28">
        <f>Calcs!AF34</f>
        <v>3524.4919079530309</v>
      </c>
      <c r="AF12" s="28">
        <f>Calcs!AG34</f>
        <v>3524.49190795303</v>
      </c>
      <c r="AG12" s="28">
        <f>Calcs!AH34</f>
        <v>3524.4919079530309</v>
      </c>
      <c r="AH12" s="28">
        <f>Calcs!AI34</f>
        <v>0</v>
      </c>
      <c r="AI12" s="28">
        <f>Calcs!AJ34</f>
        <v>0</v>
      </c>
      <c r="AJ12" s="28">
        <f>Calcs!AK34</f>
        <v>0</v>
      </c>
    </row>
    <row r="13" spans="2:36" s="105" customFormat="1" ht="30" x14ac:dyDescent="0.25">
      <c r="B13" s="23" t="s">
        <v>219</v>
      </c>
      <c r="C13" s="143">
        <f ca="1">$C$4*(C12*$C$3/(C$8*$C$2))</f>
        <v>-13.025000000000013</v>
      </c>
      <c r="D13" s="28">
        <f t="shared" ref="D13:AJ13" ca="1" si="2">$C$4*(D12*$C$3/(D$8*$C$2))</f>
        <v>-12.233699999999995</v>
      </c>
      <c r="E13" s="28">
        <f t="shared" ca="1" si="2"/>
        <v>-12.38737399999998</v>
      </c>
      <c r="F13" s="28">
        <f ca="1">$C$4*(F12*$C$3/(F$8*$C$2))</f>
        <v>-19.474921479999942</v>
      </c>
      <c r="G13" s="28">
        <f t="shared" ca="1" si="2"/>
        <v>-13.515219909599931</v>
      </c>
      <c r="H13" s="28">
        <f t="shared" ca="1" si="2"/>
        <v>-11.366353802624369</v>
      </c>
      <c r="I13" s="28">
        <f t="shared" ca="1" si="2"/>
        <v>-8.1765392807664998</v>
      </c>
      <c r="J13" s="28">
        <f t="shared" ca="1" si="2"/>
        <v>-12.193385408019182</v>
      </c>
      <c r="K13" s="28">
        <f t="shared" ca="1" si="2"/>
        <v>-7.7686013805782554</v>
      </c>
      <c r="L13" s="28">
        <f t="shared" ca="1" si="2"/>
        <v>-3.9599415240311888</v>
      </c>
      <c r="M13" s="28">
        <f t="shared" ca="1" si="2"/>
        <v>-8.5956171027800909</v>
      </c>
      <c r="N13" s="28">
        <f t="shared" ca="1" si="2"/>
        <v>-6.2474479329940031</v>
      </c>
      <c r="O13" s="28">
        <f t="shared" ca="1" si="2"/>
        <v>-0.55240639617679321</v>
      </c>
      <c r="P13" s="28">
        <f t="shared" ca="1" si="2"/>
        <v>2.1839824085747948</v>
      </c>
      <c r="Q13" s="28">
        <f t="shared" ca="1" si="2"/>
        <v>9.3273741347354271</v>
      </c>
      <c r="R13" s="28">
        <f t="shared" ca="1" si="2"/>
        <v>9.4905311501197733</v>
      </c>
      <c r="S13" s="28">
        <f t="shared" ca="1" si="2"/>
        <v>13.822811471356882</v>
      </c>
      <c r="T13" s="28">
        <f t="shared" ca="1" si="2"/>
        <v>17.566013541257988</v>
      </c>
      <c r="U13" s="28">
        <f t="shared" ca="1" si="2"/>
        <v>19.167474120377388</v>
      </c>
      <c r="V13" s="28">
        <f t="shared" ca="1" si="2"/>
        <v>19.088020555721744</v>
      </c>
      <c r="W13" s="28">
        <f t="shared" ca="1" si="2"/>
        <v>19.008896344266034</v>
      </c>
      <c r="X13" s="28">
        <f t="shared" ca="1" si="2"/>
        <v>18.930100120765935</v>
      </c>
      <c r="Y13" s="28">
        <f t="shared" ca="1" si="2"/>
        <v>18.851630525636331</v>
      </c>
      <c r="Z13" s="28">
        <f t="shared" ca="1" si="2"/>
        <v>18.773486204927913</v>
      </c>
      <c r="AA13" s="28">
        <f t="shared" ca="1" si="2"/>
        <v>18.695665810303801</v>
      </c>
      <c r="AB13" s="28">
        <f t="shared" ca="1" si="2"/>
        <v>18.618167999016286</v>
      </c>
      <c r="AC13" s="28">
        <f t="shared" ca="1" si="2"/>
        <v>18.540991433883637</v>
      </c>
      <c r="AD13" s="28">
        <f t="shared" ca="1" si="2"/>
        <v>18.464134783267077</v>
      </c>
      <c r="AE13" s="28">
        <f t="shared" ca="1" si="2"/>
        <v>18.387596721047743</v>
      </c>
      <c r="AF13" s="28">
        <f t="shared" ca="1" si="2"/>
        <v>18.311375926603851</v>
      </c>
      <c r="AG13" s="28">
        <f t="shared" ca="1" si="2"/>
        <v>18.235471084787918</v>
      </c>
      <c r="AH13" s="28">
        <f t="shared" ca="1" si="2"/>
        <v>0</v>
      </c>
      <c r="AI13" s="28">
        <f t="shared" ca="1" si="2"/>
        <v>0</v>
      </c>
      <c r="AJ13" s="28">
        <f t="shared" ca="1" si="2"/>
        <v>0</v>
      </c>
    </row>
    <row r="14" spans="2:36" ht="32.25" customHeight="1" x14ac:dyDescent="0.25">
      <c r="B14" s="23" t="s">
        <v>220</v>
      </c>
      <c r="C14" s="29">
        <f ca="1">C13*1.13</f>
        <v>-14.718250000000014</v>
      </c>
      <c r="D14" s="29">
        <f t="shared" ref="D14:AJ14" ca="1" si="3">D13*1.13</f>
        <v>-13.824080999999994</v>
      </c>
      <c r="E14" s="29">
        <f t="shared" ca="1" si="3"/>
        <v>-13.997732619999976</v>
      </c>
      <c r="F14" s="29">
        <f ca="1">F13*1.13</f>
        <v>-22.006661272399931</v>
      </c>
      <c r="G14" s="29">
        <f t="shared" ca="1" si="3"/>
        <v>-15.272198497847921</v>
      </c>
      <c r="H14" s="29">
        <f t="shared" ca="1" si="3"/>
        <v>-12.843979796965536</v>
      </c>
      <c r="I14" s="29">
        <f t="shared" ca="1" si="3"/>
        <v>-9.2394893872661434</v>
      </c>
      <c r="J14" s="29">
        <f t="shared" ca="1" si="3"/>
        <v>-13.778525511061675</v>
      </c>
      <c r="K14" s="29">
        <f t="shared" ca="1" si="3"/>
        <v>-8.7785195600534287</v>
      </c>
      <c r="L14" s="29">
        <f t="shared" ca="1" si="3"/>
        <v>-4.4747339221552433</v>
      </c>
      <c r="M14" s="29">
        <f t="shared" ca="1" si="3"/>
        <v>-9.7130473261415027</v>
      </c>
      <c r="N14" s="29">
        <f t="shared" ca="1" si="3"/>
        <v>-7.0596161642832227</v>
      </c>
      <c r="O14" s="29">
        <f t="shared" ca="1" si="3"/>
        <v>-0.62421922767977622</v>
      </c>
      <c r="P14" s="29">
        <f t="shared" ca="1" si="3"/>
        <v>2.4679001216895178</v>
      </c>
      <c r="Q14" s="29">
        <f t="shared" ca="1" si="3"/>
        <v>10.539932772251031</v>
      </c>
      <c r="R14" s="29">
        <f t="shared" ca="1" si="3"/>
        <v>10.724300199635342</v>
      </c>
      <c r="S14" s="29">
        <f t="shared" ca="1" si="3"/>
        <v>15.619776962633276</v>
      </c>
      <c r="T14" s="29">
        <f t="shared" ca="1" si="3"/>
        <v>19.849595301621523</v>
      </c>
      <c r="U14" s="29">
        <f t="shared" ca="1" si="3"/>
        <v>21.659245756026447</v>
      </c>
      <c r="V14" s="29">
        <f t="shared" ca="1" si="3"/>
        <v>21.569463227965571</v>
      </c>
      <c r="W14" s="29">
        <f t="shared" ca="1" si="3"/>
        <v>21.480052869020618</v>
      </c>
      <c r="X14" s="29">
        <f t="shared" ca="1" si="3"/>
        <v>21.391013136465507</v>
      </c>
      <c r="Y14" s="29">
        <f t="shared" ca="1" si="3"/>
        <v>21.302342493969054</v>
      </c>
      <c r="Z14" s="29">
        <f t="shared" ca="1" si="3"/>
        <v>21.214039411568539</v>
      </c>
      <c r="AA14" s="29">
        <f t="shared" ca="1" si="3"/>
        <v>21.126102365643295</v>
      </c>
      <c r="AB14" s="29">
        <f t="shared" ca="1" si="3"/>
        <v>21.038529838888401</v>
      </c>
      <c r="AC14" s="29">
        <f t="shared" ca="1" si="3"/>
        <v>20.951320320288506</v>
      </c>
      <c r="AD14" s="29">
        <f t="shared" ca="1" si="3"/>
        <v>20.864472305091795</v>
      </c>
      <c r="AE14" s="29">
        <f t="shared" ca="1" si="3"/>
        <v>20.777984294783948</v>
      </c>
      <c r="AF14" s="29">
        <f t="shared" ca="1" si="3"/>
        <v>20.691854797062351</v>
      </c>
      <c r="AG14" s="29">
        <f t="shared" ca="1" si="3"/>
        <v>20.606082325810345</v>
      </c>
      <c r="AH14" s="29">
        <f t="shared" ca="1" si="3"/>
        <v>0</v>
      </c>
      <c r="AI14" s="29">
        <f t="shared" ca="1" si="3"/>
        <v>0</v>
      </c>
      <c r="AJ14" s="29">
        <f t="shared" ca="1" si="3"/>
        <v>0</v>
      </c>
    </row>
    <row r="15" spans="2:36" s="19" customFormat="1" ht="32.25" customHeight="1" x14ac:dyDescent="0.25">
      <c r="B15" s="30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AH15" s="53"/>
      <c r="AI15" s="53"/>
      <c r="AJ15" s="53"/>
    </row>
    <row r="16" spans="2:36" x14ac:dyDescent="0.25"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 t="s">
        <v>130</v>
      </c>
      <c r="U16" s="68">
        <f>AVERAGE(O18:U18)</f>
        <v>4.1253217723841006E-3</v>
      </c>
      <c r="AH16" s="53"/>
      <c r="AI16" s="53"/>
      <c r="AJ16" s="53"/>
    </row>
    <row r="17" spans="2:36" s="53" customFormat="1" x14ac:dyDescent="0.25">
      <c r="B17" s="36" t="s">
        <v>123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</row>
    <row r="18" spans="2:36" s="53" customFormat="1" x14ac:dyDescent="0.25">
      <c r="B18" s="66" t="s">
        <v>132</v>
      </c>
      <c r="C18" s="31"/>
      <c r="D18" s="67">
        <f>D19/C19-1</f>
        <v>1.592435468987663E-2</v>
      </c>
      <c r="E18" s="67">
        <f t="shared" ref="E18:U18" si="4">E19/D19-1</f>
        <v>1.6248111770300389E-2</v>
      </c>
      <c r="F18" s="67">
        <f t="shared" si="4"/>
        <v>6.3634945593723069E-2</v>
      </c>
      <c r="G18" s="67">
        <f t="shared" si="4"/>
        <v>-1.3324892411382128E-2</v>
      </c>
      <c r="H18" s="67">
        <f t="shared" si="4"/>
        <v>1.9111486413721179E-2</v>
      </c>
      <c r="I18" s="67">
        <f t="shared" si="4"/>
        <v>2.7316703201734738E-2</v>
      </c>
      <c r="J18" s="67">
        <f t="shared" si="4"/>
        <v>1.4886387253257194E-2</v>
      </c>
      <c r="K18" s="67">
        <f t="shared" si="4"/>
        <v>4.9046574177055602E-2</v>
      </c>
      <c r="L18" s="67">
        <f t="shared" si="4"/>
        <v>-2.6065798474154467E-2</v>
      </c>
      <c r="M18" s="67">
        <f t="shared" si="4"/>
        <v>5.3002018186768529E-2</v>
      </c>
      <c r="N18" s="67">
        <f t="shared" si="4"/>
        <v>2.086732864434282E-3</v>
      </c>
      <c r="O18" s="67">
        <f t="shared" si="4"/>
        <v>-5.7390160052340766E-3</v>
      </c>
      <c r="P18" s="67">
        <f t="shared" si="4"/>
        <v>1.0819624682044449E-2</v>
      </c>
      <c r="Q18" s="67">
        <f t="shared" si="4"/>
        <v>1.2846960278518615E-2</v>
      </c>
      <c r="R18" s="67">
        <f t="shared" si="4"/>
        <v>1.1494045588967161E-2</v>
      </c>
      <c r="S18" s="67">
        <f t="shared" si="4"/>
        <v>9.5542724969437387E-3</v>
      </c>
      <c r="T18" s="67">
        <f t="shared" si="4"/>
        <v>6.8503829461701304E-3</v>
      </c>
      <c r="U18" s="67">
        <f t="shared" si="4"/>
        <v>-1.6949017580721315E-2</v>
      </c>
    </row>
    <row r="19" spans="2:36" x14ac:dyDescent="0.25">
      <c r="B19" s="19" t="s">
        <v>124</v>
      </c>
      <c r="C19" s="34">
        <f>'IESO Res Bill'!C6</f>
        <v>160.21813261808913</v>
      </c>
      <c r="D19" s="34">
        <f>'IESO Res Bill'!D6</f>
        <v>162.76950298964928</v>
      </c>
      <c r="E19" s="34">
        <f>'IESO Res Bill'!E6</f>
        <v>165.41420006702134</v>
      </c>
      <c r="F19" s="34">
        <f>'IESO Res Bill'!F6</f>
        <v>175.94032368871547</v>
      </c>
      <c r="G19" s="34">
        <f>'IESO Res Bill'!G6</f>
        <v>173.59593780473958</v>
      </c>
      <c r="H19" s="34">
        <f>'IESO Res Bill'!H6</f>
        <v>176.91361421157205</v>
      </c>
      <c r="I19" s="34">
        <f>'IESO Res Bill'!I6</f>
        <v>181.74631090333577</v>
      </c>
      <c r="J19" s="34">
        <f>'IESO Res Bill'!J6</f>
        <v>184.45185686929372</v>
      </c>
      <c r="K19" s="34">
        <f>'IESO Res Bill'!K6</f>
        <v>193.49858854932918</v>
      </c>
      <c r="L19" s="34">
        <f>'IESO Res Bill'!L6</f>
        <v>188.45489333516903</v>
      </c>
      <c r="M19" s="34">
        <f>'IESO Res Bill'!M6</f>
        <v>198.44338301910517</v>
      </c>
      <c r="N19" s="34">
        <f>'IESO Res Bill'!N6</f>
        <v>198.85748134818064</v>
      </c>
      <c r="O19" s="34">
        <f>'IESO Res Bill'!O6</f>
        <v>197.7162350799629</v>
      </c>
      <c r="P19" s="34">
        <f>'IESO Res Bill'!P6</f>
        <v>199.85545053707497</v>
      </c>
      <c r="Q19" s="34">
        <f>'IESO Res Bill'!Q6</f>
        <v>202.42298557157022</v>
      </c>
      <c r="R19" s="34">
        <f>'IESO Res Bill'!R6</f>
        <v>204.74964459598468</v>
      </c>
      <c r="S19" s="34">
        <f>'IESO Res Bill'!S6</f>
        <v>206.70587849410711</v>
      </c>
      <c r="T19" s="34">
        <f>'IESO Res Bill'!T6</f>
        <v>208.12189291901626</v>
      </c>
      <c r="U19" s="34">
        <f>'IESO Res Bill'!U6</f>
        <v>204.59443129699886</v>
      </c>
      <c r="AH19" s="53"/>
      <c r="AI19" s="53"/>
      <c r="AJ19" s="53"/>
    </row>
    <row r="20" spans="2:36" s="53" customFormat="1" x14ac:dyDescent="0.25">
      <c r="B20" s="53" t="s">
        <v>133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22">
        <f>U19*(1+U16)</f>
        <v>205.43844915893689</v>
      </c>
      <c r="W20" s="22">
        <f>V20*(1+$U$16)</f>
        <v>206.28594886613706</v>
      </c>
      <c r="X20" s="22">
        <f t="shared" ref="X20:AH20" si="5">W20*(1+$U$16)</f>
        <v>207.13694478233143</v>
      </c>
      <c r="Y20" s="22">
        <f t="shared" si="5"/>
        <v>207.99145133050709</v>
      </c>
      <c r="Z20" s="22">
        <f t="shared" si="5"/>
        <v>208.84948299315059</v>
      </c>
      <c r="AA20" s="22">
        <f t="shared" si="5"/>
        <v>209.71105431249339</v>
      </c>
      <c r="AB20" s="22">
        <f t="shared" si="5"/>
        <v>210.57617989075831</v>
      </c>
      <c r="AC20" s="22">
        <f t="shared" si="5"/>
        <v>211.44487439040711</v>
      </c>
      <c r="AD20" s="22">
        <f t="shared" si="5"/>
        <v>212.31715253438887</v>
      </c>
      <c r="AE20" s="22">
        <f t="shared" si="5"/>
        <v>213.19302910638956</v>
      </c>
      <c r="AF20" s="22">
        <f t="shared" si="5"/>
        <v>214.07251895108266</v>
      </c>
      <c r="AG20" s="22">
        <f t="shared" si="5"/>
        <v>214.95563697438064</v>
      </c>
      <c r="AH20" s="22">
        <f t="shared" si="5"/>
        <v>215.84239814368772</v>
      </c>
      <c r="AI20" s="22">
        <f t="shared" ref="AI20" si="6">AH20*(1+$U$16)</f>
        <v>216.73281748815344</v>
      </c>
      <c r="AJ20" s="22">
        <f t="shared" ref="AJ20" si="7">AI20*(1+$U$16)</f>
        <v>217.62691009892745</v>
      </c>
    </row>
    <row r="21" spans="2:36" s="53" customFormat="1" x14ac:dyDescent="0.25">
      <c r="B21" s="58" t="s">
        <v>125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spans="2:36" s="53" customFormat="1" x14ac:dyDescent="0.25">
      <c r="B22" s="57" t="s">
        <v>122</v>
      </c>
      <c r="C22" s="22">
        <f ca="1">C19+C14</f>
        <v>145.49988261808912</v>
      </c>
      <c r="D22" s="22">
        <f t="shared" ref="D22:U22" ca="1" si="8">D19+D14</f>
        <v>148.94542198964928</v>
      </c>
      <c r="E22" s="22">
        <f t="shared" ca="1" si="8"/>
        <v>151.41646744702138</v>
      </c>
      <c r="F22" s="22">
        <f ca="1">F19+F14</f>
        <v>153.93366241631554</v>
      </c>
      <c r="G22" s="22">
        <f t="shared" ca="1" si="8"/>
        <v>158.32373930689167</v>
      </c>
      <c r="H22" s="22">
        <f t="shared" ca="1" si="8"/>
        <v>164.06963441460653</v>
      </c>
      <c r="I22" s="22">
        <f t="shared" ca="1" si="8"/>
        <v>172.50682151606964</v>
      </c>
      <c r="J22" s="22">
        <f t="shared" ca="1" si="8"/>
        <v>170.67333135823205</v>
      </c>
      <c r="K22" s="22">
        <f t="shared" ca="1" si="8"/>
        <v>184.72006898927575</v>
      </c>
      <c r="L22" s="22">
        <f t="shared" ca="1" si="8"/>
        <v>183.98015941301378</v>
      </c>
      <c r="M22" s="22">
        <f t="shared" ca="1" si="8"/>
        <v>188.73033569296368</v>
      </c>
      <c r="N22" s="22">
        <f t="shared" ca="1" si="8"/>
        <v>191.79786518389741</v>
      </c>
      <c r="O22" s="22">
        <f t="shared" ca="1" si="8"/>
        <v>197.09201585228311</v>
      </c>
      <c r="P22" s="22">
        <f t="shared" ca="1" si="8"/>
        <v>202.3233506587645</v>
      </c>
      <c r="Q22" s="22">
        <f t="shared" ca="1" si="8"/>
        <v>212.96291834382126</v>
      </c>
      <c r="R22" s="22">
        <f t="shared" ca="1" si="8"/>
        <v>215.47394479562001</v>
      </c>
      <c r="S22" s="22">
        <f t="shared" ca="1" si="8"/>
        <v>222.32565545674038</v>
      </c>
      <c r="T22" s="22">
        <f t="shared" ca="1" si="8"/>
        <v>227.97148822063778</v>
      </c>
      <c r="U22" s="22">
        <f t="shared" ca="1" si="8"/>
        <v>226.25367705302531</v>
      </c>
      <c r="V22" s="22">
        <f ca="1">V20+V14</f>
        <v>227.00791238690246</v>
      </c>
      <c r="W22" s="22">
        <f t="shared" ref="W22:AJ22" ca="1" si="9">W20+W14</f>
        <v>227.76600173515769</v>
      </c>
      <c r="X22" s="22">
        <f t="shared" ca="1" si="9"/>
        <v>228.52795791879694</v>
      </c>
      <c r="Y22" s="22">
        <f t="shared" ca="1" si="9"/>
        <v>229.29379382447615</v>
      </c>
      <c r="Z22" s="22">
        <f t="shared" ca="1" si="9"/>
        <v>230.06352240471912</v>
      </c>
      <c r="AA22" s="22">
        <f t="shared" ca="1" si="9"/>
        <v>230.83715667813669</v>
      </c>
      <c r="AB22" s="22">
        <f t="shared" ca="1" si="9"/>
        <v>231.61470972964671</v>
      </c>
      <c r="AC22" s="22">
        <f t="shared" ca="1" si="9"/>
        <v>232.39619471069562</v>
      </c>
      <c r="AD22" s="22">
        <f t="shared" ca="1" si="9"/>
        <v>233.18162483948066</v>
      </c>
      <c r="AE22" s="22">
        <f t="shared" ca="1" si="9"/>
        <v>233.97101340117351</v>
      </c>
      <c r="AF22" s="22">
        <f t="shared" ca="1" si="9"/>
        <v>234.764373748145</v>
      </c>
      <c r="AG22" s="22">
        <f t="shared" ca="1" si="9"/>
        <v>235.56171930019099</v>
      </c>
      <c r="AH22" s="22">
        <f t="shared" ca="1" si="9"/>
        <v>215.84239814368772</v>
      </c>
      <c r="AI22" s="22">
        <f t="shared" ca="1" si="9"/>
        <v>216.73281748815344</v>
      </c>
      <c r="AJ22" s="22">
        <f t="shared" ca="1" si="9"/>
        <v>217.62691009892745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1:V30"/>
  <sheetViews>
    <sheetView topLeftCell="A7" workbookViewId="0">
      <selection activeCell="C12" sqref="C12"/>
    </sheetView>
  </sheetViews>
  <sheetFormatPr defaultRowHeight="15" x14ac:dyDescent="0.25"/>
  <cols>
    <col min="2" max="2" width="18.28515625" customWidth="1"/>
  </cols>
  <sheetData>
    <row r="1" spans="2:22" ht="15.75" thickBot="1" x14ac:dyDescent="0.3">
      <c r="B1" s="54" t="s">
        <v>137</v>
      </c>
    </row>
    <row r="2" spans="2:22" ht="16.5" thickBot="1" x14ac:dyDescent="0.3">
      <c r="B2" s="80" t="s">
        <v>152</v>
      </c>
      <c r="C2" s="81">
        <v>2013</v>
      </c>
      <c r="D2" s="81">
        <v>2014</v>
      </c>
      <c r="E2" s="81">
        <v>2015</v>
      </c>
      <c r="F2" s="81">
        <v>2016</v>
      </c>
      <c r="G2" s="81">
        <v>2017</v>
      </c>
      <c r="H2" s="81">
        <v>2018</v>
      </c>
      <c r="I2" s="81">
        <v>2019</v>
      </c>
      <c r="J2" s="81">
        <v>2020</v>
      </c>
      <c r="K2" s="81">
        <v>2021</v>
      </c>
      <c r="L2" s="81">
        <v>2022</v>
      </c>
      <c r="M2" s="81">
        <v>2023</v>
      </c>
      <c r="N2" s="81">
        <v>2024</v>
      </c>
      <c r="O2" s="81">
        <v>2025</v>
      </c>
      <c r="P2" s="81">
        <v>2026</v>
      </c>
      <c r="Q2" s="81">
        <v>2027</v>
      </c>
      <c r="R2" s="81">
        <v>2028</v>
      </c>
      <c r="S2" s="81">
        <v>2029</v>
      </c>
      <c r="T2" s="81">
        <v>2030</v>
      </c>
      <c r="U2" s="81">
        <v>2031</v>
      </c>
      <c r="V2" s="82">
        <v>2032</v>
      </c>
    </row>
    <row r="3" spans="2:22" ht="15.75" x14ac:dyDescent="0.25">
      <c r="B3" s="83" t="s">
        <v>139</v>
      </c>
      <c r="C3" s="84">
        <v>31.43</v>
      </c>
      <c r="D3" s="84">
        <v>33.26</v>
      </c>
      <c r="E3" s="84">
        <v>34.909999999999997</v>
      </c>
      <c r="F3" s="84">
        <v>36.450000000000003</v>
      </c>
      <c r="G3" s="84">
        <v>38.020000000000003</v>
      </c>
      <c r="H3" s="84">
        <v>39.409999999999997</v>
      </c>
      <c r="I3" s="84">
        <v>40.35</v>
      </c>
      <c r="J3" s="84">
        <v>41.53</v>
      </c>
      <c r="K3" s="84">
        <v>42.44</v>
      </c>
      <c r="L3" s="84">
        <v>43.71</v>
      </c>
      <c r="M3" s="84">
        <v>44.98</v>
      </c>
      <c r="N3" s="84">
        <v>46.34</v>
      </c>
      <c r="O3" s="84">
        <v>47.58</v>
      </c>
      <c r="P3" s="84">
        <v>48.83</v>
      </c>
      <c r="Q3" s="84">
        <v>49.91</v>
      </c>
      <c r="R3" s="84">
        <v>51.14</v>
      </c>
      <c r="S3" s="84">
        <v>52.14</v>
      </c>
      <c r="T3" s="84">
        <v>53.13</v>
      </c>
      <c r="U3" s="84">
        <v>54.4</v>
      </c>
      <c r="V3" s="85">
        <v>55.74</v>
      </c>
    </row>
    <row r="4" spans="2:22" ht="15.75" x14ac:dyDescent="0.25">
      <c r="B4" s="83" t="s">
        <v>140</v>
      </c>
      <c r="C4" s="84">
        <v>10.15</v>
      </c>
      <c r="D4" s="84">
        <v>10.8</v>
      </c>
      <c r="E4" s="84">
        <v>11.09</v>
      </c>
      <c r="F4" s="84">
        <v>11.56</v>
      </c>
      <c r="G4" s="84">
        <v>11.9</v>
      </c>
      <c r="H4" s="84">
        <v>12.53</v>
      </c>
      <c r="I4" s="84">
        <v>13.21</v>
      </c>
      <c r="J4" s="84">
        <v>13.48</v>
      </c>
      <c r="K4" s="84">
        <v>13.62</v>
      </c>
      <c r="L4" s="84">
        <v>13.89</v>
      </c>
      <c r="M4" s="84">
        <v>14.14</v>
      </c>
      <c r="N4" s="84">
        <v>14.36</v>
      </c>
      <c r="O4" s="84">
        <v>14.54</v>
      </c>
      <c r="P4" s="84">
        <v>14.73</v>
      </c>
      <c r="Q4" s="84">
        <v>14.86</v>
      </c>
      <c r="R4" s="84">
        <v>15.03</v>
      </c>
      <c r="S4" s="84">
        <v>15.2</v>
      </c>
      <c r="T4" s="84">
        <v>15.37</v>
      </c>
      <c r="U4" s="84">
        <v>15.62</v>
      </c>
      <c r="V4" s="85">
        <v>15.88</v>
      </c>
    </row>
    <row r="5" spans="2:22" ht="15.75" x14ac:dyDescent="0.25">
      <c r="B5" s="83" t="s">
        <v>141</v>
      </c>
      <c r="C5" s="84">
        <v>4.83</v>
      </c>
      <c r="D5" s="84">
        <v>4.93</v>
      </c>
      <c r="E5" s="84">
        <v>5.03</v>
      </c>
      <c r="F5" s="84">
        <v>5.13</v>
      </c>
      <c r="G5" s="84">
        <v>5.23</v>
      </c>
      <c r="H5" s="84">
        <v>5.34</v>
      </c>
      <c r="I5" s="84">
        <v>5.44</v>
      </c>
      <c r="J5" s="84">
        <v>5.55</v>
      </c>
      <c r="K5" s="84">
        <v>5.66</v>
      </c>
      <c r="L5" s="84">
        <v>5.78</v>
      </c>
      <c r="M5" s="84">
        <v>5.89</v>
      </c>
      <c r="N5" s="84">
        <v>6.01</v>
      </c>
      <c r="O5" s="84">
        <v>6.13</v>
      </c>
      <c r="P5" s="84">
        <v>6.25</v>
      </c>
      <c r="Q5" s="84">
        <v>6.38</v>
      </c>
      <c r="R5" s="84">
        <v>6.51</v>
      </c>
      <c r="S5" s="84">
        <v>6.64</v>
      </c>
      <c r="T5" s="84">
        <v>6.77</v>
      </c>
      <c r="U5" s="84">
        <v>6.91</v>
      </c>
      <c r="V5" s="85">
        <v>7.04</v>
      </c>
    </row>
    <row r="6" spans="2:22" ht="15.75" x14ac:dyDescent="0.25">
      <c r="B6" s="83" t="s">
        <v>142</v>
      </c>
      <c r="C6" s="84">
        <v>5.25</v>
      </c>
      <c r="D6" s="84">
        <v>5.25</v>
      </c>
      <c r="E6" s="84">
        <v>5.25</v>
      </c>
      <c r="F6" s="86">
        <v>5.25</v>
      </c>
      <c r="G6" s="86">
        <v>5.25</v>
      </c>
      <c r="H6" s="86">
        <v>5.25</v>
      </c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</row>
    <row r="7" spans="2:22" ht="15.75" x14ac:dyDescent="0.25">
      <c r="B7" s="83" t="s">
        <v>153</v>
      </c>
      <c r="C7" s="84">
        <v>64.13</v>
      </c>
      <c r="D7" s="84">
        <v>72.87</v>
      </c>
      <c r="E7" s="84">
        <v>78.87</v>
      </c>
      <c r="F7" s="84">
        <v>81.7</v>
      </c>
      <c r="G7" s="84">
        <v>82.15</v>
      </c>
      <c r="H7" s="84">
        <v>86.65</v>
      </c>
      <c r="I7" s="84">
        <v>89.06</v>
      </c>
      <c r="J7" s="84">
        <v>91.27</v>
      </c>
      <c r="K7" s="84">
        <v>94.53</v>
      </c>
      <c r="L7" s="84">
        <v>98.12</v>
      </c>
      <c r="M7" s="84">
        <v>92.66</v>
      </c>
      <c r="N7" s="84">
        <v>93.14</v>
      </c>
      <c r="O7" s="84">
        <v>94.38</v>
      </c>
      <c r="P7" s="84">
        <v>96.36</v>
      </c>
      <c r="Q7" s="84">
        <v>96.52</v>
      </c>
      <c r="R7" s="84">
        <v>96.41</v>
      </c>
      <c r="S7" s="84">
        <v>96.76</v>
      </c>
      <c r="T7" s="84">
        <v>96.31</v>
      </c>
      <c r="U7" s="84">
        <v>96.65</v>
      </c>
      <c r="V7" s="85">
        <v>97.06</v>
      </c>
    </row>
    <row r="8" spans="2:22" ht="15.75" x14ac:dyDescent="0.25">
      <c r="B8" s="83" t="s">
        <v>154</v>
      </c>
      <c r="C8" s="84">
        <f>SUM(C3:C7)</f>
        <v>115.78999999999999</v>
      </c>
      <c r="D8" s="84">
        <f t="shared" ref="D8:V8" si="0">SUM(D3:D7)</f>
        <v>127.11000000000001</v>
      </c>
      <c r="E8" s="84">
        <f t="shared" si="0"/>
        <v>135.15</v>
      </c>
      <c r="F8" s="84">
        <f t="shared" si="0"/>
        <v>140.09</v>
      </c>
      <c r="G8" s="84">
        <f t="shared" si="0"/>
        <v>142.55000000000001</v>
      </c>
      <c r="H8" s="84">
        <f t="shared" si="0"/>
        <v>149.18</v>
      </c>
      <c r="I8" s="84">
        <f t="shared" si="0"/>
        <v>148.06</v>
      </c>
      <c r="J8" s="84">
        <f t="shared" si="0"/>
        <v>151.82999999999998</v>
      </c>
      <c r="K8" s="84">
        <f t="shared" si="0"/>
        <v>156.25</v>
      </c>
      <c r="L8" s="84">
        <f t="shared" si="0"/>
        <v>161.5</v>
      </c>
      <c r="M8" s="84">
        <f t="shared" si="0"/>
        <v>157.66999999999999</v>
      </c>
      <c r="N8" s="84">
        <f t="shared" si="0"/>
        <v>159.85000000000002</v>
      </c>
      <c r="O8" s="84">
        <f t="shared" si="0"/>
        <v>162.63</v>
      </c>
      <c r="P8" s="84">
        <f t="shared" si="0"/>
        <v>166.17000000000002</v>
      </c>
      <c r="Q8" s="84">
        <f t="shared" si="0"/>
        <v>167.67</v>
      </c>
      <c r="R8" s="84">
        <f t="shared" si="0"/>
        <v>169.09</v>
      </c>
      <c r="S8" s="84">
        <f t="shared" si="0"/>
        <v>170.74</v>
      </c>
      <c r="T8" s="84">
        <f t="shared" si="0"/>
        <v>171.57999999999998</v>
      </c>
      <c r="U8" s="84">
        <f t="shared" si="0"/>
        <v>173.57999999999998</v>
      </c>
      <c r="V8" s="84">
        <f t="shared" si="0"/>
        <v>175.72000000000003</v>
      </c>
    </row>
    <row r="9" spans="2:22" ht="15.75" x14ac:dyDescent="0.25">
      <c r="B9" s="88" t="s">
        <v>155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</row>
    <row r="10" spans="2:22" ht="15.75" x14ac:dyDescent="0.25">
      <c r="B10" s="83" t="s">
        <v>156</v>
      </c>
      <c r="C10" s="118">
        <f>C8*0.13</f>
        <v>15.0527</v>
      </c>
      <c r="D10" s="118">
        <f t="shared" ref="D10:V10" si="1">D8*0.13</f>
        <v>16.524300000000004</v>
      </c>
      <c r="E10" s="118">
        <f t="shared" si="1"/>
        <v>17.569500000000001</v>
      </c>
      <c r="F10" s="118">
        <f t="shared" si="1"/>
        <v>18.2117</v>
      </c>
      <c r="G10" s="118">
        <f t="shared" si="1"/>
        <v>18.531500000000001</v>
      </c>
      <c r="H10" s="118">
        <f t="shared" si="1"/>
        <v>19.393400000000003</v>
      </c>
      <c r="I10" s="118">
        <f t="shared" si="1"/>
        <v>19.247800000000002</v>
      </c>
      <c r="J10" s="118">
        <f t="shared" si="1"/>
        <v>19.7379</v>
      </c>
      <c r="K10" s="118">
        <f t="shared" si="1"/>
        <v>20.3125</v>
      </c>
      <c r="L10" s="118">
        <f t="shared" si="1"/>
        <v>20.995000000000001</v>
      </c>
      <c r="M10" s="118">
        <f t="shared" si="1"/>
        <v>20.4971</v>
      </c>
      <c r="N10" s="118">
        <f t="shared" si="1"/>
        <v>20.780500000000004</v>
      </c>
      <c r="O10" s="118">
        <f t="shared" si="1"/>
        <v>21.1419</v>
      </c>
      <c r="P10" s="118">
        <f t="shared" si="1"/>
        <v>21.602100000000004</v>
      </c>
      <c r="Q10" s="118">
        <f t="shared" si="1"/>
        <v>21.7971</v>
      </c>
      <c r="R10" s="118">
        <f t="shared" si="1"/>
        <v>21.9817</v>
      </c>
      <c r="S10" s="118">
        <f t="shared" si="1"/>
        <v>22.196200000000001</v>
      </c>
      <c r="T10" s="118">
        <f t="shared" si="1"/>
        <v>22.305399999999999</v>
      </c>
      <c r="U10" s="118">
        <f t="shared" si="1"/>
        <v>22.5654</v>
      </c>
      <c r="V10" s="118">
        <f t="shared" si="1"/>
        <v>22.843600000000006</v>
      </c>
    </row>
    <row r="11" spans="2:22" ht="15.75" x14ac:dyDescent="0.25">
      <c r="B11" s="88" t="s">
        <v>144</v>
      </c>
      <c r="C11" s="119">
        <f>-(C8+C10)*0.1</f>
        <v>-13.084269999999998</v>
      </c>
      <c r="D11" s="119">
        <f t="shared" ref="D11:E11" si="2">-(D8+D10)*0.1</f>
        <v>-14.363430000000003</v>
      </c>
      <c r="E11" s="119">
        <f t="shared" si="2"/>
        <v>-15.271950000000002</v>
      </c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</row>
    <row r="12" spans="2:22" ht="16.5" thickBot="1" x14ac:dyDescent="0.3">
      <c r="B12" s="89" t="s">
        <v>145</v>
      </c>
      <c r="C12" s="120">
        <f>C8+C10+C11</f>
        <v>117.75842999999998</v>
      </c>
      <c r="D12" s="120">
        <f t="shared" ref="D12:V12" si="3">D8+D10+D11</f>
        <v>129.27087000000003</v>
      </c>
      <c r="E12" s="120">
        <f t="shared" si="3"/>
        <v>137.44755000000001</v>
      </c>
      <c r="F12" s="120">
        <f t="shared" si="3"/>
        <v>158.30170000000001</v>
      </c>
      <c r="G12" s="120">
        <f t="shared" si="3"/>
        <v>161.08150000000001</v>
      </c>
      <c r="H12" s="120">
        <f t="shared" si="3"/>
        <v>168.57340000000002</v>
      </c>
      <c r="I12" s="120">
        <f t="shared" si="3"/>
        <v>167.30780000000001</v>
      </c>
      <c r="J12" s="120">
        <f t="shared" si="3"/>
        <v>171.56789999999998</v>
      </c>
      <c r="K12" s="120">
        <f t="shared" si="3"/>
        <v>176.5625</v>
      </c>
      <c r="L12" s="120">
        <f t="shared" si="3"/>
        <v>182.495</v>
      </c>
      <c r="M12" s="120">
        <f t="shared" si="3"/>
        <v>178.16709999999998</v>
      </c>
      <c r="N12" s="120">
        <f t="shared" si="3"/>
        <v>180.63050000000004</v>
      </c>
      <c r="O12" s="120">
        <f t="shared" si="3"/>
        <v>183.77189999999999</v>
      </c>
      <c r="P12" s="120">
        <f t="shared" si="3"/>
        <v>187.77210000000002</v>
      </c>
      <c r="Q12" s="120">
        <f t="shared" si="3"/>
        <v>189.46709999999999</v>
      </c>
      <c r="R12" s="120">
        <f t="shared" si="3"/>
        <v>191.07169999999999</v>
      </c>
      <c r="S12" s="120">
        <f t="shared" si="3"/>
        <v>192.93620000000001</v>
      </c>
      <c r="T12" s="120">
        <f t="shared" si="3"/>
        <v>193.88539999999998</v>
      </c>
      <c r="U12" s="120">
        <f t="shared" si="3"/>
        <v>196.1454</v>
      </c>
      <c r="V12" s="120">
        <f t="shared" si="3"/>
        <v>198.56360000000004</v>
      </c>
    </row>
    <row r="13" spans="2:22" x14ac:dyDescent="0.25">
      <c r="B13" s="90"/>
      <c r="C13">
        <f>C8*0.1</f>
        <v>11.579000000000001</v>
      </c>
    </row>
    <row r="14" spans="2:22" x14ac:dyDescent="0.25">
      <c r="B14" s="90"/>
      <c r="C14">
        <f>C8*0.13</f>
        <v>15.0527</v>
      </c>
      <c r="E14">
        <f>(C10+C8)*0.1</f>
        <v>13.084269999999998</v>
      </c>
    </row>
    <row r="16" spans="2:22" ht="18.75" x14ac:dyDescent="0.3">
      <c r="B16" s="116" t="s">
        <v>171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</row>
    <row r="17" spans="2:22" ht="15.75" x14ac:dyDescent="0.25">
      <c r="B17" s="107" t="s">
        <v>172</v>
      </c>
      <c r="C17" s="108">
        <v>2013</v>
      </c>
      <c r="D17" s="108">
        <v>2014</v>
      </c>
      <c r="E17" s="108">
        <v>2015</v>
      </c>
      <c r="F17" s="108">
        <v>2016</v>
      </c>
      <c r="G17" s="108">
        <v>2017</v>
      </c>
      <c r="H17" s="108">
        <v>2018</v>
      </c>
      <c r="I17" s="108">
        <v>2019</v>
      </c>
      <c r="J17" s="108">
        <v>2020</v>
      </c>
      <c r="K17" s="108">
        <v>2021</v>
      </c>
      <c r="L17" s="108">
        <v>2022</v>
      </c>
      <c r="M17" s="108">
        <v>2023</v>
      </c>
      <c r="N17" s="108">
        <v>2024</v>
      </c>
      <c r="O17" s="108">
        <v>2025</v>
      </c>
      <c r="P17" s="108">
        <v>2026</v>
      </c>
      <c r="Q17" s="108">
        <v>2027</v>
      </c>
      <c r="R17" s="108">
        <v>2028</v>
      </c>
      <c r="S17" s="108">
        <v>2029</v>
      </c>
      <c r="T17" s="108">
        <v>2030</v>
      </c>
      <c r="U17" s="108">
        <v>2031</v>
      </c>
      <c r="V17" s="108">
        <v>2032</v>
      </c>
    </row>
    <row r="18" spans="2:22" ht="15.75" x14ac:dyDescent="0.25">
      <c r="B18" s="109" t="s">
        <v>139</v>
      </c>
      <c r="C18" s="110">
        <v>32</v>
      </c>
      <c r="D18" s="110">
        <v>34</v>
      </c>
      <c r="E18" s="110">
        <v>36</v>
      </c>
      <c r="F18" s="110">
        <v>37</v>
      </c>
      <c r="G18" s="110">
        <v>39</v>
      </c>
      <c r="H18" s="110">
        <v>40</v>
      </c>
      <c r="I18" s="110">
        <v>41</v>
      </c>
      <c r="J18" s="110">
        <v>43</v>
      </c>
      <c r="K18" s="110">
        <v>43</v>
      </c>
      <c r="L18" s="110">
        <v>45</v>
      </c>
      <c r="M18" s="110">
        <v>46</v>
      </c>
      <c r="N18" s="110">
        <v>47</v>
      </c>
      <c r="O18" s="110">
        <v>49</v>
      </c>
      <c r="P18" s="110">
        <v>50</v>
      </c>
      <c r="Q18" s="110">
        <v>51</v>
      </c>
      <c r="R18" s="110">
        <v>52</v>
      </c>
      <c r="S18" s="110">
        <v>53</v>
      </c>
      <c r="T18" s="110">
        <v>54</v>
      </c>
      <c r="U18" s="110">
        <v>56</v>
      </c>
      <c r="V18" s="110">
        <v>57</v>
      </c>
    </row>
    <row r="19" spans="2:22" ht="15.75" x14ac:dyDescent="0.25">
      <c r="B19" s="109" t="s">
        <v>140</v>
      </c>
      <c r="C19" s="110">
        <v>11</v>
      </c>
      <c r="D19" s="110">
        <v>12</v>
      </c>
      <c r="E19" s="110">
        <v>12</v>
      </c>
      <c r="F19" s="110">
        <v>12</v>
      </c>
      <c r="G19" s="110">
        <v>13</v>
      </c>
      <c r="H19" s="110">
        <v>13</v>
      </c>
      <c r="I19" s="110">
        <v>14</v>
      </c>
      <c r="J19" s="110">
        <v>14</v>
      </c>
      <c r="K19" s="110">
        <v>15</v>
      </c>
      <c r="L19" s="110">
        <v>15</v>
      </c>
      <c r="M19" s="110">
        <v>15</v>
      </c>
      <c r="N19" s="110">
        <v>15</v>
      </c>
      <c r="O19" s="110">
        <v>16</v>
      </c>
      <c r="P19" s="110">
        <v>16</v>
      </c>
      <c r="Q19" s="110">
        <v>16</v>
      </c>
      <c r="R19" s="110">
        <v>16</v>
      </c>
      <c r="S19" s="110">
        <v>16</v>
      </c>
      <c r="T19" s="110">
        <v>16</v>
      </c>
      <c r="U19" s="110">
        <v>17</v>
      </c>
      <c r="V19" s="110">
        <v>17</v>
      </c>
    </row>
    <row r="20" spans="2:22" ht="78.75" x14ac:dyDescent="0.25">
      <c r="B20" s="111" t="s">
        <v>173</v>
      </c>
      <c r="C20" s="110">
        <v>5</v>
      </c>
      <c r="D20" s="110">
        <v>5</v>
      </c>
      <c r="E20" s="110">
        <v>5</v>
      </c>
      <c r="F20" s="110">
        <v>5</v>
      </c>
      <c r="G20" s="110">
        <v>6</v>
      </c>
      <c r="H20" s="110">
        <v>6</v>
      </c>
      <c r="I20" s="110">
        <v>6</v>
      </c>
      <c r="J20" s="110">
        <v>6</v>
      </c>
      <c r="K20" s="110">
        <v>6</v>
      </c>
      <c r="L20" s="110">
        <v>6</v>
      </c>
      <c r="M20" s="110">
        <v>6</v>
      </c>
      <c r="N20" s="110">
        <v>6</v>
      </c>
      <c r="O20" s="110">
        <v>7</v>
      </c>
      <c r="P20" s="110">
        <v>7</v>
      </c>
      <c r="Q20" s="110">
        <v>7</v>
      </c>
      <c r="R20" s="110">
        <v>7</v>
      </c>
      <c r="S20" s="110">
        <v>7</v>
      </c>
      <c r="T20" s="110">
        <v>7</v>
      </c>
      <c r="U20" s="110">
        <v>7</v>
      </c>
      <c r="V20" s="110">
        <v>7</v>
      </c>
    </row>
    <row r="21" spans="2:22" ht="15.75" x14ac:dyDescent="0.25">
      <c r="B21" s="109" t="s">
        <v>174</v>
      </c>
      <c r="C21" s="110">
        <v>6</v>
      </c>
      <c r="D21" s="110">
        <v>6</v>
      </c>
      <c r="E21" s="110">
        <v>6</v>
      </c>
      <c r="F21" s="110">
        <v>6</v>
      </c>
      <c r="G21" s="110">
        <v>6</v>
      </c>
      <c r="H21" s="110">
        <v>6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0</v>
      </c>
      <c r="U21" s="110">
        <v>0</v>
      </c>
      <c r="V21" s="110">
        <v>0</v>
      </c>
    </row>
    <row r="22" spans="2:22" ht="15.75" x14ac:dyDescent="0.25">
      <c r="B22" s="109" t="s">
        <v>138</v>
      </c>
      <c r="C22" s="110">
        <v>69</v>
      </c>
      <c r="D22" s="110">
        <v>78</v>
      </c>
      <c r="E22" s="110">
        <v>84</v>
      </c>
      <c r="F22" s="110">
        <v>87</v>
      </c>
      <c r="G22" s="110">
        <v>88</v>
      </c>
      <c r="H22" s="110">
        <v>93</v>
      </c>
      <c r="I22" s="110">
        <v>95</v>
      </c>
      <c r="J22" s="110">
        <v>98</v>
      </c>
      <c r="K22" s="110">
        <v>101</v>
      </c>
      <c r="L22" s="110">
        <v>105</v>
      </c>
      <c r="M22" s="110">
        <v>99</v>
      </c>
      <c r="N22" s="110">
        <v>100</v>
      </c>
      <c r="O22" s="110">
        <v>101</v>
      </c>
      <c r="P22" s="110">
        <v>103</v>
      </c>
      <c r="Q22" s="110">
        <v>103</v>
      </c>
      <c r="R22" s="110">
        <v>103</v>
      </c>
      <c r="S22" s="110">
        <v>104</v>
      </c>
      <c r="T22" s="110">
        <v>103</v>
      </c>
      <c r="U22" s="110">
        <v>103</v>
      </c>
      <c r="V22" s="110">
        <v>104</v>
      </c>
    </row>
    <row r="23" spans="2:22" ht="15.75" x14ac:dyDescent="0.25">
      <c r="B23" s="112" t="s">
        <v>175</v>
      </c>
      <c r="C23" s="113">
        <v>122</v>
      </c>
      <c r="D23" s="113">
        <v>134</v>
      </c>
      <c r="E23" s="113">
        <v>143</v>
      </c>
      <c r="F23" s="113">
        <v>148</v>
      </c>
      <c r="G23" s="113">
        <v>151</v>
      </c>
      <c r="H23" s="113">
        <v>158</v>
      </c>
      <c r="I23" s="113">
        <v>157</v>
      </c>
      <c r="J23" s="113">
        <v>161</v>
      </c>
      <c r="K23" s="113">
        <v>165</v>
      </c>
      <c r="L23" s="113">
        <v>171</v>
      </c>
      <c r="M23" s="113">
        <v>167</v>
      </c>
      <c r="N23" s="113">
        <v>169</v>
      </c>
      <c r="O23" s="113">
        <v>172</v>
      </c>
      <c r="P23" s="113">
        <v>176</v>
      </c>
      <c r="Q23" s="113">
        <v>177</v>
      </c>
      <c r="R23" s="113">
        <v>179</v>
      </c>
      <c r="S23" s="113">
        <v>180</v>
      </c>
      <c r="T23" s="113">
        <v>181</v>
      </c>
      <c r="U23" s="113">
        <v>183</v>
      </c>
      <c r="V23" s="113">
        <v>185</v>
      </c>
    </row>
    <row r="24" spans="2:22" ht="15.75" x14ac:dyDescent="0.25">
      <c r="B24" s="114" t="s">
        <v>156</v>
      </c>
      <c r="C24" s="115">
        <v>16</v>
      </c>
      <c r="D24" s="115">
        <v>17</v>
      </c>
      <c r="E24" s="115">
        <v>19</v>
      </c>
      <c r="F24" s="115">
        <v>19</v>
      </c>
      <c r="G24" s="115">
        <v>20</v>
      </c>
      <c r="H24" s="115">
        <v>21</v>
      </c>
      <c r="I24" s="115">
        <v>20</v>
      </c>
      <c r="J24" s="115">
        <v>21</v>
      </c>
      <c r="K24" s="115">
        <v>21</v>
      </c>
      <c r="L24" s="115">
        <v>22</v>
      </c>
      <c r="M24" s="115">
        <v>22</v>
      </c>
      <c r="N24" s="115">
        <v>22</v>
      </c>
      <c r="O24" s="115">
        <v>22</v>
      </c>
      <c r="P24" s="115">
        <v>23</v>
      </c>
      <c r="Q24" s="115">
        <v>23</v>
      </c>
      <c r="R24" s="115">
        <v>23</v>
      </c>
      <c r="S24" s="115">
        <v>23</v>
      </c>
      <c r="T24" s="115">
        <v>24</v>
      </c>
      <c r="U24" s="115">
        <v>24</v>
      </c>
      <c r="V24" s="115">
        <v>24</v>
      </c>
    </row>
    <row r="25" spans="2:22" ht="15.75" x14ac:dyDescent="0.25">
      <c r="B25" s="112" t="s">
        <v>176</v>
      </c>
      <c r="C25" s="113">
        <v>138</v>
      </c>
      <c r="D25" s="113">
        <v>152</v>
      </c>
      <c r="E25" s="113">
        <v>162</v>
      </c>
      <c r="F25" s="113">
        <v>167</v>
      </c>
      <c r="G25" s="113">
        <v>170</v>
      </c>
      <c r="H25" s="113">
        <v>178</v>
      </c>
      <c r="I25" s="113">
        <v>177</v>
      </c>
      <c r="J25" s="113">
        <v>181</v>
      </c>
      <c r="K25" s="113">
        <v>187</v>
      </c>
      <c r="L25" s="113">
        <v>193</v>
      </c>
      <c r="M25" s="113">
        <v>188</v>
      </c>
      <c r="N25" s="113">
        <v>191</v>
      </c>
      <c r="O25" s="113">
        <v>194</v>
      </c>
      <c r="P25" s="113">
        <v>198</v>
      </c>
      <c r="Q25" s="113">
        <v>200</v>
      </c>
      <c r="R25" s="113">
        <v>202</v>
      </c>
      <c r="S25" s="113">
        <v>204</v>
      </c>
      <c r="T25" s="113">
        <v>205</v>
      </c>
      <c r="U25" s="113">
        <v>207</v>
      </c>
      <c r="V25" s="113">
        <v>210</v>
      </c>
    </row>
    <row r="26" spans="2:22" ht="15.75" x14ac:dyDescent="0.25">
      <c r="B26" s="109" t="s">
        <v>177</v>
      </c>
      <c r="C26" s="110">
        <v>14</v>
      </c>
      <c r="D26" s="110">
        <v>15</v>
      </c>
      <c r="E26" s="110">
        <v>16</v>
      </c>
      <c r="F26" s="110">
        <v>0</v>
      </c>
      <c r="G26" s="110">
        <v>0</v>
      </c>
      <c r="H26" s="110">
        <v>0</v>
      </c>
      <c r="I26" s="110">
        <v>0</v>
      </c>
      <c r="J26" s="110">
        <v>0</v>
      </c>
      <c r="K26" s="110">
        <v>0</v>
      </c>
      <c r="L26" s="110">
        <v>0</v>
      </c>
      <c r="M26" s="110">
        <v>0</v>
      </c>
      <c r="N26" s="110">
        <v>0</v>
      </c>
      <c r="O26" s="110">
        <v>0</v>
      </c>
      <c r="P26" s="110">
        <v>0</v>
      </c>
      <c r="Q26" s="110">
        <v>0</v>
      </c>
      <c r="R26" s="110">
        <v>0</v>
      </c>
      <c r="S26" s="110">
        <v>0</v>
      </c>
      <c r="T26" s="110">
        <v>0</v>
      </c>
      <c r="U26" s="110">
        <v>0</v>
      </c>
      <c r="V26" s="110">
        <v>0</v>
      </c>
    </row>
    <row r="27" spans="2:22" ht="15.75" x14ac:dyDescent="0.25">
      <c r="B27" s="112" t="s">
        <v>178</v>
      </c>
      <c r="C27" s="113">
        <v>125</v>
      </c>
      <c r="D27" s="113">
        <v>137</v>
      </c>
      <c r="E27" s="113">
        <v>145</v>
      </c>
      <c r="F27" s="113">
        <v>167</v>
      </c>
      <c r="G27" s="113">
        <v>170</v>
      </c>
      <c r="H27" s="113">
        <v>178</v>
      </c>
      <c r="I27" s="113">
        <v>177</v>
      </c>
      <c r="J27" s="113">
        <v>181</v>
      </c>
      <c r="K27" s="113">
        <v>187</v>
      </c>
      <c r="L27" s="113">
        <v>193</v>
      </c>
      <c r="M27" s="113">
        <v>188</v>
      </c>
      <c r="N27" s="113">
        <v>191</v>
      </c>
      <c r="O27" s="113">
        <v>194</v>
      </c>
      <c r="P27" s="113">
        <v>198</v>
      </c>
      <c r="Q27" s="113">
        <v>200</v>
      </c>
      <c r="R27" s="113">
        <v>202</v>
      </c>
      <c r="S27" s="113">
        <v>204</v>
      </c>
      <c r="T27" s="113">
        <v>205</v>
      </c>
      <c r="U27" s="113">
        <v>207</v>
      </c>
      <c r="V27" s="113">
        <v>210</v>
      </c>
    </row>
    <row r="29" spans="2:22" ht="15.75" x14ac:dyDescent="0.25">
      <c r="B29" s="117" t="s">
        <v>179</v>
      </c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</row>
    <row r="30" spans="2:22" ht="15.75" x14ac:dyDescent="0.25">
      <c r="B30" s="117" t="s">
        <v>180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AM23"/>
  <sheetViews>
    <sheetView workbookViewId="0">
      <selection activeCell="K23" sqref="K23"/>
    </sheetView>
  </sheetViews>
  <sheetFormatPr defaultRowHeight="15" x14ac:dyDescent="0.25"/>
  <cols>
    <col min="2" max="2" width="16.7109375" customWidth="1"/>
    <col min="3" max="3" width="51" bestFit="1" customWidth="1"/>
  </cols>
  <sheetData>
    <row r="1" spans="2:39" ht="15.75" thickBot="1" x14ac:dyDescent="0.3"/>
    <row r="2" spans="2:39" ht="15.75" thickBot="1" x14ac:dyDescent="0.3">
      <c r="B2" s="91"/>
      <c r="C2" s="91"/>
      <c r="D2" s="92">
        <v>2017</v>
      </c>
      <c r="E2" s="93">
        <v>2018</v>
      </c>
      <c r="F2" s="93">
        <v>2019</v>
      </c>
      <c r="G2" s="93">
        <v>2020</v>
      </c>
      <c r="H2" s="93">
        <v>2021</v>
      </c>
      <c r="I2" s="93">
        <v>2022</v>
      </c>
      <c r="J2" s="92">
        <v>2023</v>
      </c>
      <c r="K2" s="93">
        <v>2024</v>
      </c>
      <c r="L2" s="93">
        <v>2025</v>
      </c>
      <c r="M2" s="93">
        <v>2026</v>
      </c>
      <c r="N2" s="93">
        <v>2027</v>
      </c>
      <c r="O2" s="93">
        <v>2028</v>
      </c>
      <c r="P2" s="93">
        <v>2029</v>
      </c>
      <c r="Q2" s="93">
        <v>2030</v>
      </c>
      <c r="R2" s="93">
        <v>2031</v>
      </c>
      <c r="S2" s="93">
        <v>2032</v>
      </c>
      <c r="T2" s="93">
        <v>2033</v>
      </c>
      <c r="U2" s="93">
        <v>2034</v>
      </c>
      <c r="V2" s="93">
        <v>2035</v>
      </c>
      <c r="W2" s="93">
        <v>2036</v>
      </c>
      <c r="X2" s="93">
        <v>2037</v>
      </c>
      <c r="Y2" s="93">
        <v>2038</v>
      </c>
      <c r="Z2" s="93">
        <v>2039</v>
      </c>
      <c r="AA2" s="93">
        <v>2040</v>
      </c>
      <c r="AB2" s="93">
        <v>2041</v>
      </c>
      <c r="AC2" s="93">
        <v>2042</v>
      </c>
      <c r="AD2" s="93">
        <v>2043</v>
      </c>
      <c r="AE2" s="93">
        <v>2044</v>
      </c>
      <c r="AF2" s="93">
        <v>2045</v>
      </c>
      <c r="AG2" s="93">
        <v>2046</v>
      </c>
      <c r="AH2" s="93">
        <v>2047</v>
      </c>
      <c r="AI2" s="93">
        <v>2048</v>
      </c>
      <c r="AJ2" s="93">
        <v>2049</v>
      </c>
      <c r="AK2" s="94">
        <v>2050</v>
      </c>
      <c r="AL2" s="93"/>
      <c r="AM2" s="94"/>
    </row>
    <row r="3" spans="2:39" x14ac:dyDescent="0.25">
      <c r="B3" s="199" t="s">
        <v>157</v>
      </c>
      <c r="C3" s="95" t="s">
        <v>158</v>
      </c>
      <c r="D3" s="96">
        <v>38</v>
      </c>
      <c r="E3" s="96">
        <v>38</v>
      </c>
      <c r="F3" s="96">
        <v>39</v>
      </c>
      <c r="G3" s="96">
        <v>37</v>
      </c>
      <c r="H3" s="96">
        <v>35</v>
      </c>
      <c r="I3" s="97">
        <v>26</v>
      </c>
    </row>
    <row r="4" spans="2:39" ht="15.75" thickBot="1" x14ac:dyDescent="0.3">
      <c r="B4" s="200"/>
      <c r="C4" s="98" t="s">
        <v>159</v>
      </c>
      <c r="D4" s="99">
        <v>29</v>
      </c>
      <c r="E4" s="99">
        <v>29</v>
      </c>
      <c r="F4" s="99">
        <v>29</v>
      </c>
      <c r="G4" s="99">
        <v>29</v>
      </c>
      <c r="H4" s="99">
        <v>29</v>
      </c>
      <c r="I4" s="100">
        <v>29</v>
      </c>
    </row>
    <row r="5" spans="2:39" x14ac:dyDescent="0.25">
      <c r="B5" s="201" t="s">
        <v>160</v>
      </c>
      <c r="C5" s="101" t="s">
        <v>161</v>
      </c>
      <c r="D5" s="96">
        <v>66</v>
      </c>
      <c r="E5" s="96">
        <v>73</v>
      </c>
      <c r="F5" s="96">
        <v>81</v>
      </c>
      <c r="G5" s="96">
        <v>90</v>
      </c>
      <c r="H5" s="96">
        <v>100</v>
      </c>
      <c r="I5" s="97">
        <v>111</v>
      </c>
    </row>
    <row r="6" spans="2:39" x14ac:dyDescent="0.25">
      <c r="B6" s="202"/>
      <c r="C6" s="101" t="s">
        <v>162</v>
      </c>
      <c r="D6" s="96">
        <v>45</v>
      </c>
      <c r="E6" s="96">
        <v>45</v>
      </c>
      <c r="F6" s="96">
        <v>46</v>
      </c>
      <c r="G6" s="96">
        <v>47</v>
      </c>
      <c r="H6" s="96">
        <v>48</v>
      </c>
      <c r="I6" s="97">
        <v>49</v>
      </c>
    </row>
    <row r="7" spans="2:39" x14ac:dyDescent="0.25">
      <c r="B7" s="202"/>
      <c r="C7" s="101" t="s">
        <v>163</v>
      </c>
      <c r="D7" s="96">
        <v>2507</v>
      </c>
      <c r="E7" s="96">
        <v>2810</v>
      </c>
      <c r="F7" s="96">
        <v>3165</v>
      </c>
      <c r="G7" s="96">
        <v>3362</v>
      </c>
      <c r="H7" s="96">
        <v>3535</v>
      </c>
      <c r="I7" s="97">
        <v>2884</v>
      </c>
    </row>
    <row r="8" spans="2:39" ht="15.75" thickBot="1" x14ac:dyDescent="0.3">
      <c r="B8" s="203"/>
      <c r="C8" s="98" t="s">
        <v>164</v>
      </c>
      <c r="D8" s="99">
        <v>1325</v>
      </c>
      <c r="E8" s="99">
        <v>1340</v>
      </c>
      <c r="F8" s="99">
        <v>1354</v>
      </c>
      <c r="G8" s="99">
        <v>1384</v>
      </c>
      <c r="H8" s="99">
        <v>1413</v>
      </c>
      <c r="I8" s="100">
        <v>1443</v>
      </c>
    </row>
    <row r="9" spans="2:39" x14ac:dyDescent="0.25">
      <c r="B9" s="204" t="s">
        <v>165</v>
      </c>
      <c r="C9" s="101" t="s">
        <v>166</v>
      </c>
      <c r="D9" s="96">
        <v>1</v>
      </c>
      <c r="E9" s="96">
        <v>1.8</v>
      </c>
      <c r="F9" s="96">
        <v>2.6</v>
      </c>
      <c r="G9" s="96">
        <v>3.4</v>
      </c>
      <c r="H9" s="96">
        <v>4.2</v>
      </c>
      <c r="I9" s="97">
        <v>5</v>
      </c>
    </row>
    <row r="10" spans="2:39" x14ac:dyDescent="0.25">
      <c r="B10" s="205"/>
      <c r="C10" s="101" t="s">
        <v>161</v>
      </c>
      <c r="D10" s="96">
        <v>65</v>
      </c>
      <c r="E10" s="96">
        <v>71</v>
      </c>
      <c r="F10" s="96">
        <v>78</v>
      </c>
      <c r="G10" s="96">
        <v>87</v>
      </c>
      <c r="H10" s="96">
        <v>96</v>
      </c>
      <c r="I10" s="97">
        <v>106</v>
      </c>
    </row>
    <row r="11" spans="2:39" x14ac:dyDescent="0.25">
      <c r="B11" s="205"/>
      <c r="C11" s="101" t="s">
        <v>162</v>
      </c>
      <c r="D11" s="96">
        <v>42</v>
      </c>
      <c r="E11" s="96">
        <v>42</v>
      </c>
      <c r="F11" s="96">
        <v>43</v>
      </c>
      <c r="G11" s="96">
        <v>44</v>
      </c>
      <c r="H11" s="96">
        <v>45</v>
      </c>
      <c r="I11" s="97">
        <v>46</v>
      </c>
    </row>
    <row r="12" spans="2:39" x14ac:dyDescent="0.25">
      <c r="B12" s="205"/>
      <c r="C12" s="101" t="s">
        <v>163</v>
      </c>
      <c r="D12" s="96">
        <v>2469.1999999999998</v>
      </c>
      <c r="E12" s="96">
        <v>2741.1</v>
      </c>
      <c r="F12" s="96">
        <v>3063</v>
      </c>
      <c r="G12" s="96">
        <v>3235.2</v>
      </c>
      <c r="H12" s="96">
        <v>3386.5</v>
      </c>
      <c r="I12" s="97">
        <v>2754.4</v>
      </c>
    </row>
    <row r="13" spans="2:39" ht="15.75" thickBot="1" x14ac:dyDescent="0.3">
      <c r="B13" s="206"/>
      <c r="C13" s="98" t="s">
        <v>164</v>
      </c>
      <c r="D13" s="99">
        <v>1236.0999999999999</v>
      </c>
      <c r="E13" s="99">
        <v>1251.5999999999999</v>
      </c>
      <c r="F13" s="99">
        <v>1265.5999999999999</v>
      </c>
      <c r="G13" s="99">
        <v>1295.0999999999999</v>
      </c>
      <c r="H13" s="99">
        <v>1324.6</v>
      </c>
      <c r="I13" s="100">
        <v>1354.1</v>
      </c>
    </row>
    <row r="14" spans="2:39" x14ac:dyDescent="0.25">
      <c r="B14" s="207" t="s">
        <v>167</v>
      </c>
      <c r="C14" s="101" t="s">
        <v>168</v>
      </c>
      <c r="D14" s="96">
        <v>-38.1</v>
      </c>
      <c r="E14" s="96">
        <v>-69.2</v>
      </c>
      <c r="F14" s="96">
        <v>-101.5</v>
      </c>
      <c r="G14" s="96">
        <v>-127</v>
      </c>
      <c r="H14" s="96">
        <v>-148.6</v>
      </c>
      <c r="I14" s="97">
        <v>-130.1</v>
      </c>
      <c r="K14" s="54" t="s">
        <v>181</v>
      </c>
    </row>
    <row r="15" spans="2:39" x14ac:dyDescent="0.25">
      <c r="B15" s="208"/>
      <c r="C15" s="101" t="s">
        <v>169</v>
      </c>
      <c r="D15" s="96">
        <v>-88.5</v>
      </c>
      <c r="E15" s="96">
        <v>-88.5</v>
      </c>
      <c r="F15" s="96">
        <v>-88.5</v>
      </c>
      <c r="G15" s="96">
        <v>-88.5</v>
      </c>
      <c r="H15" s="96">
        <v>-88.5</v>
      </c>
      <c r="I15" s="97">
        <v>-88.5</v>
      </c>
    </row>
    <row r="16" spans="2:39" ht="15.75" thickBot="1" x14ac:dyDescent="0.3">
      <c r="B16" s="209"/>
      <c r="C16" s="102" t="s">
        <v>170</v>
      </c>
      <c r="D16" s="103">
        <v>-126.6</v>
      </c>
      <c r="E16" s="103">
        <v>-157.69999999999999</v>
      </c>
      <c r="F16" s="103">
        <v>-190</v>
      </c>
      <c r="G16" s="103">
        <v>-215.5</v>
      </c>
      <c r="H16" s="103">
        <v>-237.1</v>
      </c>
      <c r="I16" s="104">
        <v>-218.5</v>
      </c>
      <c r="J16">
        <f>AVERAGE($D$17:$I$17)*1.02^(J2-2022)</f>
        <v>-203.4311632239104</v>
      </c>
      <c r="K16" s="105">
        <f t="shared" ref="K16:AK16" si="0">AVERAGE($D$17:$I$17)*1.02^(K2-2022)</f>
        <v>-207.49978648838859</v>
      </c>
      <c r="L16" s="105">
        <f t="shared" si="0"/>
        <v>-211.64978221815636</v>
      </c>
      <c r="M16" s="105">
        <f t="shared" si="0"/>
        <v>-215.8827778625195</v>
      </c>
      <c r="N16" s="105">
        <f t="shared" si="0"/>
        <v>-220.20043341976989</v>
      </c>
      <c r="O16" s="105">
        <f t="shared" si="0"/>
        <v>-224.60444208816531</v>
      </c>
      <c r="P16" s="105">
        <f t="shared" si="0"/>
        <v>-229.09653092992855</v>
      </c>
      <c r="Q16" s="105">
        <f t="shared" si="0"/>
        <v>-233.67846154852714</v>
      </c>
      <c r="R16" s="105">
        <f t="shared" si="0"/>
        <v>-238.35203077949768</v>
      </c>
      <c r="S16" s="105">
        <f t="shared" si="0"/>
        <v>-243.11907139508767</v>
      </c>
      <c r="T16" s="105">
        <f t="shared" si="0"/>
        <v>-247.98145282298935</v>
      </c>
      <c r="U16" s="105">
        <f t="shared" si="0"/>
        <v>-252.9410818794492</v>
      </c>
      <c r="V16" s="105">
        <f t="shared" si="0"/>
        <v>-257.99990351703815</v>
      </c>
      <c r="W16" s="105">
        <f t="shared" si="0"/>
        <v>-263.15990158737895</v>
      </c>
      <c r="X16" s="105">
        <f t="shared" si="0"/>
        <v>-268.42309961912645</v>
      </c>
      <c r="Y16" s="105">
        <f t="shared" si="0"/>
        <v>-273.79156161150905</v>
      </c>
      <c r="Z16" s="105">
        <f t="shared" si="0"/>
        <v>-279.26739284373923</v>
      </c>
      <c r="AA16" s="105">
        <f t="shared" si="0"/>
        <v>-284.85274070061399</v>
      </c>
      <c r="AB16" s="105">
        <f t="shared" si="0"/>
        <v>-290.54979551462628</v>
      </c>
      <c r="AC16" s="105">
        <f t="shared" si="0"/>
        <v>-296.36079142491883</v>
      </c>
      <c r="AD16" s="105">
        <f t="shared" si="0"/>
        <v>-302.28800725341716</v>
      </c>
      <c r="AE16" s="105">
        <f t="shared" si="0"/>
        <v>-308.33376739848552</v>
      </c>
      <c r="AF16" s="105">
        <f t="shared" si="0"/>
        <v>-314.50044274645518</v>
      </c>
      <c r="AG16" s="105">
        <f t="shared" si="0"/>
        <v>-320.79045160138429</v>
      </c>
      <c r="AH16" s="105">
        <f t="shared" si="0"/>
        <v>-327.206260633412</v>
      </c>
      <c r="AI16" s="105">
        <f t="shared" si="0"/>
        <v>-333.75038584608029</v>
      </c>
      <c r="AJ16" s="105">
        <f t="shared" si="0"/>
        <v>-340.42539356300182</v>
      </c>
      <c r="AK16" s="105">
        <f t="shared" si="0"/>
        <v>-347.2339014342619</v>
      </c>
    </row>
    <row r="17" spans="3:37" ht="15.75" thickBot="1" x14ac:dyDescent="0.3">
      <c r="C17" s="102" t="s">
        <v>182</v>
      </c>
      <c r="D17">
        <f>D16*1.02^(2022-D2)</f>
        <v>-139.77662968511999</v>
      </c>
      <c r="E17" s="105">
        <f t="shared" ref="E17:I17" si="1">E16*1.02^(2022-E2)</f>
        <v>-170.69955163199998</v>
      </c>
      <c r="F17" s="105">
        <f t="shared" si="1"/>
        <v>-201.62951999999999</v>
      </c>
      <c r="G17" s="105">
        <f t="shared" si="1"/>
        <v>-224.2062</v>
      </c>
      <c r="H17" s="105">
        <f t="shared" si="1"/>
        <v>-241.84199999999998</v>
      </c>
      <c r="I17" s="105">
        <f t="shared" si="1"/>
        <v>-218.5</v>
      </c>
    </row>
    <row r="20" spans="3:37" x14ac:dyDescent="0.25">
      <c r="C20" t="s">
        <v>183</v>
      </c>
      <c r="D20">
        <v>-0.71</v>
      </c>
      <c r="E20">
        <v>-0.89</v>
      </c>
      <c r="F20">
        <v>-1.08</v>
      </c>
      <c r="G20">
        <v>-1.22</v>
      </c>
      <c r="H20">
        <v>-1.35</v>
      </c>
      <c r="I20">
        <v>-1.24</v>
      </c>
      <c r="J20">
        <f>AVERAGE($D$20:$I$20)*1.02^(J$2-2022)</f>
        <v>-1.1033000000000002</v>
      </c>
      <c r="K20" s="105">
        <f t="shared" ref="K20:AK20" si="2">AVERAGE($D$20:$I$20)*1.02^(K$2-2022)</f>
        <v>-1.1253660000000001</v>
      </c>
      <c r="L20" s="105">
        <f t="shared" si="2"/>
        <v>-1.14787332</v>
      </c>
      <c r="M20" s="105">
        <f t="shared" si="2"/>
        <v>-1.1708307864</v>
      </c>
      <c r="N20" s="105">
        <f t="shared" si="2"/>
        <v>-1.1942474021280001</v>
      </c>
      <c r="O20" s="105">
        <f t="shared" si="2"/>
        <v>-1.2181323501705601</v>
      </c>
      <c r="P20" s="105">
        <f t="shared" si="2"/>
        <v>-1.2424949971739712</v>
      </c>
      <c r="Q20" s="105">
        <f t="shared" si="2"/>
        <v>-1.2673448971174506</v>
      </c>
      <c r="R20" s="105">
        <f t="shared" si="2"/>
        <v>-1.2926917950597996</v>
      </c>
      <c r="S20" s="105">
        <f t="shared" si="2"/>
        <v>-1.3185456309609958</v>
      </c>
      <c r="T20" s="105">
        <f t="shared" si="2"/>
        <v>-1.3449165435802155</v>
      </c>
      <c r="U20" s="105">
        <f t="shared" si="2"/>
        <v>-1.3718148744518199</v>
      </c>
      <c r="V20" s="105">
        <f t="shared" si="2"/>
        <v>-1.3992511719408562</v>
      </c>
      <c r="W20" s="105">
        <f t="shared" si="2"/>
        <v>-1.4272361953796735</v>
      </c>
      <c r="X20" s="105">
        <f t="shared" si="2"/>
        <v>-1.4557809192872666</v>
      </c>
      <c r="Y20" s="105">
        <f t="shared" si="2"/>
        <v>-1.4848965376730121</v>
      </c>
      <c r="Z20" s="105">
        <f t="shared" si="2"/>
        <v>-1.5145944684264725</v>
      </c>
      <c r="AA20" s="105">
        <f t="shared" si="2"/>
        <v>-1.5448863577950018</v>
      </c>
      <c r="AB20" s="105">
        <f t="shared" si="2"/>
        <v>-1.5757840849509017</v>
      </c>
      <c r="AC20" s="105">
        <f t="shared" si="2"/>
        <v>-1.60729976664992</v>
      </c>
      <c r="AD20" s="105">
        <f t="shared" si="2"/>
        <v>-1.6394457619829184</v>
      </c>
      <c r="AE20" s="105">
        <f t="shared" si="2"/>
        <v>-1.6722346772225767</v>
      </c>
      <c r="AF20" s="105">
        <f t="shared" si="2"/>
        <v>-1.7056793707670279</v>
      </c>
      <c r="AG20" s="105">
        <f t="shared" si="2"/>
        <v>-1.7397929581823686</v>
      </c>
      <c r="AH20" s="105">
        <f t="shared" si="2"/>
        <v>-1.774588817346016</v>
      </c>
      <c r="AI20" s="105">
        <f t="shared" si="2"/>
        <v>-1.8100805936929365</v>
      </c>
      <c r="AJ20" s="105">
        <f t="shared" si="2"/>
        <v>-1.8462822055667949</v>
      </c>
      <c r="AK20" s="105">
        <f t="shared" si="2"/>
        <v>-1.8832078496781313</v>
      </c>
    </row>
    <row r="21" spans="3:37" x14ac:dyDescent="0.25">
      <c r="C21" t="s">
        <v>184</v>
      </c>
      <c r="D21">
        <v>-0.59</v>
      </c>
      <c r="E21">
        <v>-0.74</v>
      </c>
      <c r="F21">
        <v>-0.89</v>
      </c>
      <c r="G21">
        <v>-1.01</v>
      </c>
      <c r="H21">
        <v>-1.1200000000000001</v>
      </c>
      <c r="I21">
        <v>-1.03</v>
      </c>
      <c r="J21" s="105">
        <f>AVERAGE($D$21:$I$21)*1.02^(J$2-2022)</f>
        <v>-0.91460000000000019</v>
      </c>
      <c r="K21" s="105">
        <f t="shared" ref="K21:AK21" si="3">AVERAGE($D$21:$I$21)*1.02^(K$2-2022)</f>
        <v>-0.93289200000000017</v>
      </c>
      <c r="L21" s="105">
        <f t="shared" si="3"/>
        <v>-0.95154984000000009</v>
      </c>
      <c r="M21" s="105">
        <f t="shared" si="3"/>
        <v>-0.97058083680000018</v>
      </c>
      <c r="N21" s="105">
        <f t="shared" si="3"/>
        <v>-0.98999245353600018</v>
      </c>
      <c r="O21" s="105">
        <f t="shared" si="3"/>
        <v>-1.0097923026067201</v>
      </c>
      <c r="P21" s="105">
        <f t="shared" si="3"/>
        <v>-1.0299881486588545</v>
      </c>
      <c r="Q21" s="105">
        <f t="shared" si="3"/>
        <v>-1.0505879116320316</v>
      </c>
      <c r="R21" s="105">
        <f t="shared" si="3"/>
        <v>-1.0715996698646721</v>
      </c>
      <c r="S21" s="105">
        <f t="shared" si="3"/>
        <v>-1.0930316632619657</v>
      </c>
      <c r="T21" s="105">
        <f t="shared" si="3"/>
        <v>-1.1148922965272048</v>
      </c>
      <c r="U21" s="105">
        <f t="shared" si="3"/>
        <v>-1.1371901424577491</v>
      </c>
      <c r="V21" s="105">
        <f t="shared" si="3"/>
        <v>-1.159933945306904</v>
      </c>
      <c r="W21" s="105">
        <f t="shared" si="3"/>
        <v>-1.1831326242130422</v>
      </c>
      <c r="X21" s="105">
        <f t="shared" si="3"/>
        <v>-1.2067952766973027</v>
      </c>
      <c r="Y21" s="105">
        <f t="shared" si="3"/>
        <v>-1.230931182231249</v>
      </c>
      <c r="Z21" s="105">
        <f t="shared" si="3"/>
        <v>-1.2555498058758741</v>
      </c>
      <c r="AA21" s="105">
        <f t="shared" si="3"/>
        <v>-1.2806608019933914</v>
      </c>
      <c r="AB21" s="105">
        <f t="shared" si="3"/>
        <v>-1.3062740180332593</v>
      </c>
      <c r="AC21" s="105">
        <f t="shared" si="3"/>
        <v>-1.3323994983939245</v>
      </c>
      <c r="AD21" s="105">
        <f t="shared" si="3"/>
        <v>-1.3590474883618029</v>
      </c>
      <c r="AE21" s="105">
        <f t="shared" si="3"/>
        <v>-1.3862284381290391</v>
      </c>
      <c r="AF21" s="105">
        <f t="shared" si="3"/>
        <v>-1.4139530068916195</v>
      </c>
      <c r="AG21" s="105">
        <f t="shared" si="3"/>
        <v>-1.4422320670294519</v>
      </c>
      <c r="AH21" s="105">
        <f t="shared" si="3"/>
        <v>-1.4710767083700411</v>
      </c>
      <c r="AI21" s="105">
        <f t="shared" si="3"/>
        <v>-1.500498242537442</v>
      </c>
      <c r="AJ21" s="105">
        <f t="shared" si="3"/>
        <v>-1.5305082073881906</v>
      </c>
      <c r="AK21" s="105">
        <f t="shared" si="3"/>
        <v>-1.5611183715359549</v>
      </c>
    </row>
    <row r="22" spans="3:37" x14ac:dyDescent="0.25">
      <c r="C22" s="105" t="s">
        <v>185</v>
      </c>
      <c r="D22">
        <f>D20*1.02^(2022-D$2)</f>
        <v>-0.78389737027200002</v>
      </c>
      <c r="E22" s="105">
        <f t="shared" ref="E22:I22" si="4">E20*1.02^(2022-E$2)</f>
        <v>-0.96336462239999998</v>
      </c>
      <c r="F22" s="105">
        <f t="shared" si="4"/>
        <v>-1.1461046399999999</v>
      </c>
      <c r="G22" s="105">
        <f t="shared" si="4"/>
        <v>-1.269288</v>
      </c>
      <c r="H22" s="105">
        <f t="shared" si="4"/>
        <v>-1.3770000000000002</v>
      </c>
      <c r="I22" s="105">
        <f t="shared" si="4"/>
        <v>-1.24</v>
      </c>
    </row>
    <row r="23" spans="3:37" x14ac:dyDescent="0.25">
      <c r="C23" s="105" t="s">
        <v>186</v>
      </c>
      <c r="D23" s="105">
        <f>D21*1.02^(2022-D$2)</f>
        <v>-0.65140767388800003</v>
      </c>
      <c r="E23" s="105">
        <f t="shared" ref="E23:I23" si="5">E21*1.02^(2022-E$2)</f>
        <v>-0.80099979840000002</v>
      </c>
      <c r="F23" s="105">
        <f t="shared" si="5"/>
        <v>-0.94447512</v>
      </c>
      <c r="G23" s="105">
        <f t="shared" si="5"/>
        <v>-1.0508040000000001</v>
      </c>
      <c r="H23" s="105">
        <f t="shared" si="5"/>
        <v>-1.1424000000000001</v>
      </c>
      <c r="I23" s="105">
        <f t="shared" si="5"/>
        <v>-1.03</v>
      </c>
    </row>
  </sheetData>
  <mergeCells count="4">
    <mergeCell ref="B3:B4"/>
    <mergeCell ref="B5:B8"/>
    <mergeCell ref="B9:B13"/>
    <mergeCell ref="B14:B1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AK7"/>
  <sheetViews>
    <sheetView workbookViewId="0">
      <selection activeCell="AH10" sqref="AH10"/>
    </sheetView>
  </sheetViews>
  <sheetFormatPr defaultRowHeight="15" x14ac:dyDescent="0.25"/>
  <sheetData>
    <row r="1" spans="2:37" ht="15.75" thickBot="1" x14ac:dyDescent="0.3"/>
    <row r="2" spans="2:37" ht="25.5" x14ac:dyDescent="0.25">
      <c r="B2" s="73" t="s">
        <v>146</v>
      </c>
      <c r="C2" s="74" t="s">
        <v>147</v>
      </c>
      <c r="D2" s="75">
        <v>2017</v>
      </c>
      <c r="E2" s="75">
        <v>2018</v>
      </c>
      <c r="F2" s="75">
        <v>2019</v>
      </c>
      <c r="G2" s="75">
        <v>2020</v>
      </c>
      <c r="H2" s="75">
        <v>2021</v>
      </c>
      <c r="I2" s="75">
        <v>2022</v>
      </c>
      <c r="J2" s="75">
        <v>2023</v>
      </c>
      <c r="K2" s="75">
        <v>2024</v>
      </c>
      <c r="L2" s="75">
        <v>2025</v>
      </c>
      <c r="M2" s="75">
        <v>2026</v>
      </c>
      <c r="N2" s="75">
        <v>2027</v>
      </c>
      <c r="O2" s="75">
        <v>2028</v>
      </c>
      <c r="P2" s="75">
        <v>2029</v>
      </c>
      <c r="Q2" s="75">
        <v>2030</v>
      </c>
      <c r="R2" s="75">
        <v>2031</v>
      </c>
      <c r="S2" s="75">
        <v>2032</v>
      </c>
      <c r="T2" s="75">
        <v>2033</v>
      </c>
      <c r="U2" s="75">
        <v>2034</v>
      </c>
      <c r="V2" s="75">
        <v>2035</v>
      </c>
      <c r="W2" s="75">
        <v>2036</v>
      </c>
      <c r="X2" s="75">
        <v>2037</v>
      </c>
      <c r="Y2" s="75">
        <v>2038</v>
      </c>
      <c r="Z2" s="75">
        <v>2039</v>
      </c>
      <c r="AA2" s="75">
        <v>2040</v>
      </c>
      <c r="AB2" s="75">
        <v>2041</v>
      </c>
      <c r="AC2" s="75">
        <v>2042</v>
      </c>
      <c r="AD2" s="75">
        <v>2043</v>
      </c>
      <c r="AE2" s="75">
        <v>2044</v>
      </c>
      <c r="AF2" s="75">
        <v>2045</v>
      </c>
      <c r="AG2" s="75">
        <v>2046</v>
      </c>
      <c r="AH2" s="75">
        <v>2047</v>
      </c>
      <c r="AI2" s="75">
        <v>2048</v>
      </c>
      <c r="AJ2" s="75">
        <v>2049</v>
      </c>
      <c r="AK2" s="75">
        <v>2050</v>
      </c>
    </row>
    <row r="3" spans="2:37" x14ac:dyDescent="0.25">
      <c r="B3" s="76" t="s">
        <v>148</v>
      </c>
      <c r="C3" s="77">
        <v>1.3</v>
      </c>
      <c r="D3" s="78">
        <f>$C$3*1.02^(D2-2016)</f>
        <v>1.3260000000000001</v>
      </c>
      <c r="E3" s="78">
        <f t="shared" ref="E3:V3" si="0">$C$3*1.02^(E2-2016)</f>
        <v>1.3525199999999999</v>
      </c>
      <c r="F3" s="78">
        <f t="shared" si="0"/>
        <v>1.3795704</v>
      </c>
      <c r="G3" s="78">
        <f t="shared" si="0"/>
        <v>1.4071618080000001</v>
      </c>
      <c r="H3" s="78">
        <f t="shared" si="0"/>
        <v>1.4353050441600002</v>
      </c>
      <c r="I3" s="78">
        <f t="shared" si="0"/>
        <v>1.4640111450432001</v>
      </c>
      <c r="J3" s="78">
        <f t="shared" si="0"/>
        <v>1.4932913679440638</v>
      </c>
      <c r="K3" s="78">
        <f t="shared" si="0"/>
        <v>1.5231571953029452</v>
      </c>
      <c r="L3" s="78">
        <f t="shared" si="0"/>
        <v>1.5536203392090042</v>
      </c>
      <c r="M3" s="78">
        <f t="shared" si="0"/>
        <v>1.5846927459931843</v>
      </c>
      <c r="N3" s="78">
        <f t="shared" si="0"/>
        <v>1.6163866009130476</v>
      </c>
      <c r="O3" s="78">
        <f t="shared" si="0"/>
        <v>1.648714332931309</v>
      </c>
      <c r="P3" s="78">
        <f t="shared" si="0"/>
        <v>1.681688619589935</v>
      </c>
      <c r="Q3" s="78">
        <f t="shared" si="0"/>
        <v>1.7153223919817338</v>
      </c>
      <c r="R3" s="78">
        <f t="shared" si="0"/>
        <v>1.749628839821368</v>
      </c>
      <c r="S3" s="78">
        <f t="shared" si="0"/>
        <v>1.7846214166177956</v>
      </c>
      <c r="T3" s="78">
        <f t="shared" si="0"/>
        <v>1.8203138449501517</v>
      </c>
      <c r="U3" s="78">
        <f t="shared" si="0"/>
        <v>1.8567201218491547</v>
      </c>
      <c r="V3" s="78">
        <f t="shared" si="0"/>
        <v>1.8938545242861375</v>
      </c>
      <c r="W3" s="78">
        <f t="shared" ref="W3" si="1">$C$3*1.02^(W2-2016)</f>
        <v>1.9317316147718606</v>
      </c>
      <c r="X3" s="78">
        <f t="shared" ref="X3" si="2">$C$3*1.02^(X2-2016)</f>
        <v>1.9703662470672976</v>
      </c>
      <c r="Y3" s="78">
        <f t="shared" ref="Y3" si="3">$C$3*1.02^(Y2-2016)</f>
        <v>2.0097735720086436</v>
      </c>
      <c r="Z3" s="78">
        <f t="shared" ref="Z3" si="4">$C$3*1.02^(Z2-2016)</f>
        <v>2.049969043448816</v>
      </c>
      <c r="AA3" s="78">
        <f t="shared" ref="AA3" si="5">$C$3*1.02^(AA2-2016)</f>
        <v>2.0909684243177926</v>
      </c>
      <c r="AB3" s="78">
        <f t="shared" ref="AB3" si="6">$C$3*1.02^(AB2-2016)</f>
        <v>2.1327877928041485</v>
      </c>
      <c r="AC3" s="78">
        <f t="shared" ref="AC3" si="7">$C$3*1.02^(AC2-2016)</f>
        <v>2.1754435486602315</v>
      </c>
      <c r="AD3" s="78">
        <f t="shared" ref="AD3" si="8">$C$3*1.02^(AD2-2016)</f>
        <v>2.2189524196334358</v>
      </c>
      <c r="AE3" s="78">
        <f t="shared" ref="AE3" si="9">$C$3*1.02^(AE2-2016)</f>
        <v>2.263331468026105</v>
      </c>
      <c r="AF3" s="78">
        <f t="shared" ref="AF3" si="10">$C$3*1.02^(AF2-2016)</f>
        <v>2.3085980973866267</v>
      </c>
      <c r="AG3" s="78">
        <f t="shared" ref="AG3" si="11">$C$3*1.02^(AG2-2016)</f>
        <v>2.3547700593343595</v>
      </c>
      <c r="AH3" s="78">
        <f t="shared" ref="AH3" si="12">$C$3*1.02^(AH2-2016)</f>
        <v>2.4018654605210461</v>
      </c>
      <c r="AI3" s="78">
        <f t="shared" ref="AI3" si="13">$C$3*1.02^(AI2-2016)</f>
        <v>2.4499027697314677</v>
      </c>
      <c r="AJ3" s="78">
        <f t="shared" ref="AJ3" si="14">$C$3*1.02^(AJ2-2016)</f>
        <v>2.4989008251260971</v>
      </c>
      <c r="AK3" s="78">
        <f t="shared" ref="AK3" si="15">$C$3*1.02^(AK2-2016)</f>
        <v>2.548878841628619</v>
      </c>
    </row>
    <row r="4" spans="2:37" ht="15.75" thickBot="1" x14ac:dyDescent="0.3">
      <c r="B4" s="76" t="s">
        <v>149</v>
      </c>
      <c r="C4" s="79">
        <v>1.1000000000000001</v>
      </c>
      <c r="D4" s="78">
        <f>$C$4*1.02^(D2-2016)</f>
        <v>1.1220000000000001</v>
      </c>
      <c r="E4" s="78">
        <f t="shared" ref="E4:V4" si="16">$C$4*1.02^(E2-2016)</f>
        <v>1.1444400000000001</v>
      </c>
      <c r="F4" s="78">
        <f t="shared" si="16"/>
        <v>1.1673287999999999</v>
      </c>
      <c r="G4" s="78">
        <f t="shared" si="16"/>
        <v>1.1906753760000002</v>
      </c>
      <c r="H4" s="78">
        <f t="shared" si="16"/>
        <v>1.2144888835200001</v>
      </c>
      <c r="I4" s="78">
        <f t="shared" si="16"/>
        <v>1.2387786611904001</v>
      </c>
      <c r="J4" s="78">
        <f t="shared" si="16"/>
        <v>1.2635542344142079</v>
      </c>
      <c r="K4" s="78">
        <f t="shared" si="16"/>
        <v>1.2888253191024921</v>
      </c>
      <c r="L4" s="78">
        <f t="shared" si="16"/>
        <v>1.314601825484542</v>
      </c>
      <c r="M4" s="78">
        <f t="shared" si="16"/>
        <v>1.340893861994233</v>
      </c>
      <c r="N4" s="78">
        <f t="shared" si="16"/>
        <v>1.3677117392341174</v>
      </c>
      <c r="O4" s="78">
        <f t="shared" si="16"/>
        <v>1.3950659740187998</v>
      </c>
      <c r="P4" s="78">
        <f t="shared" si="16"/>
        <v>1.4229672934991757</v>
      </c>
      <c r="Q4" s="78">
        <f t="shared" si="16"/>
        <v>1.4514266393691595</v>
      </c>
      <c r="R4" s="78">
        <f t="shared" si="16"/>
        <v>1.4804551721565422</v>
      </c>
      <c r="S4" s="78">
        <f t="shared" si="16"/>
        <v>1.5100642755996734</v>
      </c>
      <c r="T4" s="78">
        <f t="shared" si="16"/>
        <v>1.5402655611116669</v>
      </c>
      <c r="U4" s="78">
        <f t="shared" si="16"/>
        <v>1.5710708723339002</v>
      </c>
      <c r="V4" s="78">
        <f t="shared" si="16"/>
        <v>1.602492289780578</v>
      </c>
      <c r="W4" s="78">
        <f t="shared" ref="W4:AK4" si="17">$C$4*1.02^(W2-2016)</f>
        <v>1.6345421355761898</v>
      </c>
      <c r="X4" s="78">
        <f t="shared" si="17"/>
        <v>1.6672329782877136</v>
      </c>
      <c r="Y4" s="78">
        <f t="shared" si="17"/>
        <v>1.7005776378534678</v>
      </c>
      <c r="Z4" s="78">
        <f t="shared" si="17"/>
        <v>1.7345891906105368</v>
      </c>
      <c r="AA4" s="78">
        <f t="shared" si="17"/>
        <v>1.7692809744227478</v>
      </c>
      <c r="AB4" s="78">
        <f t="shared" si="17"/>
        <v>1.8046665939112025</v>
      </c>
      <c r="AC4" s="78">
        <f t="shared" si="17"/>
        <v>1.8407599257894269</v>
      </c>
      <c r="AD4" s="78">
        <f t="shared" si="17"/>
        <v>1.877575124305215</v>
      </c>
      <c r="AE4" s="78">
        <f t="shared" si="17"/>
        <v>1.9151266267913198</v>
      </c>
      <c r="AF4" s="78">
        <f t="shared" si="17"/>
        <v>1.953429159327146</v>
      </c>
      <c r="AG4" s="78">
        <f t="shared" si="17"/>
        <v>1.9924977425136889</v>
      </c>
      <c r="AH4" s="78">
        <f t="shared" si="17"/>
        <v>2.0323476973639623</v>
      </c>
      <c r="AI4" s="78">
        <f t="shared" si="17"/>
        <v>2.0729946513112418</v>
      </c>
      <c r="AJ4" s="78">
        <f t="shared" si="17"/>
        <v>2.1144545443374669</v>
      </c>
      <c r="AK4" s="78">
        <f t="shared" si="17"/>
        <v>2.156743635224216</v>
      </c>
    </row>
    <row r="5" spans="2:37" x14ac:dyDescent="0.25"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</row>
    <row r="6" spans="2:37" x14ac:dyDescent="0.25"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</row>
    <row r="7" spans="2:37" x14ac:dyDescent="0.25">
      <c r="B7" s="76" t="s">
        <v>150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E10"/>
  <sheetViews>
    <sheetView workbookViewId="0">
      <selection activeCell="E10" sqref="E10"/>
    </sheetView>
  </sheetViews>
  <sheetFormatPr defaultRowHeight="15" x14ac:dyDescent="0.25"/>
  <cols>
    <col min="2" max="2" width="16.5703125" customWidth="1"/>
    <col min="3" max="3" width="13.28515625" customWidth="1"/>
    <col min="4" max="4" width="11.85546875" customWidth="1"/>
    <col min="5" max="5" width="12.140625" customWidth="1"/>
  </cols>
  <sheetData>
    <row r="1" spans="2:5" ht="15.75" thickBot="1" x14ac:dyDescent="0.3"/>
    <row r="2" spans="2:5" ht="15.75" thickBot="1" x14ac:dyDescent="0.3">
      <c r="B2" s="69" t="s">
        <v>137</v>
      </c>
      <c r="C2" s="70">
        <v>2014</v>
      </c>
      <c r="D2" s="70">
        <v>2015</v>
      </c>
      <c r="E2" s="70">
        <v>2016</v>
      </c>
    </row>
    <row r="3" spans="2:5" ht="15.75" thickBot="1" x14ac:dyDescent="0.3">
      <c r="B3" s="71" t="s">
        <v>138</v>
      </c>
      <c r="C3" s="72">
        <v>68.78</v>
      </c>
      <c r="D3" s="72">
        <v>75.510000000000005</v>
      </c>
      <c r="E3" s="72">
        <v>82.61</v>
      </c>
    </row>
    <row r="4" spans="2:5" ht="15.75" thickBot="1" x14ac:dyDescent="0.3">
      <c r="B4" s="71" t="s">
        <v>139</v>
      </c>
      <c r="C4" s="72">
        <v>32.67</v>
      </c>
      <c r="D4" s="72">
        <v>36.03</v>
      </c>
      <c r="E4" s="72">
        <v>37.57</v>
      </c>
    </row>
    <row r="5" spans="2:5" ht="15.75" thickBot="1" x14ac:dyDescent="0.3">
      <c r="B5" s="71" t="s">
        <v>140</v>
      </c>
      <c r="C5" s="72">
        <v>10.25</v>
      </c>
      <c r="D5" s="72">
        <v>11.92</v>
      </c>
      <c r="E5" s="72">
        <v>12.75</v>
      </c>
    </row>
    <row r="6" spans="2:5" ht="15.75" thickBot="1" x14ac:dyDescent="0.3">
      <c r="B6" s="71" t="s">
        <v>141</v>
      </c>
      <c r="C6" s="72">
        <v>4.5</v>
      </c>
      <c r="D6" s="72">
        <v>4.68</v>
      </c>
      <c r="E6" s="72">
        <v>4.75</v>
      </c>
    </row>
    <row r="7" spans="2:5" ht="15.75" thickBot="1" x14ac:dyDescent="0.3">
      <c r="B7" s="71" t="s">
        <v>142</v>
      </c>
      <c r="C7" s="72">
        <v>5.25</v>
      </c>
      <c r="D7" s="72">
        <v>5.25</v>
      </c>
      <c r="E7" s="72">
        <v>0</v>
      </c>
    </row>
    <row r="8" spans="2:5" ht="15.75" thickBot="1" x14ac:dyDescent="0.3">
      <c r="B8" s="71" t="s">
        <v>143</v>
      </c>
      <c r="C8" s="72">
        <v>15.79</v>
      </c>
      <c r="D8" s="72">
        <v>17.34</v>
      </c>
      <c r="E8" s="72">
        <v>17.899999999999999</v>
      </c>
    </row>
    <row r="9" spans="2:5" ht="15.75" thickBot="1" x14ac:dyDescent="0.3">
      <c r="B9" s="71" t="s">
        <v>144</v>
      </c>
      <c r="C9" s="72">
        <v>-13.72</v>
      </c>
      <c r="D9" s="72">
        <v>-15.07</v>
      </c>
      <c r="E9" s="72">
        <v>0</v>
      </c>
    </row>
    <row r="10" spans="2:5" ht="15.75" thickBot="1" x14ac:dyDescent="0.3">
      <c r="B10" s="71" t="s">
        <v>145</v>
      </c>
      <c r="C10" s="72">
        <v>123.51</v>
      </c>
      <c r="D10" s="72">
        <v>135.65</v>
      </c>
      <c r="E10" s="72">
        <v>155.58000000000001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I33"/>
  <sheetViews>
    <sheetView workbookViewId="0">
      <selection activeCell="E9" sqref="E9:E14"/>
    </sheetView>
  </sheetViews>
  <sheetFormatPr defaultRowHeight="15" x14ac:dyDescent="0.25"/>
  <cols>
    <col min="2" max="2" width="24.28515625" customWidth="1"/>
    <col min="3" max="3" width="26.42578125" bestFit="1" customWidth="1"/>
    <col min="4" max="5" width="22.28515625" bestFit="1" customWidth="1"/>
    <col min="6" max="7" width="13.85546875" bestFit="1" customWidth="1"/>
    <col min="8" max="8" width="17.28515625" bestFit="1" customWidth="1"/>
    <col min="9" max="9" width="22.28515625" bestFit="1" customWidth="1"/>
  </cols>
  <sheetData>
    <row r="2" spans="2:9" ht="15.75" x14ac:dyDescent="0.25">
      <c r="B2" s="8" t="s">
        <v>10</v>
      </c>
      <c r="C2" s="7"/>
      <c r="D2" s="7"/>
      <c r="E2" s="7"/>
      <c r="F2" s="7"/>
      <c r="G2" s="7"/>
      <c r="H2" s="7"/>
      <c r="I2" s="7"/>
    </row>
    <row r="4" spans="2:9" ht="49.5" customHeight="1" x14ac:dyDescent="0.25">
      <c r="B4" s="9" t="s">
        <v>11</v>
      </c>
      <c r="C4" s="10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11" t="s">
        <v>18</v>
      </c>
    </row>
    <row r="5" spans="2:9" x14ac:dyDescent="0.25">
      <c r="B5" s="12" t="s">
        <v>19</v>
      </c>
      <c r="C5" s="13" t="s">
        <v>20</v>
      </c>
      <c r="D5" s="13" t="s">
        <v>20</v>
      </c>
      <c r="E5" s="13" t="s">
        <v>20</v>
      </c>
      <c r="F5" s="13" t="s">
        <v>20</v>
      </c>
      <c r="G5" s="13" t="s">
        <v>20</v>
      </c>
      <c r="H5" s="13" t="s">
        <v>20</v>
      </c>
      <c r="I5" s="13" t="s">
        <v>20</v>
      </c>
    </row>
    <row r="6" spans="2:9" x14ac:dyDescent="0.25">
      <c r="B6" s="12" t="s">
        <v>21</v>
      </c>
      <c r="C6" s="13" t="s">
        <v>22</v>
      </c>
      <c r="D6" s="13" t="s">
        <v>22</v>
      </c>
      <c r="E6" s="13" t="s">
        <v>22</v>
      </c>
      <c r="F6" s="13" t="s">
        <v>22</v>
      </c>
      <c r="G6" s="13" t="s">
        <v>22</v>
      </c>
      <c r="H6" s="13" t="s">
        <v>22</v>
      </c>
      <c r="I6" s="13" t="s">
        <v>22</v>
      </c>
    </row>
    <row r="7" spans="2:9" x14ac:dyDescent="0.25">
      <c r="B7" s="12" t="s">
        <v>23</v>
      </c>
      <c r="C7" s="13" t="s">
        <v>24</v>
      </c>
      <c r="D7" s="13" t="s">
        <v>24</v>
      </c>
      <c r="E7" s="13" t="s">
        <v>24</v>
      </c>
      <c r="F7" s="13" t="s">
        <v>24</v>
      </c>
      <c r="G7" s="13" t="s">
        <v>24</v>
      </c>
      <c r="H7" s="13" t="s">
        <v>24</v>
      </c>
      <c r="I7" s="13" t="s">
        <v>24</v>
      </c>
    </row>
    <row r="8" spans="2:9" x14ac:dyDescent="0.25">
      <c r="B8" s="12" t="s">
        <v>25</v>
      </c>
      <c r="C8" s="12"/>
      <c r="D8" s="14" t="s">
        <v>26</v>
      </c>
      <c r="E8" s="12"/>
      <c r="F8" s="14" t="s">
        <v>27</v>
      </c>
      <c r="G8" s="12"/>
      <c r="H8" s="12"/>
      <c r="I8" s="14" t="s">
        <v>26</v>
      </c>
    </row>
    <row r="9" spans="2:9" x14ac:dyDescent="0.25">
      <c r="B9" s="12" t="s">
        <v>28</v>
      </c>
      <c r="C9" s="12"/>
      <c r="D9" s="14" t="s">
        <v>29</v>
      </c>
      <c r="E9" s="14" t="s">
        <v>29</v>
      </c>
      <c r="F9" s="14" t="s">
        <v>27</v>
      </c>
      <c r="G9" s="12"/>
      <c r="H9" s="12"/>
      <c r="I9" s="14" t="s">
        <v>29</v>
      </c>
    </row>
    <row r="10" spans="2:9" x14ac:dyDescent="0.25">
      <c r="B10" s="12" t="s">
        <v>30</v>
      </c>
      <c r="C10" s="12"/>
      <c r="D10" s="14" t="s">
        <v>31</v>
      </c>
      <c r="E10" s="12" t="s">
        <v>31</v>
      </c>
      <c r="F10" s="12" t="s">
        <v>31</v>
      </c>
      <c r="G10" s="12"/>
      <c r="H10" s="12"/>
      <c r="I10" s="14" t="s">
        <v>31</v>
      </c>
    </row>
    <row r="11" spans="2:9" x14ac:dyDescent="0.25">
      <c r="B11" s="12" t="s">
        <v>32</v>
      </c>
      <c r="C11" s="12"/>
      <c r="D11" s="12"/>
      <c r="E11" s="12"/>
      <c r="F11" s="12"/>
      <c r="G11" s="12"/>
      <c r="H11" s="14" t="s">
        <v>33</v>
      </c>
      <c r="I11" s="14" t="s">
        <v>33</v>
      </c>
    </row>
    <row r="12" spans="2:9" x14ac:dyDescent="0.25">
      <c r="B12" s="12" t="s">
        <v>34</v>
      </c>
      <c r="C12" s="12"/>
      <c r="D12" s="12"/>
      <c r="E12" s="12"/>
      <c r="F12" s="12"/>
      <c r="G12" s="12"/>
      <c r="H12" s="14" t="s">
        <v>35</v>
      </c>
      <c r="I12" s="14" t="s">
        <v>35</v>
      </c>
    </row>
    <row r="13" spans="2:9" x14ac:dyDescent="0.25">
      <c r="B13" s="12" t="s">
        <v>36</v>
      </c>
      <c r="C13" s="12"/>
      <c r="D13" s="12"/>
      <c r="E13" s="12"/>
      <c r="F13" s="12"/>
      <c r="G13" s="12"/>
      <c r="H13" s="14" t="s">
        <v>37</v>
      </c>
      <c r="I13" s="14" t="s">
        <v>37</v>
      </c>
    </row>
    <row r="14" spans="2:9" ht="46.5" customHeight="1" x14ac:dyDescent="0.25">
      <c r="B14" s="12" t="s">
        <v>38</v>
      </c>
      <c r="C14" s="15" t="s">
        <v>39</v>
      </c>
      <c r="D14" s="15" t="s">
        <v>39</v>
      </c>
      <c r="E14" s="15" t="s">
        <v>39</v>
      </c>
      <c r="F14" s="15" t="s">
        <v>39</v>
      </c>
      <c r="G14" s="16" t="s">
        <v>40</v>
      </c>
      <c r="H14" s="16" t="s">
        <v>40</v>
      </c>
      <c r="I14" s="16" t="s">
        <v>40</v>
      </c>
    </row>
    <row r="15" spans="2:9" x14ac:dyDescent="0.25">
      <c r="B15" s="12" t="s">
        <v>41</v>
      </c>
      <c r="C15" s="12"/>
      <c r="D15" s="12"/>
      <c r="E15" s="12"/>
      <c r="F15" s="12"/>
      <c r="G15" s="12"/>
      <c r="H15" s="12"/>
      <c r="I15" s="12"/>
    </row>
    <row r="17" spans="1:9" x14ac:dyDescent="0.25">
      <c r="B17" s="17" t="s">
        <v>42</v>
      </c>
      <c r="C17" s="17"/>
      <c r="D17" s="7"/>
      <c r="E17" s="7"/>
      <c r="F17" s="7"/>
      <c r="G17" s="7"/>
      <c r="H17" s="7"/>
      <c r="I17" s="7"/>
    </row>
    <row r="20" spans="1:9" x14ac:dyDescent="0.25">
      <c r="A20" s="7"/>
      <c r="B20" s="18" t="s">
        <v>43</v>
      </c>
      <c r="C20" s="18" t="s">
        <v>44</v>
      </c>
    </row>
    <row r="21" spans="1:9" ht="30" x14ac:dyDescent="0.25">
      <c r="A21" s="7"/>
      <c r="B21" s="10" t="s">
        <v>45</v>
      </c>
      <c r="C21" s="12" t="s">
        <v>46</v>
      </c>
    </row>
    <row r="22" spans="1:9" x14ac:dyDescent="0.25">
      <c r="A22" s="7"/>
      <c r="B22" s="12" t="s">
        <v>47</v>
      </c>
      <c r="C22" s="12" t="s">
        <v>48</v>
      </c>
    </row>
    <row r="23" spans="1:9" x14ac:dyDescent="0.25">
      <c r="A23" s="7"/>
      <c r="B23" s="12" t="s">
        <v>49</v>
      </c>
      <c r="C23" s="12" t="s">
        <v>50</v>
      </c>
    </row>
    <row r="24" spans="1:9" x14ac:dyDescent="0.25">
      <c r="A24" s="7"/>
      <c r="B24" s="12" t="s">
        <v>51</v>
      </c>
      <c r="C24" s="12" t="s">
        <v>52</v>
      </c>
    </row>
    <row r="25" spans="1:9" x14ac:dyDescent="0.25">
      <c r="A25" s="7"/>
      <c r="B25" s="12" t="s">
        <v>53</v>
      </c>
      <c r="C25" s="12" t="s">
        <v>54</v>
      </c>
    </row>
    <row r="26" spans="1:9" x14ac:dyDescent="0.25">
      <c r="A26" s="7"/>
      <c r="B26" s="12" t="s">
        <v>55</v>
      </c>
      <c r="C26" s="12" t="s">
        <v>56</v>
      </c>
    </row>
    <row r="27" spans="1:9" x14ac:dyDescent="0.25">
      <c r="A27" s="7"/>
      <c r="B27" s="14" t="s">
        <v>57</v>
      </c>
      <c r="C27" s="14" t="s">
        <v>58</v>
      </c>
    </row>
    <row r="29" spans="1:9" x14ac:dyDescent="0.25">
      <c r="A29" s="7" t="s">
        <v>59</v>
      </c>
      <c r="B29" s="7"/>
      <c r="C29" s="7"/>
    </row>
    <row r="30" spans="1:9" x14ac:dyDescent="0.25">
      <c r="A30" s="7"/>
      <c r="B30" s="7" t="s">
        <v>60</v>
      </c>
      <c r="C30" s="7"/>
    </row>
    <row r="31" spans="1:9" x14ac:dyDescent="0.25">
      <c r="A31" s="7"/>
      <c r="B31" s="7" t="s">
        <v>61</v>
      </c>
      <c r="C31" s="7"/>
    </row>
    <row r="32" spans="1:9" x14ac:dyDescent="0.25">
      <c r="A32" s="7"/>
      <c r="B32" s="7" t="s">
        <v>62</v>
      </c>
      <c r="C32" s="7"/>
    </row>
    <row r="33" spans="1:3" x14ac:dyDescent="0.25">
      <c r="A33" s="7"/>
      <c r="B33" s="7" t="s">
        <v>63</v>
      </c>
      <c r="C33" s="7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V32"/>
  <sheetViews>
    <sheetView workbookViewId="0">
      <selection activeCell="O12" sqref="O12"/>
    </sheetView>
  </sheetViews>
  <sheetFormatPr defaultRowHeight="15" x14ac:dyDescent="0.25"/>
  <cols>
    <col min="2" max="2" width="17.140625" customWidth="1"/>
  </cols>
  <sheetData>
    <row r="2" spans="2:22" x14ac:dyDescent="0.25">
      <c r="B2" s="4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2" x14ac:dyDescent="0.25">
      <c r="B3" s="3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3">
        <v>2026</v>
      </c>
      <c r="N3" s="3">
        <v>2027</v>
      </c>
      <c r="O3" s="3">
        <v>2028</v>
      </c>
      <c r="P3" s="3">
        <v>2029</v>
      </c>
      <c r="Q3" s="3">
        <v>2030</v>
      </c>
      <c r="R3" s="3">
        <v>2031</v>
      </c>
      <c r="S3" s="3">
        <v>2032</v>
      </c>
      <c r="T3" s="3">
        <v>2033</v>
      </c>
      <c r="U3" s="3">
        <v>2034</v>
      </c>
      <c r="V3" s="3">
        <v>2035</v>
      </c>
    </row>
    <row r="4" spans="2:22" x14ac:dyDescent="0.25">
      <c r="B4" s="3" t="s">
        <v>1</v>
      </c>
      <c r="C4" s="5">
        <v>18.137578551912288</v>
      </c>
      <c r="D4" s="5">
        <v>23.934740867580583</v>
      </c>
      <c r="E4" s="5">
        <v>25.744051369863712</v>
      </c>
      <c r="F4" s="5">
        <v>27.174449771689495</v>
      </c>
      <c r="G4" s="5">
        <v>30.500462204007722</v>
      </c>
      <c r="H4" s="5">
        <v>34.237067351597915</v>
      </c>
      <c r="I4" s="5">
        <v>36.075020547945378</v>
      </c>
      <c r="J4" s="5">
        <v>40.45125913242088</v>
      </c>
      <c r="K4" s="5">
        <v>34.824615209471759</v>
      </c>
      <c r="L4" s="5">
        <v>44.054005707762848</v>
      </c>
      <c r="M4" s="5">
        <v>39.058687214612128</v>
      </c>
      <c r="N4" s="5">
        <v>39.894207762556725</v>
      </c>
      <c r="O4" s="5">
        <v>39.219793943533737</v>
      </c>
      <c r="P4" s="5">
        <v>40.291285388128287</v>
      </c>
      <c r="Q4" s="5">
        <v>41.660391552510973</v>
      </c>
      <c r="R4" s="5">
        <v>47.073474885844611</v>
      </c>
      <c r="S4" s="5">
        <v>46.062777777778493</v>
      </c>
      <c r="T4" s="5">
        <v>48.012502283104723</v>
      </c>
      <c r="U4" s="5">
        <v>49.791178082191173</v>
      </c>
      <c r="V4" s="5">
        <v>55.807228310501493</v>
      </c>
    </row>
    <row r="5" spans="2:22" x14ac:dyDescent="0.25">
      <c r="B5" s="3" t="s">
        <v>2</v>
      </c>
      <c r="C5" s="5">
        <v>18.137578551912288</v>
      </c>
      <c r="D5" s="5">
        <v>23.934740867580583</v>
      </c>
      <c r="E5" s="5">
        <v>25.744051369863712</v>
      </c>
      <c r="F5" s="5">
        <v>27.292430365296717</v>
      </c>
      <c r="G5" s="5">
        <v>30.510513433515925</v>
      </c>
      <c r="H5" s="5">
        <v>34.270023972602587</v>
      </c>
      <c r="I5" s="5">
        <v>36.133135844749056</v>
      </c>
      <c r="J5" s="5">
        <v>40.728404109589825</v>
      </c>
      <c r="K5" s="5">
        <v>35.033551912568129</v>
      </c>
      <c r="L5" s="5">
        <v>44.262589041095964</v>
      </c>
      <c r="M5" s="5">
        <v>39.151418949771653</v>
      </c>
      <c r="N5" s="5">
        <v>40.043513698629617</v>
      </c>
      <c r="O5" s="5">
        <v>39.467053734061835</v>
      </c>
      <c r="P5" s="5">
        <v>40.649461187215358</v>
      </c>
      <c r="Q5" s="5">
        <v>41.975792237442477</v>
      </c>
      <c r="R5" s="5">
        <v>47.374019406392669</v>
      </c>
      <c r="S5" s="5">
        <v>46.391551684882103</v>
      </c>
      <c r="T5" s="5">
        <v>48.333546803652489</v>
      </c>
      <c r="U5" s="5">
        <v>50.322199771689064</v>
      </c>
      <c r="V5" s="5">
        <v>56.34437100456519</v>
      </c>
    </row>
    <row r="6" spans="2:22" x14ac:dyDescent="0.25">
      <c r="B6" s="3" t="s">
        <v>3</v>
      </c>
      <c r="C6" s="5">
        <v>18.137578551912288</v>
      </c>
      <c r="D6" s="5">
        <v>23.934740867580583</v>
      </c>
      <c r="E6" s="5">
        <v>25.744051369863712</v>
      </c>
      <c r="F6" s="5">
        <v>27.174449771689495</v>
      </c>
      <c r="G6" s="5">
        <v>30.500462204007722</v>
      </c>
      <c r="H6" s="5">
        <v>34.237067351597915</v>
      </c>
      <c r="I6" s="5">
        <v>36.075020547945378</v>
      </c>
      <c r="J6" s="5">
        <v>40.563998858448237</v>
      </c>
      <c r="K6" s="5">
        <v>34.947741347905293</v>
      </c>
      <c r="L6" s="5">
        <v>44.202093607306061</v>
      </c>
      <c r="M6" s="5">
        <v>39.026989726027523</v>
      </c>
      <c r="N6" s="5">
        <v>40.163007990867087</v>
      </c>
      <c r="O6" s="5">
        <v>39.421220400728622</v>
      </c>
      <c r="P6" s="5">
        <v>40.619736301370573</v>
      </c>
      <c r="Q6" s="5">
        <v>41.955463470319167</v>
      </c>
      <c r="R6" s="5">
        <v>47.278757990867653</v>
      </c>
      <c r="S6" s="5">
        <v>46.237364526412328</v>
      </c>
      <c r="T6" s="5">
        <v>48.33701484018232</v>
      </c>
      <c r="U6" s="5">
        <v>50.073219178081608</v>
      </c>
      <c r="V6" s="5">
        <v>56.196650684930887</v>
      </c>
    </row>
    <row r="7" spans="2:22" x14ac:dyDescent="0.25">
      <c r="B7" s="3" t="s">
        <v>4</v>
      </c>
      <c r="C7" s="5">
        <v>18.137578551912288</v>
      </c>
      <c r="D7" s="5">
        <v>23.934740867580583</v>
      </c>
      <c r="E7" s="5">
        <v>25.744051369863712</v>
      </c>
      <c r="F7" s="5">
        <v>27.174449771689495</v>
      </c>
      <c r="G7" s="5">
        <v>30.500462204007722</v>
      </c>
      <c r="H7" s="5">
        <v>34.237067351597915</v>
      </c>
      <c r="I7" s="5">
        <v>36.075020547945378</v>
      </c>
      <c r="J7" s="5">
        <v>40.540724885845485</v>
      </c>
      <c r="K7" s="5">
        <v>34.927102686703051</v>
      </c>
      <c r="L7" s="5">
        <v>44.133207762557369</v>
      </c>
      <c r="M7" s="5">
        <v>39.111303652968203</v>
      </c>
      <c r="N7" s="5">
        <v>40.123748858447051</v>
      </c>
      <c r="O7" s="5">
        <v>39.259147313296857</v>
      </c>
      <c r="P7" s="5">
        <v>40.400688356164977</v>
      </c>
      <c r="Q7" s="5">
        <v>41.846385844748326</v>
      </c>
      <c r="R7" s="5">
        <v>47.220513698630249</v>
      </c>
      <c r="S7" s="5">
        <v>46.135562386157403</v>
      </c>
      <c r="T7" s="5">
        <v>48.133875570776155</v>
      </c>
      <c r="U7" s="5">
        <v>49.971803652967331</v>
      </c>
      <c r="V7" s="5">
        <v>56.059607305935415</v>
      </c>
    </row>
    <row r="8" spans="2:22" x14ac:dyDescent="0.25">
      <c r="B8" s="3" t="s">
        <v>5</v>
      </c>
      <c r="C8" s="5">
        <v>18.137578551912288</v>
      </c>
      <c r="D8" s="5">
        <v>23.934740867580583</v>
      </c>
      <c r="E8" s="5">
        <v>25.744051369863712</v>
      </c>
      <c r="F8" s="5">
        <v>27.361286529680218</v>
      </c>
      <c r="G8" s="5">
        <v>30.944443306011472</v>
      </c>
      <c r="H8" s="5">
        <v>34.795642694063837</v>
      </c>
      <c r="I8" s="5">
        <v>36.56965296803655</v>
      </c>
      <c r="J8" s="5">
        <v>41.04972716895071</v>
      </c>
      <c r="K8" s="5">
        <v>35.27054644808738</v>
      </c>
      <c r="L8" s="5">
        <v>44.634675799086928</v>
      </c>
      <c r="M8" s="5">
        <v>39.487613013698777</v>
      </c>
      <c r="N8" s="5">
        <v>40.496913242008567</v>
      </c>
      <c r="O8" s="5">
        <v>39.768184198542805</v>
      </c>
      <c r="P8" s="5">
        <v>41.115038812786111</v>
      </c>
      <c r="Q8" s="5">
        <v>42.38525799086711</v>
      </c>
      <c r="R8" s="5">
        <v>47.7220536529681</v>
      </c>
      <c r="S8" s="5">
        <v>46.622982695811402</v>
      </c>
      <c r="T8" s="5">
        <v>48.802287671232769</v>
      </c>
      <c r="U8" s="5">
        <v>50.397939497716514</v>
      </c>
      <c r="V8" s="5">
        <v>56.76582420091259</v>
      </c>
    </row>
    <row r="9" spans="2:22" x14ac:dyDescent="0.25">
      <c r="B9" s="3" t="s">
        <v>6</v>
      </c>
      <c r="C9" s="5">
        <v>18.137578551912288</v>
      </c>
      <c r="D9" s="5">
        <v>23.934740867580583</v>
      </c>
      <c r="E9" s="5">
        <v>25.753696347032797</v>
      </c>
      <c r="F9" s="5">
        <v>27.46844063926946</v>
      </c>
      <c r="G9" s="5">
        <v>31.041066712204515</v>
      </c>
      <c r="H9" s="5">
        <v>34.823257990867504</v>
      </c>
      <c r="I9" s="5">
        <v>36.657142694064014</v>
      </c>
      <c r="J9" s="5">
        <v>41.063636986302257</v>
      </c>
      <c r="K9" s="5">
        <v>35.338131830600943</v>
      </c>
      <c r="L9" s="5">
        <v>44.738797945205889</v>
      </c>
      <c r="M9" s="5">
        <v>39.611363013698679</v>
      </c>
      <c r="N9" s="5">
        <v>40.478660958903745</v>
      </c>
      <c r="O9" s="5">
        <v>39.928179644808878</v>
      </c>
      <c r="P9" s="5">
        <v>41.172251141553183</v>
      </c>
      <c r="Q9" s="5">
        <v>42.533923515981193</v>
      </c>
      <c r="R9" s="5">
        <v>47.841600456621173</v>
      </c>
      <c r="S9" s="5">
        <v>46.710450819672822</v>
      </c>
      <c r="T9" s="5">
        <v>48.869001141552296</v>
      </c>
      <c r="U9" s="5">
        <v>50.685659817351336</v>
      </c>
      <c r="V9" s="5">
        <v>57.008428082190768</v>
      </c>
    </row>
    <row r="10" spans="2:22" x14ac:dyDescent="0.25">
      <c r="B10" s="3" t="s">
        <v>7</v>
      </c>
      <c r="C10" s="5">
        <v>18.137578551912288</v>
      </c>
      <c r="D10" s="5">
        <v>23.934740867580583</v>
      </c>
      <c r="E10" s="5">
        <v>25.753696347032797</v>
      </c>
      <c r="F10" s="5">
        <v>27.512641552511422</v>
      </c>
      <c r="G10" s="5">
        <v>31.129262295082505</v>
      </c>
      <c r="H10" s="5">
        <v>34.873301369863015</v>
      </c>
      <c r="I10" s="5">
        <v>36.783691780821918</v>
      </c>
      <c r="J10" s="5">
        <v>41.290061643836445</v>
      </c>
      <c r="K10" s="5">
        <v>35.441781648451645</v>
      </c>
      <c r="L10" s="5">
        <v>44.892711187214779</v>
      </c>
      <c r="M10" s="5">
        <v>39.814594748858582</v>
      </c>
      <c r="N10" s="5">
        <v>40.628405251140826</v>
      </c>
      <c r="O10" s="5">
        <v>40.168648679417025</v>
      </c>
      <c r="P10" s="5">
        <v>41.596631278539469</v>
      </c>
      <c r="Q10" s="5">
        <v>42.882938356163976</v>
      </c>
      <c r="R10" s="5">
        <v>48.234748858447503</v>
      </c>
      <c r="S10" s="5">
        <v>46.925245901640309</v>
      </c>
      <c r="T10" s="5">
        <v>49.159948630136888</v>
      </c>
      <c r="U10" s="5">
        <v>50.677269406392632</v>
      </c>
      <c r="V10" s="5">
        <v>57.296012557077177</v>
      </c>
    </row>
    <row r="13" spans="2:22" x14ac:dyDescent="0.25">
      <c r="B13" s="4" t="s">
        <v>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2:22" x14ac:dyDescent="0.25">
      <c r="B14" s="3"/>
      <c r="C14" s="3">
        <v>2016</v>
      </c>
      <c r="D14" s="3">
        <v>2017</v>
      </c>
      <c r="E14" s="3">
        <v>2018</v>
      </c>
      <c r="F14" s="3">
        <v>2019</v>
      </c>
      <c r="G14" s="3">
        <v>2020</v>
      </c>
      <c r="H14" s="3">
        <v>2021</v>
      </c>
      <c r="I14" s="3">
        <v>2022</v>
      </c>
      <c r="J14" s="3">
        <v>2023</v>
      </c>
      <c r="K14" s="3">
        <v>2024</v>
      </c>
      <c r="L14" s="3">
        <v>2025</v>
      </c>
      <c r="M14" s="3">
        <v>2026</v>
      </c>
      <c r="N14" s="3">
        <v>2027</v>
      </c>
      <c r="O14" s="3">
        <v>2028</v>
      </c>
      <c r="P14" s="3">
        <v>2029</v>
      </c>
      <c r="Q14" s="3">
        <v>2030</v>
      </c>
      <c r="R14" s="3">
        <v>2031</v>
      </c>
      <c r="S14" s="3">
        <v>2032</v>
      </c>
      <c r="T14" s="3">
        <v>2033</v>
      </c>
      <c r="U14" s="3">
        <v>2034</v>
      </c>
      <c r="V14" s="3">
        <v>2035</v>
      </c>
    </row>
    <row r="15" spans="2:22" x14ac:dyDescent="0.25">
      <c r="B15" s="3" t="s">
        <v>1</v>
      </c>
      <c r="C15" s="6">
        <v>40.720502180612648</v>
      </c>
      <c r="D15" s="6">
        <v>39.884572948947927</v>
      </c>
      <c r="E15" s="6">
        <v>38.259754847688896</v>
      </c>
      <c r="F15" s="6">
        <v>36.87179517987407</v>
      </c>
      <c r="G15" s="6">
        <v>38.077414118674881</v>
      </c>
      <c r="H15" s="6">
        <v>33.266300894558505</v>
      </c>
      <c r="I15" s="6">
        <v>31.982619123421138</v>
      </c>
      <c r="J15" s="6">
        <v>30.204938663640306</v>
      </c>
      <c r="K15" s="6">
        <v>32.170221689868221</v>
      </c>
      <c r="L15" s="6">
        <v>29.83578630115268</v>
      </c>
      <c r="M15" s="6">
        <v>28.07659404567752</v>
      </c>
      <c r="N15" s="6">
        <v>30.082416588950078</v>
      </c>
      <c r="O15" s="6">
        <v>28.894996333938145</v>
      </c>
      <c r="P15" s="6">
        <v>26.206484402006819</v>
      </c>
      <c r="Q15" s="6">
        <v>24.780729241328398</v>
      </c>
      <c r="R15" s="6">
        <v>21.628410775613105</v>
      </c>
      <c r="S15" s="6">
        <v>21.459635534923706</v>
      </c>
      <c r="T15" s="6">
        <v>19.515284845855689</v>
      </c>
      <c r="U15" s="6">
        <v>17.890736782584202</v>
      </c>
      <c r="V15" s="6">
        <v>12.631401240470279</v>
      </c>
    </row>
    <row r="16" spans="2:22" x14ac:dyDescent="0.25">
      <c r="B16" s="3" t="s">
        <v>2</v>
      </c>
      <c r="C16" s="6">
        <v>40.720502180612648</v>
      </c>
      <c r="D16" s="6">
        <v>39.884572948947927</v>
      </c>
      <c r="E16" s="6">
        <v>38.218027068782142</v>
      </c>
      <c r="F16" s="6">
        <v>36.736603644847854</v>
      </c>
      <c r="G16" s="6">
        <v>38.023762377804758</v>
      </c>
      <c r="H16" s="6">
        <v>33.20703756748641</v>
      </c>
      <c r="I16" s="6">
        <v>31.915811397940118</v>
      </c>
      <c r="J16" s="6">
        <v>30.019325694088984</v>
      </c>
      <c r="K16" s="6">
        <v>31.953047525977517</v>
      </c>
      <c r="L16" s="6">
        <v>29.694003968331451</v>
      </c>
      <c r="M16" s="6">
        <v>27.981456753932349</v>
      </c>
      <c r="N16" s="6">
        <v>29.958317792982122</v>
      </c>
      <c r="O16" s="6">
        <v>28.719939283625141</v>
      </c>
      <c r="P16" s="6">
        <v>25.928899437825891</v>
      </c>
      <c r="Q16" s="6">
        <v>24.581958634479236</v>
      </c>
      <c r="R16" s="6">
        <v>21.395728510128276</v>
      </c>
      <c r="S16" s="6">
        <v>21.214789908212037</v>
      </c>
      <c r="T16" s="6">
        <v>19.288824714337288</v>
      </c>
      <c r="U16" s="6">
        <v>17.546020080892998</v>
      </c>
      <c r="V16" s="6">
        <v>12.299944166982625</v>
      </c>
    </row>
    <row r="17" spans="2:22" x14ac:dyDescent="0.25">
      <c r="B17" s="3" t="s">
        <v>3</v>
      </c>
      <c r="C17" s="6">
        <v>40.720502180612648</v>
      </c>
      <c r="D17" s="6">
        <v>39.884572948947927</v>
      </c>
      <c r="E17" s="6">
        <v>38.259754847688896</v>
      </c>
      <c r="F17" s="6">
        <v>36.87179517987407</v>
      </c>
      <c r="G17" s="6">
        <v>38.077414118674881</v>
      </c>
      <c r="H17" s="6">
        <v>33.266300894558505</v>
      </c>
      <c r="I17" s="6">
        <v>31.982619123421138</v>
      </c>
      <c r="J17" s="6">
        <v>30.112835301142546</v>
      </c>
      <c r="K17" s="6">
        <v>32.035296640661009</v>
      </c>
      <c r="L17" s="6">
        <v>29.728955613608704</v>
      </c>
      <c r="M17" s="6">
        <v>28.040752742758301</v>
      </c>
      <c r="N17" s="6">
        <v>29.898212878373982</v>
      </c>
      <c r="O17" s="6">
        <v>28.747681496538931</v>
      </c>
      <c r="P17" s="6">
        <v>25.971038985770313</v>
      </c>
      <c r="Q17" s="6">
        <v>24.598766669801623</v>
      </c>
      <c r="R17" s="6">
        <v>21.459668483640954</v>
      </c>
      <c r="S17" s="6">
        <v>21.307876923013456</v>
      </c>
      <c r="T17" s="6">
        <v>19.299526868229087</v>
      </c>
      <c r="U17" s="6">
        <v>17.691024770163661</v>
      </c>
      <c r="V17" s="6">
        <v>12.386693893833101</v>
      </c>
    </row>
    <row r="18" spans="2:22" x14ac:dyDescent="0.25">
      <c r="B18" s="3" t="s">
        <v>4</v>
      </c>
      <c r="C18" s="6">
        <v>40.720502180612648</v>
      </c>
      <c r="D18" s="6">
        <v>39.884572948947927</v>
      </c>
      <c r="E18" s="6">
        <v>38.259754847688896</v>
      </c>
      <c r="F18" s="6">
        <v>36.87179517987407</v>
      </c>
      <c r="G18" s="6">
        <v>38.077414118674881</v>
      </c>
      <c r="H18" s="6">
        <v>33.266300894558505</v>
      </c>
      <c r="I18" s="6">
        <v>31.982619123421138</v>
      </c>
      <c r="J18" s="6">
        <v>30.146269971605893</v>
      </c>
      <c r="K18" s="6">
        <v>32.090076718311167</v>
      </c>
      <c r="L18" s="6">
        <v>29.781802080908449</v>
      </c>
      <c r="M18" s="6">
        <v>28.021819450470712</v>
      </c>
      <c r="N18" s="6">
        <v>29.944133180571779</v>
      </c>
      <c r="O18" s="6">
        <v>28.85375245288111</v>
      </c>
      <c r="P18" s="6">
        <v>26.109136612168534</v>
      </c>
      <c r="Q18" s="6">
        <v>24.674453916888943</v>
      </c>
      <c r="R18" s="6">
        <v>21.51703706705127</v>
      </c>
      <c r="S18" s="6">
        <v>21.38683635279823</v>
      </c>
      <c r="T18" s="6">
        <v>19.424545154618315</v>
      </c>
      <c r="U18" s="6">
        <v>17.766123405268285</v>
      </c>
      <c r="V18" s="6">
        <v>12.472250623911501</v>
      </c>
    </row>
    <row r="19" spans="2:22" x14ac:dyDescent="0.25">
      <c r="B19" s="3" t="s">
        <v>5</v>
      </c>
      <c r="C19" s="6">
        <v>40.720502180612648</v>
      </c>
      <c r="D19" s="6">
        <v>39.884572948947927</v>
      </c>
      <c r="E19" s="6">
        <v>38.259754847688896</v>
      </c>
      <c r="F19" s="6">
        <v>36.701989323244689</v>
      </c>
      <c r="G19" s="6">
        <v>37.582298615167325</v>
      </c>
      <c r="H19" s="6">
        <v>32.7542219274413</v>
      </c>
      <c r="I19" s="6">
        <v>31.535528493452379</v>
      </c>
      <c r="J19" s="6">
        <v>29.797852227197794</v>
      </c>
      <c r="K19" s="6">
        <v>31.734941128634294</v>
      </c>
      <c r="L19" s="6">
        <v>29.385289658119742</v>
      </c>
      <c r="M19" s="6">
        <v>27.541014261985001</v>
      </c>
      <c r="N19" s="6">
        <v>29.311406510835614</v>
      </c>
      <c r="O19" s="6">
        <v>28.059539489438926</v>
      </c>
      <c r="P19" s="6">
        <v>24.861472190006982</v>
      </c>
      <c r="Q19" s="6">
        <v>23.382391993409062</v>
      </c>
      <c r="R19" s="6">
        <v>19.815889012796596</v>
      </c>
      <c r="S19" s="6">
        <v>19.305217909930313</v>
      </c>
      <c r="T19" s="6">
        <v>16.929071461423224</v>
      </c>
      <c r="U19" s="6">
        <v>14.548065868081773</v>
      </c>
      <c r="V19" s="6">
        <v>8.3141345599114391</v>
      </c>
    </row>
    <row r="20" spans="2:22" x14ac:dyDescent="0.25">
      <c r="B20" s="3" t="s">
        <v>6</v>
      </c>
      <c r="C20" s="6">
        <v>40.720502180612648</v>
      </c>
      <c r="D20" s="6">
        <v>39.884572948947927</v>
      </c>
      <c r="E20" s="6">
        <v>38.211619451443823</v>
      </c>
      <c r="F20" s="6">
        <v>36.547045444248738</v>
      </c>
      <c r="G20" s="6">
        <v>37.415014450061371</v>
      </c>
      <c r="H20" s="6">
        <v>32.629881208123166</v>
      </c>
      <c r="I20" s="6">
        <v>31.381747506611923</v>
      </c>
      <c r="J20" s="6">
        <v>29.691150550566057</v>
      </c>
      <c r="K20" s="6">
        <v>31.579536009979787</v>
      </c>
      <c r="L20" s="6">
        <v>29.239515009578977</v>
      </c>
      <c r="M20" s="6">
        <v>27.390135090196903</v>
      </c>
      <c r="N20" s="6">
        <v>29.231796319871162</v>
      </c>
      <c r="O20" s="6">
        <v>27.895418368466505</v>
      </c>
      <c r="P20" s="6">
        <v>24.732115353940408</v>
      </c>
      <c r="Q20" s="6">
        <v>23.230190317066036</v>
      </c>
      <c r="R20" s="6">
        <v>19.666344047140154</v>
      </c>
      <c r="S20" s="6">
        <v>19.17392779986756</v>
      </c>
      <c r="T20" s="6">
        <v>16.809935383413318</v>
      </c>
      <c r="U20" s="6">
        <v>14.311880302210341</v>
      </c>
      <c r="V20" s="6">
        <v>8.1162389502551076</v>
      </c>
    </row>
    <row r="21" spans="2:22" x14ac:dyDescent="0.25">
      <c r="B21" s="3" t="s">
        <v>7</v>
      </c>
      <c r="C21" s="6">
        <v>40.720502180612648</v>
      </c>
      <c r="D21" s="6">
        <v>39.884572948947927</v>
      </c>
      <c r="E21" s="6">
        <v>38.211532782328341</v>
      </c>
      <c r="F21" s="6">
        <v>36.421718681754491</v>
      </c>
      <c r="G21" s="6">
        <v>37.234478650091283</v>
      </c>
      <c r="H21" s="6">
        <v>32.47395024350174</v>
      </c>
      <c r="I21" s="6">
        <v>31.19267399118872</v>
      </c>
      <c r="J21" s="6">
        <v>29.426169995498519</v>
      </c>
      <c r="K21" s="6">
        <v>31.287121724455343</v>
      </c>
      <c r="L21" s="6">
        <v>29.024865158428469</v>
      </c>
      <c r="M21" s="6">
        <v>27.144884666079324</v>
      </c>
      <c r="N21" s="6">
        <v>29.005575449554069</v>
      </c>
      <c r="O21" s="6">
        <v>27.665191984679193</v>
      </c>
      <c r="P21" s="6">
        <v>24.33305179452389</v>
      </c>
      <c r="Q21" s="6">
        <v>22.931782227943511</v>
      </c>
      <c r="R21" s="6">
        <v>19.4251825838153</v>
      </c>
      <c r="S21" s="6">
        <v>18.909541288928548</v>
      </c>
      <c r="T21" s="6">
        <v>16.516645860777253</v>
      </c>
      <c r="U21" s="6">
        <v>14.167604665065371</v>
      </c>
      <c r="V21" s="6">
        <v>7.8454385302535252</v>
      </c>
    </row>
    <row r="24" spans="2:22" x14ac:dyDescent="0.25">
      <c r="B24" s="4" t="s">
        <v>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2:22" x14ac:dyDescent="0.25">
      <c r="B25" s="3"/>
      <c r="C25" s="3">
        <v>2016</v>
      </c>
      <c r="D25" s="3">
        <v>2017</v>
      </c>
      <c r="E25" s="3">
        <v>2018</v>
      </c>
      <c r="F25" s="3">
        <v>2019</v>
      </c>
      <c r="G25" s="3">
        <v>2020</v>
      </c>
      <c r="H25" s="3">
        <v>2021</v>
      </c>
      <c r="I25" s="3">
        <v>2022</v>
      </c>
      <c r="J25" s="3">
        <v>2023</v>
      </c>
      <c r="K25" s="3">
        <v>2024</v>
      </c>
      <c r="L25" s="3">
        <v>2025</v>
      </c>
      <c r="M25" s="3">
        <v>2026</v>
      </c>
      <c r="N25" s="3">
        <v>2027</v>
      </c>
      <c r="O25" s="3">
        <v>2028</v>
      </c>
      <c r="P25" s="3">
        <v>2029</v>
      </c>
      <c r="Q25" s="3">
        <v>2030</v>
      </c>
      <c r="R25" s="3">
        <v>2031</v>
      </c>
      <c r="S25" s="3">
        <v>2032</v>
      </c>
      <c r="T25" s="3">
        <v>2033</v>
      </c>
      <c r="U25" s="3">
        <v>2034</v>
      </c>
      <c r="V25" s="3">
        <v>2035</v>
      </c>
    </row>
    <row r="26" spans="2:22" x14ac:dyDescent="0.25">
      <c r="B26" s="3" t="s">
        <v>1</v>
      </c>
      <c r="C26" s="6">
        <v>90.857322870794135</v>
      </c>
      <c r="D26" s="6">
        <v>88.992161882316481</v>
      </c>
      <c r="E26" s="6">
        <v>85.366798369420309</v>
      </c>
      <c r="F26" s="6">
        <v>82.269923504985755</v>
      </c>
      <c r="G26" s="6">
        <v>84.959951950507261</v>
      </c>
      <c r="H26" s="6">
        <v>74.22519073286179</v>
      </c>
      <c r="I26" s="6">
        <v>71.360985163238198</v>
      </c>
      <c r="J26" s="6">
        <v>67.39454863013701</v>
      </c>
      <c r="K26" s="6">
        <v>71.779572018465828</v>
      </c>
      <c r="L26" s="6">
        <v>66.570880119412607</v>
      </c>
      <c r="M26" s="6">
        <v>62.645695257041098</v>
      </c>
      <c r="N26" s="6">
        <v>67.12117214647887</v>
      </c>
      <c r="O26" s="6">
        <v>64.471749381149991</v>
      </c>
      <c r="P26" s="6">
        <v>58.473026782935889</v>
      </c>
      <c r="Q26" s="6">
        <v>55.291821001290728</v>
      </c>
      <c r="R26" s="6">
        <v>48.258233464459622</v>
      </c>
      <c r="S26" s="6">
        <v>47.88165494222288</v>
      </c>
      <c r="T26" s="6">
        <v>43.543336678190968</v>
      </c>
      <c r="U26" s="6">
        <v>39.918575685580805</v>
      </c>
      <c r="V26" s="6">
        <v>28.183721696889208</v>
      </c>
    </row>
    <row r="27" spans="2:22" x14ac:dyDescent="0.25">
      <c r="B27" s="3" t="s">
        <v>2</v>
      </c>
      <c r="C27" s="6">
        <v>90.857322870794135</v>
      </c>
      <c r="D27" s="6">
        <v>88.992161882316481</v>
      </c>
      <c r="E27" s="6">
        <v>85.273693567716322</v>
      </c>
      <c r="F27" s="6">
        <v>81.968278380552007</v>
      </c>
      <c r="G27" s="6">
        <v>84.840241895822871</v>
      </c>
      <c r="H27" s="6">
        <v>74.092959867478442</v>
      </c>
      <c r="I27" s="6">
        <v>71.211920914045763</v>
      </c>
      <c r="J27" s="6">
        <v>66.980401048441408</v>
      </c>
      <c r="K27" s="6">
        <v>71.295003752576235</v>
      </c>
      <c r="L27" s="6">
        <v>66.254529325569848</v>
      </c>
      <c r="M27" s="6">
        <v>62.433420870178075</v>
      </c>
      <c r="N27" s="6">
        <v>66.8442776149938</v>
      </c>
      <c r="O27" s="6">
        <v>64.081154617103323</v>
      </c>
      <c r="P27" s="6">
        <v>57.853667360431714</v>
      </c>
      <c r="Q27" s="6">
        <v>54.848315537541382</v>
      </c>
      <c r="R27" s="6">
        <v>47.739062860234398</v>
      </c>
      <c r="S27" s="6">
        <v>47.335344927160357</v>
      </c>
      <c r="T27" s="6">
        <v>43.038049164901736</v>
      </c>
      <c r="U27" s="6">
        <v>39.149429064412075</v>
      </c>
      <c r="V27" s="6">
        <v>27.444160524237109</v>
      </c>
    </row>
    <row r="28" spans="2:22" x14ac:dyDescent="0.25">
      <c r="B28" s="3" t="s">
        <v>3</v>
      </c>
      <c r="C28" s="6">
        <v>90.857322870794135</v>
      </c>
      <c r="D28" s="6">
        <v>88.992161882316481</v>
      </c>
      <c r="E28" s="6">
        <v>85.366798369420309</v>
      </c>
      <c r="F28" s="6">
        <v>82.269923504985755</v>
      </c>
      <c r="G28" s="6">
        <v>84.959951950507261</v>
      </c>
      <c r="H28" s="6">
        <v>74.22519073286179</v>
      </c>
      <c r="I28" s="6">
        <v>71.360985163238198</v>
      </c>
      <c r="J28" s="6">
        <v>67.189043675732762</v>
      </c>
      <c r="K28" s="6">
        <v>71.478521488568035</v>
      </c>
      <c r="L28" s="6">
        <v>66.332514928638687</v>
      </c>
      <c r="M28" s="6">
        <v>62.565724611860993</v>
      </c>
      <c r="N28" s="6">
        <v>66.710168963571689</v>
      </c>
      <c r="O28" s="6">
        <v>64.143054226903786</v>
      </c>
      <c r="P28" s="6">
        <v>57.94769091879143</v>
      </c>
      <c r="Q28" s="6">
        <v>54.885818343507196</v>
      </c>
      <c r="R28" s="6">
        <v>47.88172845880743</v>
      </c>
      <c r="S28" s="6">
        <v>47.543044648577798</v>
      </c>
      <c r="T28" s="6">
        <v>43.061928267552467</v>
      </c>
      <c r="U28" s="6">
        <v>39.472969717530944</v>
      </c>
      <c r="V28" s="6">
        <v>27.637720218232221</v>
      </c>
    </row>
    <row r="29" spans="2:22" x14ac:dyDescent="0.25">
      <c r="B29" s="3" t="s">
        <v>4</v>
      </c>
      <c r="C29" s="6">
        <v>90.857322870794135</v>
      </c>
      <c r="D29" s="6">
        <v>88.992161882316481</v>
      </c>
      <c r="E29" s="6">
        <v>85.366798369420309</v>
      </c>
      <c r="F29" s="6">
        <v>82.269923504985755</v>
      </c>
      <c r="G29" s="6">
        <v>84.959951950507261</v>
      </c>
      <c r="H29" s="6">
        <v>74.22519073286179</v>
      </c>
      <c r="I29" s="6">
        <v>71.360985163238198</v>
      </c>
      <c r="J29" s="6">
        <v>67.263644539835383</v>
      </c>
      <c r="K29" s="6">
        <v>71.600749136446055</v>
      </c>
      <c r="L29" s="6">
        <v>66.450428222554805</v>
      </c>
      <c r="M29" s="6">
        <v>62.523479841824752</v>
      </c>
      <c r="N29" s="6">
        <v>66.812628302226301</v>
      </c>
      <c r="O29" s="6">
        <v>64.379724272986465</v>
      </c>
      <c r="P29" s="6">
        <v>58.255820238358787</v>
      </c>
      <c r="Q29" s="6">
        <v>55.054694960384687</v>
      </c>
      <c r="R29" s="6">
        <v>48.009731691243807</v>
      </c>
      <c r="S29" s="6">
        <v>47.719222299183102</v>
      </c>
      <c r="T29" s="6">
        <v>43.340874405319589</v>
      </c>
      <c r="U29" s="6">
        <v>39.640532998224117</v>
      </c>
      <c r="V29" s="6">
        <v>27.828618046899077</v>
      </c>
    </row>
    <row r="30" spans="2:22" x14ac:dyDescent="0.25">
      <c r="B30" s="3" t="s">
        <v>5</v>
      </c>
      <c r="C30" s="6">
        <v>90.857322870794135</v>
      </c>
      <c r="D30" s="6">
        <v>88.992161882316481</v>
      </c>
      <c r="E30" s="6">
        <v>85.366798369420309</v>
      </c>
      <c r="F30" s="6">
        <v>81.891045428465532</v>
      </c>
      <c r="G30" s="6">
        <v>83.855229102026783</v>
      </c>
      <c r="H30" s="6">
        <v>73.082618280185557</v>
      </c>
      <c r="I30" s="6">
        <v>70.363417462834974</v>
      </c>
      <c r="J30" s="6">
        <v>66.4862399941549</v>
      </c>
      <c r="K30" s="6">
        <v>70.808355447609287</v>
      </c>
      <c r="L30" s="6">
        <v>65.565712777253964</v>
      </c>
      <c r="M30" s="6">
        <v>61.450686779144938</v>
      </c>
      <c r="N30" s="6">
        <v>65.400861544876463</v>
      </c>
      <c r="O30" s="6">
        <v>62.607642403082778</v>
      </c>
      <c r="P30" s="6">
        <v>55.471978115392389</v>
      </c>
      <c r="Q30" s="6">
        <v>52.171791237096066</v>
      </c>
      <c r="R30" s="6">
        <v>44.214057528609622</v>
      </c>
      <c r="S30" s="6">
        <v>43.074626362753413</v>
      </c>
      <c r="T30" s="6">
        <v>37.772866966399846</v>
      </c>
      <c r="U30" s="6">
        <v>32.460265638649311</v>
      </c>
      <c r="V30" s="6">
        <v>18.550851970110358</v>
      </c>
    </row>
    <row r="31" spans="2:22" x14ac:dyDescent="0.25">
      <c r="B31" s="3" t="s">
        <v>6</v>
      </c>
      <c r="C31" s="6">
        <v>90.857322870794135</v>
      </c>
      <c r="D31" s="6">
        <v>88.992161882316481</v>
      </c>
      <c r="E31" s="6">
        <v>85.259396618362487</v>
      </c>
      <c r="F31" s="6">
        <v>81.545328030916096</v>
      </c>
      <c r="G31" s="6">
        <v>83.481977531287583</v>
      </c>
      <c r="H31" s="6">
        <v>72.805183958993581</v>
      </c>
      <c r="I31" s="6">
        <v>70.020294759908069</v>
      </c>
      <c r="J31" s="6">
        <v>66.248162658035994</v>
      </c>
      <c r="K31" s="6">
        <v>70.461608912442799</v>
      </c>
      <c r="L31" s="6">
        <v>65.240454158141176</v>
      </c>
      <c r="M31" s="6">
        <v>61.114038729844701</v>
      </c>
      <c r="N31" s="6">
        <v>65.223231888145307</v>
      </c>
      <c r="O31" s="6">
        <v>62.241448351448341</v>
      </c>
      <c r="P31" s="6">
        <v>55.183351620367453</v>
      </c>
      <c r="Q31" s="6">
        <v>51.832192359173618</v>
      </c>
      <c r="R31" s="6">
        <v>43.880386416989147</v>
      </c>
      <c r="S31" s="6">
        <v>42.781686264254503</v>
      </c>
      <c r="T31" s="6">
        <v>37.507045463086953</v>
      </c>
      <c r="U31" s="6">
        <v>31.933278321041549</v>
      </c>
      <c r="V31" s="6">
        <v>18.109298837452318</v>
      </c>
    </row>
    <row r="32" spans="2:22" x14ac:dyDescent="0.25">
      <c r="B32" s="3" t="s">
        <v>7</v>
      </c>
      <c r="C32" s="6">
        <v>90.857322870794135</v>
      </c>
      <c r="D32" s="6">
        <v>88.992161882316481</v>
      </c>
      <c r="E32" s="6">
        <v>85.25920323853201</v>
      </c>
      <c r="F32" s="6">
        <v>81.265693608094239</v>
      </c>
      <c r="G32" s="6">
        <v>83.0791583471119</v>
      </c>
      <c r="H32" s="6">
        <v>72.457264133856754</v>
      </c>
      <c r="I32" s="6">
        <v>69.598425860528437</v>
      </c>
      <c r="J32" s="6">
        <v>65.656926731242436</v>
      </c>
      <c r="K32" s="6">
        <v>69.809161675076041</v>
      </c>
      <c r="L32" s="6">
        <v>64.761518246603359</v>
      </c>
      <c r="M32" s="6">
        <v>60.56682551352884</v>
      </c>
      <c r="N32" s="6">
        <v>64.718478224662775</v>
      </c>
      <c r="O32" s="6">
        <v>61.727757415311068</v>
      </c>
      <c r="P32" s="6">
        <v>54.292943970111672</v>
      </c>
      <c r="Q32" s="6">
        <v>51.166371491336434</v>
      </c>
      <c r="R32" s="6">
        <v>43.342296664556486</v>
      </c>
      <c r="S32" s="6">
        <v>42.191775794080947</v>
      </c>
      <c r="T32" s="6">
        <v>36.852645359311879</v>
      </c>
      <c r="U32" s="6">
        <v>31.611364360149608</v>
      </c>
      <c r="V32" s="6">
        <v>17.505077379561143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V38"/>
  <sheetViews>
    <sheetView topLeftCell="A25" workbookViewId="0">
      <selection activeCell="E3" sqref="E3"/>
    </sheetView>
  </sheetViews>
  <sheetFormatPr defaultRowHeight="15" x14ac:dyDescent="0.25"/>
  <cols>
    <col min="2" max="2" width="23.5703125" customWidth="1"/>
  </cols>
  <sheetData>
    <row r="2" spans="2:22" x14ac:dyDescent="0.25">
      <c r="B2" s="20" t="s">
        <v>64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2:22" x14ac:dyDescent="0.25">
      <c r="B3" s="20" t="s">
        <v>65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2:22" x14ac:dyDescent="0.25">
      <c r="B4" s="20" t="s">
        <v>66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</row>
    <row r="5" spans="2:22" x14ac:dyDescent="0.25">
      <c r="B5" s="19"/>
      <c r="C5" s="20">
        <v>2017</v>
      </c>
      <c r="D5" s="20">
        <v>2018</v>
      </c>
      <c r="E5" s="20">
        <v>2019</v>
      </c>
      <c r="F5" s="20">
        <v>2020</v>
      </c>
      <c r="G5" s="20">
        <v>2021</v>
      </c>
      <c r="H5" s="20">
        <v>2022</v>
      </c>
      <c r="I5" s="20">
        <v>2023</v>
      </c>
      <c r="J5" s="20">
        <v>2024</v>
      </c>
      <c r="K5" s="20">
        <v>2025</v>
      </c>
      <c r="L5" s="20">
        <v>2026</v>
      </c>
      <c r="M5" s="20">
        <v>2027</v>
      </c>
      <c r="N5" s="20">
        <v>2028</v>
      </c>
      <c r="O5" s="20">
        <v>2029</v>
      </c>
      <c r="P5" s="20">
        <v>2030</v>
      </c>
      <c r="Q5" s="20">
        <v>2031</v>
      </c>
      <c r="R5" s="20">
        <v>2032</v>
      </c>
      <c r="S5" s="20">
        <v>2033</v>
      </c>
      <c r="T5" s="20">
        <v>2034</v>
      </c>
      <c r="U5" s="20">
        <v>2035</v>
      </c>
      <c r="V5" s="19"/>
    </row>
    <row r="6" spans="2:22" x14ac:dyDescent="0.25">
      <c r="B6" s="19" t="s">
        <v>1</v>
      </c>
      <c r="C6" s="22">
        <v>160.21813261808913</v>
      </c>
      <c r="D6" s="22">
        <v>162.76950298964928</v>
      </c>
      <c r="E6" s="22">
        <v>165.41420006702134</v>
      </c>
      <c r="F6" s="22">
        <v>175.94032368871547</v>
      </c>
      <c r="G6" s="22">
        <v>173.59593780473958</v>
      </c>
      <c r="H6" s="22">
        <v>176.91361421157205</v>
      </c>
      <c r="I6" s="22">
        <v>181.74631090333577</v>
      </c>
      <c r="J6" s="22">
        <v>184.45185686929372</v>
      </c>
      <c r="K6" s="22">
        <v>193.49858854932918</v>
      </c>
      <c r="L6" s="22">
        <v>188.45489333516903</v>
      </c>
      <c r="M6" s="22">
        <v>198.44338301910517</v>
      </c>
      <c r="N6" s="22">
        <v>198.85748134818064</v>
      </c>
      <c r="O6" s="22">
        <v>197.7162350799629</v>
      </c>
      <c r="P6" s="22">
        <v>199.85545053707497</v>
      </c>
      <c r="Q6" s="22">
        <v>202.42298557157022</v>
      </c>
      <c r="R6" s="22">
        <v>204.74964459598468</v>
      </c>
      <c r="S6" s="22">
        <v>206.70587849410711</v>
      </c>
      <c r="T6" s="22">
        <v>208.12189291901626</v>
      </c>
      <c r="U6" s="22">
        <v>204.59443129699886</v>
      </c>
      <c r="V6" s="19"/>
    </row>
    <row r="7" spans="2:22" x14ac:dyDescent="0.25">
      <c r="B7" s="19" t="s">
        <v>2</v>
      </c>
      <c r="C7" s="22">
        <v>160.21813261808913</v>
      </c>
      <c r="D7" s="22">
        <v>162.6847572993411</v>
      </c>
      <c r="E7" s="22">
        <v>165.22461990564619</v>
      </c>
      <c r="F7" s="22">
        <v>175.84152076100162</v>
      </c>
      <c r="G7" s="22">
        <v>173.50634605284108</v>
      </c>
      <c r="H7" s="22">
        <v>176.82831808257924</v>
      </c>
      <c r="I7" s="22">
        <v>181.5877524852344</v>
      </c>
      <c r="J7" s="22">
        <v>184.17934647511967</v>
      </c>
      <c r="K7" s="22">
        <v>193.39136697729251</v>
      </c>
      <c r="L7" s="22">
        <v>188.343340267977</v>
      </c>
      <c r="M7" s="22">
        <v>198.32192206965763</v>
      </c>
      <c r="N7" s="22">
        <v>198.71832482099086</v>
      </c>
      <c r="O7" s="22">
        <v>197.43851880301122</v>
      </c>
      <c r="P7" s="22">
        <v>199.72733127658398</v>
      </c>
      <c r="Q7" s="22">
        <v>202.18469282681244</v>
      </c>
      <c r="R7" s="22">
        <v>204.51041762832432</v>
      </c>
      <c r="S7" s="22">
        <v>206.50272634102535</v>
      </c>
      <c r="T7" s="22">
        <v>207.84489959931477</v>
      </c>
      <c r="U7" s="22">
        <v>204.35673430445976</v>
      </c>
      <c r="V7" s="19"/>
    </row>
    <row r="8" spans="2:22" x14ac:dyDescent="0.25">
      <c r="B8" s="19" t="s">
        <v>3</v>
      </c>
      <c r="C8" s="22">
        <v>160.21813261808913</v>
      </c>
      <c r="D8" s="22">
        <v>162.76950298964928</v>
      </c>
      <c r="E8" s="22">
        <v>165.41420006702134</v>
      </c>
      <c r="F8" s="22">
        <v>175.93913634995977</v>
      </c>
      <c r="G8" s="22">
        <v>173.59521544491813</v>
      </c>
      <c r="H8" s="22">
        <v>176.91285983413323</v>
      </c>
      <c r="I8" s="22">
        <v>181.62400566574021</v>
      </c>
      <c r="J8" s="22">
        <v>184.27346390503419</v>
      </c>
      <c r="K8" s="22">
        <v>193.40059926022687</v>
      </c>
      <c r="L8" s="22">
        <v>188.34673981076375</v>
      </c>
      <c r="M8" s="22">
        <v>198.30087601824903</v>
      </c>
      <c r="N8" s="22">
        <v>198.7304092484664</v>
      </c>
      <c r="O8" s="22">
        <v>197.50537476437415</v>
      </c>
      <c r="P8" s="22">
        <v>199.74140225073614</v>
      </c>
      <c r="Q8" s="22">
        <v>202.23608967519249</v>
      </c>
      <c r="R8" s="22">
        <v>204.56887182590933</v>
      </c>
      <c r="S8" s="22">
        <v>206.53005862045072</v>
      </c>
      <c r="T8" s="22">
        <v>207.93290009161953</v>
      </c>
      <c r="U8" s="22">
        <v>204.40973222330072</v>
      </c>
      <c r="V8" s="19"/>
    </row>
    <row r="9" spans="2:22" x14ac:dyDescent="0.25">
      <c r="B9" s="19" t="s">
        <v>4</v>
      </c>
      <c r="C9" s="22">
        <v>160.21813261808913</v>
      </c>
      <c r="D9" s="22">
        <v>162.76950298964928</v>
      </c>
      <c r="E9" s="22">
        <v>165.41420006702134</v>
      </c>
      <c r="F9" s="22">
        <v>175.94032368871547</v>
      </c>
      <c r="G9" s="22">
        <v>173.59593780473958</v>
      </c>
      <c r="H9" s="22">
        <v>176.91361421157205</v>
      </c>
      <c r="I9" s="22">
        <v>181.69299348776499</v>
      </c>
      <c r="J9" s="22">
        <v>184.37544537674918</v>
      </c>
      <c r="K9" s="22">
        <v>193.44727309300356</v>
      </c>
      <c r="L9" s="22">
        <v>188.39055988566298</v>
      </c>
      <c r="M9" s="22">
        <v>198.36766203505582</v>
      </c>
      <c r="N9" s="22">
        <v>198.80987935317884</v>
      </c>
      <c r="O9" s="22">
        <v>197.60476119078174</v>
      </c>
      <c r="P9" s="22">
        <v>199.80764194445237</v>
      </c>
      <c r="Q9" s="22">
        <v>202.31458863902546</v>
      </c>
      <c r="R9" s="22">
        <v>204.65455272766226</v>
      </c>
      <c r="S9" s="22">
        <v>206.61870506358696</v>
      </c>
      <c r="T9" s="22">
        <v>208.01189591494176</v>
      </c>
      <c r="U9" s="22">
        <v>204.47558223919546</v>
      </c>
      <c r="V9" s="19"/>
    </row>
    <row r="10" spans="2:22" x14ac:dyDescent="0.25">
      <c r="B10" s="19" t="s">
        <v>5</v>
      </c>
      <c r="C10" s="22">
        <v>160.21813261808913</v>
      </c>
      <c r="D10" s="22">
        <v>162.76950298964928</v>
      </c>
      <c r="E10" s="22">
        <v>165.21720031830958</v>
      </c>
      <c r="F10" s="22">
        <v>175.22482900096799</v>
      </c>
      <c r="G10" s="22">
        <v>173.0462781183989</v>
      </c>
      <c r="H10" s="22">
        <v>176.45624620094651</v>
      </c>
      <c r="I10" s="22">
        <v>181.44621228309882</v>
      </c>
      <c r="J10" s="22">
        <v>183.929087885515</v>
      </c>
      <c r="K10" s="22">
        <v>193.06731723926492</v>
      </c>
      <c r="L10" s="22">
        <v>187.65673620051138</v>
      </c>
      <c r="M10" s="22">
        <v>197.24670065408429</v>
      </c>
      <c r="N10" s="22">
        <v>197.41968986718757</v>
      </c>
      <c r="O10" s="22">
        <v>195.27341561388528</v>
      </c>
      <c r="P10" s="22">
        <v>197.11432106437877</v>
      </c>
      <c r="Q10" s="22">
        <v>198.44548543238085</v>
      </c>
      <c r="R10" s="22">
        <v>199.67660600455585</v>
      </c>
      <c r="S10" s="22">
        <v>200.62999837038706</v>
      </c>
      <c r="T10" s="22">
        <v>199.58552801045312</v>
      </c>
      <c r="U10" s="22">
        <v>193.56306116405941</v>
      </c>
      <c r="V10" s="19"/>
    </row>
    <row r="11" spans="2:22" x14ac:dyDescent="0.25">
      <c r="B11" s="19" t="s">
        <v>6</v>
      </c>
      <c r="C11" s="22">
        <v>160.21813261808913</v>
      </c>
      <c r="D11" s="22">
        <v>162.67467716929573</v>
      </c>
      <c r="E11" s="22">
        <v>164.99272105889048</v>
      </c>
      <c r="F11" s="22">
        <v>174.96626381811197</v>
      </c>
      <c r="G11" s="22">
        <v>172.80954363718416</v>
      </c>
      <c r="H11" s="22">
        <v>176.20763586781968</v>
      </c>
      <c r="I11" s="22">
        <v>181.22579568459869</v>
      </c>
      <c r="J11" s="22">
        <v>183.64666409782882</v>
      </c>
      <c r="K11" s="22">
        <v>192.8403706544868</v>
      </c>
      <c r="L11" s="22">
        <v>187.43220780832681</v>
      </c>
      <c r="M11" s="22">
        <v>197.03622308868069</v>
      </c>
      <c r="N11" s="22">
        <v>197.1943176973092</v>
      </c>
      <c r="O11" s="22">
        <v>195.01516817178356</v>
      </c>
      <c r="P11" s="22">
        <v>196.89751918326778</v>
      </c>
      <c r="Q11" s="22">
        <v>198.19675593295594</v>
      </c>
      <c r="R11" s="22">
        <v>199.43385748883213</v>
      </c>
      <c r="S11" s="22">
        <v>200.39044609960848</v>
      </c>
      <c r="T11" s="22">
        <v>199.29033026474178</v>
      </c>
      <c r="U11" s="22">
        <v>193.3131491565702</v>
      </c>
      <c r="V11" s="19"/>
    </row>
    <row r="12" spans="2:22" x14ac:dyDescent="0.25">
      <c r="B12" s="19" t="s">
        <v>7</v>
      </c>
      <c r="C12" s="22">
        <v>160.21813261808913</v>
      </c>
      <c r="D12" s="22">
        <v>162.67453199073753</v>
      </c>
      <c r="E12" s="22">
        <v>164.75486249574053</v>
      </c>
      <c r="F12" s="22">
        <v>174.67291322038031</v>
      </c>
      <c r="G12" s="22">
        <v>172.52748595966892</v>
      </c>
      <c r="H12" s="22">
        <v>175.92045377242778</v>
      </c>
      <c r="I12" s="22">
        <v>180.83899735775725</v>
      </c>
      <c r="J12" s="22">
        <v>183.09506426995995</v>
      </c>
      <c r="K12" s="22">
        <v>192.50268595498753</v>
      </c>
      <c r="L12" s="22">
        <v>187.07596734126747</v>
      </c>
      <c r="M12" s="22">
        <v>196.66124267091018</v>
      </c>
      <c r="N12" s="22">
        <v>196.90416515608251</v>
      </c>
      <c r="O12" s="22">
        <v>194.49926468461058</v>
      </c>
      <c r="P12" s="22">
        <v>196.54479605604044</v>
      </c>
      <c r="Q12" s="22">
        <v>198.03749128638225</v>
      </c>
      <c r="R12" s="22">
        <v>198.99841273106543</v>
      </c>
      <c r="S12" s="22">
        <v>199.96077794188318</v>
      </c>
      <c r="T12" s="22">
        <v>198.89335297658272</v>
      </c>
      <c r="U12" s="22">
        <v>192.92342062348916</v>
      </c>
      <c r="V12" s="19"/>
    </row>
    <row r="14" spans="2:22" x14ac:dyDescent="0.25">
      <c r="B14" s="20" t="s">
        <v>67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20" t="s">
        <v>68</v>
      </c>
    </row>
    <row r="15" spans="2:22" x14ac:dyDescent="0.25">
      <c r="B15" s="19" t="s">
        <v>58</v>
      </c>
      <c r="C15" s="22">
        <v>0</v>
      </c>
      <c r="D15" s="22">
        <v>-9.4970998911747984E-2</v>
      </c>
      <c r="E15" s="22">
        <v>-0.65933757128081538</v>
      </c>
      <c r="F15" s="22">
        <v>-1.2674104683351572</v>
      </c>
      <c r="G15" s="22">
        <v>-1.0684518450706548</v>
      </c>
      <c r="H15" s="22">
        <v>-0.9931604391442761</v>
      </c>
      <c r="I15" s="22">
        <v>-0.90731354557851773</v>
      </c>
      <c r="J15" s="22">
        <v>-1.3567925993337724</v>
      </c>
      <c r="K15" s="22">
        <v>-0.99590259434165773</v>
      </c>
      <c r="L15" s="22">
        <v>-1.3789259939015608</v>
      </c>
      <c r="M15" s="22">
        <v>-1.7821403481949858</v>
      </c>
      <c r="N15" s="22">
        <v>-1.9533161920981286</v>
      </c>
      <c r="O15" s="22">
        <v>-3.2169703953523197</v>
      </c>
      <c r="P15" s="22">
        <v>-3.3106544810345326</v>
      </c>
      <c r="Q15" s="22">
        <v>-4.3854942851879741</v>
      </c>
      <c r="R15" s="22">
        <v>-5.751231864919248</v>
      </c>
      <c r="S15" s="22">
        <v>-6.7451005522239313</v>
      </c>
      <c r="T15" s="22">
        <v>-9.2285399424335424</v>
      </c>
      <c r="U15" s="22">
        <v>-11.671010673509699</v>
      </c>
      <c r="V15" s="19" t="s">
        <v>69</v>
      </c>
    </row>
    <row r="16" spans="2:22" x14ac:dyDescent="0.25">
      <c r="B16" s="19" t="s">
        <v>70</v>
      </c>
      <c r="C16" s="22">
        <v>0</v>
      </c>
      <c r="D16" s="22">
        <v>-8.474569030818202E-2</v>
      </c>
      <c r="E16" s="22">
        <v>-0.18958016137514733</v>
      </c>
      <c r="F16" s="22">
        <v>-9.8802927713848021E-2</v>
      </c>
      <c r="G16" s="22">
        <v>-8.9591751898495886E-2</v>
      </c>
      <c r="H16" s="22">
        <v>-8.5296128992808917E-2</v>
      </c>
      <c r="I16" s="22">
        <v>-0.1585584181013644</v>
      </c>
      <c r="J16" s="22">
        <v>-0.27251039417404854</v>
      </c>
      <c r="K16" s="22">
        <v>-0.10722157203667848</v>
      </c>
      <c r="L16" s="22">
        <v>-0.11155306719203395</v>
      </c>
      <c r="M16" s="22">
        <v>-0.12146094944753827</v>
      </c>
      <c r="N16" s="22">
        <v>-0.13915652718978322</v>
      </c>
      <c r="O16" s="22">
        <v>-0.27771627695167922</v>
      </c>
      <c r="P16" s="22">
        <v>-0.12811926049099043</v>
      </c>
      <c r="Q16" s="22">
        <v>-0.23829274475778561</v>
      </c>
      <c r="R16" s="22">
        <v>-0.23922696766035756</v>
      </c>
      <c r="S16" s="22">
        <v>-0.20315215308175993</v>
      </c>
      <c r="T16" s="22">
        <v>-0.27699331970148933</v>
      </c>
      <c r="U16" s="22">
        <v>-0.23769699253909948</v>
      </c>
      <c r="V16" s="19" t="s">
        <v>71</v>
      </c>
    </row>
    <row r="17" spans="2:22" x14ac:dyDescent="0.25">
      <c r="B17" s="19" t="s">
        <v>72</v>
      </c>
      <c r="C17" s="22">
        <v>0</v>
      </c>
      <c r="D17" s="22">
        <v>0</v>
      </c>
      <c r="E17" s="22">
        <v>0</v>
      </c>
      <c r="F17" s="22">
        <v>-1.1873387556988746E-3</v>
      </c>
      <c r="G17" s="22">
        <v>-7.2235982145230082E-4</v>
      </c>
      <c r="H17" s="22">
        <v>-7.5437743882389441E-4</v>
      </c>
      <c r="I17" s="22">
        <v>-0.12230523759555467</v>
      </c>
      <c r="J17" s="22">
        <v>-0.17839296425952966</v>
      </c>
      <c r="K17" s="22">
        <v>-9.7989289102315524E-2</v>
      </c>
      <c r="L17" s="22">
        <v>-0.10815352440528159</v>
      </c>
      <c r="M17" s="22">
        <v>-0.14250700085614199</v>
      </c>
      <c r="N17" s="22">
        <v>-0.12707209971424049</v>
      </c>
      <c r="O17" s="22">
        <v>-0.21086031558874652</v>
      </c>
      <c r="P17" s="22">
        <v>-0.11404828633882858</v>
      </c>
      <c r="Q17" s="22">
        <v>-0.18689589637773452</v>
      </c>
      <c r="R17" s="22">
        <v>-0.18077277007535031</v>
      </c>
      <c r="S17" s="22">
        <v>-0.17581987365639407</v>
      </c>
      <c r="T17" s="22">
        <v>-0.1889928273967314</v>
      </c>
      <c r="U17" s="22">
        <v>-0.18469907369814109</v>
      </c>
      <c r="V17" s="19" t="s">
        <v>73</v>
      </c>
    </row>
    <row r="18" spans="2:22" x14ac:dyDescent="0.25">
      <c r="B18" s="19" t="s">
        <v>74</v>
      </c>
      <c r="C18" s="22">
        <v>0</v>
      </c>
      <c r="D18" s="22">
        <v>-8.474569030818202E-2</v>
      </c>
      <c r="E18" s="22">
        <v>-0.18958016137514733</v>
      </c>
      <c r="F18" s="22">
        <v>-9.7615588958149146E-2</v>
      </c>
      <c r="G18" s="22">
        <v>-8.8869392077043585E-2</v>
      </c>
      <c r="H18" s="22">
        <v>-8.4541751553985023E-2</v>
      </c>
      <c r="I18" s="22">
        <v>-3.6253180505809723E-2</v>
      </c>
      <c r="J18" s="22">
        <v>-9.411742991451888E-2</v>
      </c>
      <c r="K18" s="22">
        <v>-9.2322829343629564E-3</v>
      </c>
      <c r="L18" s="22">
        <v>-3.3995427867523631E-3</v>
      </c>
      <c r="M18" s="22">
        <v>2.1046051408603716E-2</v>
      </c>
      <c r="N18" s="22">
        <v>-1.2084427475542725E-2</v>
      </c>
      <c r="O18" s="22">
        <v>-6.6855961362932703E-2</v>
      </c>
      <c r="P18" s="22">
        <v>-1.4070974152161853E-2</v>
      </c>
      <c r="Q18" s="22">
        <v>-5.1396848380051097E-2</v>
      </c>
      <c r="R18" s="22">
        <v>-5.845419758500725E-2</v>
      </c>
      <c r="S18" s="22">
        <v>-2.7332279425365869E-2</v>
      </c>
      <c r="T18" s="22">
        <v>-8.8000492304757927E-2</v>
      </c>
      <c r="U18" s="22">
        <v>-5.2997918840958391E-2</v>
      </c>
      <c r="V18" s="19" t="s">
        <v>25</v>
      </c>
    </row>
    <row r="19" spans="2:22" x14ac:dyDescent="0.25">
      <c r="B19" s="19" t="s">
        <v>56</v>
      </c>
      <c r="C19" s="22">
        <v>0</v>
      </c>
      <c r="D19" s="22">
        <v>0</v>
      </c>
      <c r="E19" s="22">
        <v>-0.19699974871176096</v>
      </c>
      <c r="F19" s="22">
        <v>-0.71549468774747993</v>
      </c>
      <c r="G19" s="22">
        <v>-0.54965968634067508</v>
      </c>
      <c r="H19" s="22">
        <v>-0.45736801062554377</v>
      </c>
      <c r="I19" s="22">
        <v>-0.30009862023695177</v>
      </c>
      <c r="J19" s="22">
        <v>-0.52276898377871817</v>
      </c>
      <c r="K19" s="22">
        <v>-0.43127131006426112</v>
      </c>
      <c r="L19" s="22">
        <v>-0.79815713465765725</v>
      </c>
      <c r="M19" s="22">
        <v>-1.1966823650208767</v>
      </c>
      <c r="N19" s="22">
        <v>-1.4377914809930701</v>
      </c>
      <c r="O19" s="22">
        <v>-2.4428194660776228</v>
      </c>
      <c r="P19" s="22">
        <v>-2.7411294726962012</v>
      </c>
      <c r="Q19" s="22">
        <v>-3.9775001391893738</v>
      </c>
      <c r="R19" s="22">
        <v>-5.0730385914288263</v>
      </c>
      <c r="S19" s="22">
        <v>-6.0758801237200544</v>
      </c>
      <c r="T19" s="22">
        <v>-8.5363649085631437</v>
      </c>
      <c r="U19" s="22">
        <v>-11.031370132939458</v>
      </c>
      <c r="V19" s="19" t="s">
        <v>38</v>
      </c>
    </row>
    <row r="20" spans="2:22" x14ac:dyDescent="0.25">
      <c r="B20" s="19" t="s">
        <v>75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-5.3317415570774074E-2</v>
      </c>
      <c r="J20" s="22">
        <v>-7.6411492544536941E-2</v>
      </c>
      <c r="K20" s="22">
        <v>-5.1315456325625064E-2</v>
      </c>
      <c r="L20" s="22">
        <v>-6.4333449506051466E-2</v>
      </c>
      <c r="M20" s="22">
        <v>-7.5720984049354456E-2</v>
      </c>
      <c r="N20" s="22">
        <v>-4.7601995001798514E-2</v>
      </c>
      <c r="O20" s="22">
        <v>-0.11147388918115553</v>
      </c>
      <c r="P20" s="22">
        <v>-4.7808592622601509E-2</v>
      </c>
      <c r="Q20" s="22">
        <v>-0.10839693254476401</v>
      </c>
      <c r="R20" s="22">
        <v>-9.509186832241312E-2</v>
      </c>
      <c r="S20" s="22">
        <v>-8.7173430520152806E-2</v>
      </c>
      <c r="T20" s="22">
        <v>-0.10999700407450064</v>
      </c>
      <c r="U20" s="22">
        <v>-0.11884905780340205</v>
      </c>
      <c r="V20" s="19" t="s">
        <v>30</v>
      </c>
    </row>
    <row r="21" spans="2:22" x14ac:dyDescent="0.25">
      <c r="B21" s="19" t="s">
        <v>76</v>
      </c>
      <c r="C21" s="22">
        <v>0</v>
      </c>
      <c r="D21" s="22">
        <v>0</v>
      </c>
      <c r="E21" s="22">
        <v>0</v>
      </c>
      <c r="F21" s="22">
        <v>-1.1873387556988746E-3</v>
      </c>
      <c r="G21" s="22">
        <v>-7.2235982145230082E-4</v>
      </c>
      <c r="H21" s="22">
        <v>-7.5437743882389441E-4</v>
      </c>
      <c r="I21" s="22">
        <v>-6.8987822024780598E-2</v>
      </c>
      <c r="J21" s="22">
        <v>-0.10198147171499272</v>
      </c>
      <c r="K21" s="22">
        <v>-4.667383277669046E-2</v>
      </c>
      <c r="L21" s="22">
        <v>-4.3820074899230121E-2</v>
      </c>
      <c r="M21" s="22">
        <v>-6.6786016806787529E-2</v>
      </c>
      <c r="N21" s="22">
        <v>-7.947010471244198E-2</v>
      </c>
      <c r="O21" s="22">
        <v>-9.9386426407590989E-2</v>
      </c>
      <c r="P21" s="22">
        <v>-6.6239693716227066E-2</v>
      </c>
      <c r="Q21" s="22">
        <v>-7.8498963832970503E-2</v>
      </c>
      <c r="R21" s="22">
        <v>-8.5680901752937189E-2</v>
      </c>
      <c r="S21" s="22">
        <v>-8.864644313624126E-2</v>
      </c>
      <c r="T21" s="22">
        <v>-7.8995823322230763E-2</v>
      </c>
      <c r="U21" s="22">
        <v>-6.5850015894739045E-2</v>
      </c>
      <c r="V21" s="19" t="s">
        <v>77</v>
      </c>
    </row>
    <row r="22" spans="2:22" x14ac:dyDescent="0.25">
      <c r="B22" s="19" t="s">
        <v>78</v>
      </c>
      <c r="C22" s="22">
        <v>0</v>
      </c>
      <c r="D22" s="22">
        <v>-9.4825820353548806E-2</v>
      </c>
      <c r="E22" s="22">
        <v>-0.42147900813085926</v>
      </c>
      <c r="F22" s="22">
        <v>-0.9740598706034973</v>
      </c>
      <c r="G22" s="22">
        <v>-0.78639416755541447</v>
      </c>
      <c r="H22" s="22">
        <v>-0.70597834375237767</v>
      </c>
      <c r="I22" s="22">
        <v>-0.52051521873707429</v>
      </c>
      <c r="J22" s="22">
        <v>-0.80519277146490253</v>
      </c>
      <c r="K22" s="22">
        <v>-0.65821789484238025</v>
      </c>
      <c r="L22" s="22">
        <v>-1.0226855268422241</v>
      </c>
      <c r="M22" s="22">
        <v>-1.4071599304244842</v>
      </c>
      <c r="N22" s="22">
        <v>-1.6631636508714394</v>
      </c>
      <c r="O22" s="22">
        <v>-2.7010669081793424</v>
      </c>
      <c r="P22" s="22">
        <v>-2.9579313538071972</v>
      </c>
      <c r="Q22" s="22">
        <v>-4.226229638614285</v>
      </c>
      <c r="R22" s="22">
        <v>-5.3157871071525449</v>
      </c>
      <c r="S22" s="22">
        <v>-6.3154323944986288</v>
      </c>
      <c r="T22" s="22">
        <v>-8.8315626542744781</v>
      </c>
      <c r="U22" s="22">
        <v>-11.281282140428658</v>
      </c>
      <c r="V22" s="19" t="s">
        <v>79</v>
      </c>
    </row>
    <row r="23" spans="2:22" x14ac:dyDescent="0.25">
      <c r="B23" s="19" t="s">
        <v>54</v>
      </c>
      <c r="C23" s="22">
        <v>0</v>
      </c>
      <c r="D23" s="22">
        <v>-9.4825820353548806E-2</v>
      </c>
      <c r="E23" s="22">
        <v>-0.2244792594190983</v>
      </c>
      <c r="F23" s="22">
        <v>-0.25856518285601737</v>
      </c>
      <c r="G23" s="22">
        <v>-0.23673448121473939</v>
      </c>
      <c r="H23" s="22">
        <v>-0.24861033312683389</v>
      </c>
      <c r="I23" s="22">
        <v>-0.22041659850012252</v>
      </c>
      <c r="J23" s="22">
        <v>-0.28242378768618437</v>
      </c>
      <c r="K23" s="22">
        <v>-0.22694658477811913</v>
      </c>
      <c r="L23" s="22">
        <v>-0.22452839218456688</v>
      </c>
      <c r="M23" s="22">
        <v>-0.21047756540360751</v>
      </c>
      <c r="N23" s="22">
        <v>-0.22537216987836928</v>
      </c>
      <c r="O23" s="22">
        <v>-0.25824744210171957</v>
      </c>
      <c r="P23" s="22">
        <v>-0.21680188111099596</v>
      </c>
      <c r="Q23" s="22">
        <v>-0.24872949942491118</v>
      </c>
      <c r="R23" s="22">
        <v>-0.24274851572371858</v>
      </c>
      <c r="S23" s="22">
        <v>-0.23955227077857444</v>
      </c>
      <c r="T23" s="22">
        <v>-0.29519774571133439</v>
      </c>
      <c r="U23" s="22">
        <v>-0.24991200748920051</v>
      </c>
      <c r="V23" s="19" t="s">
        <v>80</v>
      </c>
    </row>
    <row r="28" spans="2:22" x14ac:dyDescent="0.25">
      <c r="B28" s="131"/>
      <c r="C28" s="132" t="s">
        <v>215</v>
      </c>
      <c r="D28" s="132">
        <v>2017</v>
      </c>
      <c r="E28" s="132">
        <v>2018</v>
      </c>
      <c r="F28" s="132">
        <v>2019</v>
      </c>
      <c r="G28" s="132">
        <v>2020</v>
      </c>
      <c r="H28" s="132">
        <v>2021</v>
      </c>
      <c r="I28" s="132">
        <v>2022</v>
      </c>
      <c r="J28" s="132">
        <v>2023</v>
      </c>
      <c r="K28" s="132">
        <v>2024</v>
      </c>
      <c r="L28" s="132">
        <v>2025</v>
      </c>
      <c r="M28" s="132">
        <v>2026</v>
      </c>
      <c r="N28" s="132">
        <v>2027</v>
      </c>
      <c r="O28" s="132">
        <v>2028</v>
      </c>
      <c r="P28" s="132">
        <v>2029</v>
      </c>
      <c r="Q28" s="132">
        <v>2030</v>
      </c>
      <c r="R28" s="132">
        <v>2031</v>
      </c>
      <c r="S28" s="132">
        <v>2032</v>
      </c>
      <c r="T28" s="132">
        <v>2033</v>
      </c>
      <c r="U28" s="132">
        <v>2034</v>
      </c>
      <c r="V28" s="132">
        <v>2035</v>
      </c>
    </row>
    <row r="29" spans="2:22" x14ac:dyDescent="0.25">
      <c r="B29" s="133" t="s">
        <v>139</v>
      </c>
      <c r="C29" s="134">
        <v>36.423125000000006</v>
      </c>
      <c r="D29" s="135">
        <v>38.019490441326525</v>
      </c>
      <c r="E29" s="135">
        <v>39.633948873778159</v>
      </c>
      <c r="F29" s="135">
        <v>41.222656913227944</v>
      </c>
      <c r="G29" s="135">
        <v>42.797942445043994</v>
      </c>
      <c r="H29" s="135">
        <v>44.378402452287126</v>
      </c>
      <c r="I29" s="135">
        <v>45.663424001077992</v>
      </c>
      <c r="J29" s="135">
        <v>47.20969863928029</v>
      </c>
      <c r="K29" s="135">
        <v>48.613297230773959</v>
      </c>
      <c r="L29" s="135">
        <v>50.156746064658435</v>
      </c>
      <c r="M29" s="135">
        <v>51.723075701534697</v>
      </c>
      <c r="N29" s="135">
        <v>53.122695719172505</v>
      </c>
      <c r="O29" s="135">
        <v>54.384363899507314</v>
      </c>
      <c r="P29" s="135">
        <v>55.889720282029714</v>
      </c>
      <c r="Q29" s="135">
        <v>57.318515399600869</v>
      </c>
      <c r="R29" s="135">
        <v>58.811186536566751</v>
      </c>
      <c r="S29" s="135">
        <v>60.139183771962621</v>
      </c>
      <c r="T29" s="135">
        <v>61.357628662343842</v>
      </c>
      <c r="U29" s="135">
        <v>62.396013016676662</v>
      </c>
      <c r="V29" s="135">
        <v>63.351270708220362</v>
      </c>
    </row>
    <row r="30" spans="2:22" x14ac:dyDescent="0.25">
      <c r="B30" s="133" t="s">
        <v>140</v>
      </c>
      <c r="C30" s="134">
        <v>12.579603000000001</v>
      </c>
      <c r="D30" s="135">
        <v>12.87543763409634</v>
      </c>
      <c r="E30" s="135">
        <v>13.17460191544199</v>
      </c>
      <c r="F30" s="135">
        <v>13.554244285511553</v>
      </c>
      <c r="G30" s="135">
        <v>14.421014606369811</v>
      </c>
      <c r="H30" s="135">
        <v>14.674721300242917</v>
      </c>
      <c r="I30" s="135">
        <v>15.31729361035462</v>
      </c>
      <c r="J30" s="135">
        <v>15.590242974842385</v>
      </c>
      <c r="K30" s="135">
        <v>15.851152264216555</v>
      </c>
      <c r="L30" s="135">
        <v>16.223316986623075</v>
      </c>
      <c r="M30" s="135">
        <v>16.611139070056499</v>
      </c>
      <c r="N30" s="135">
        <v>16.967627242461692</v>
      </c>
      <c r="O30" s="135">
        <v>17.271405528682731</v>
      </c>
      <c r="P30" s="135">
        <v>17.619326237574821</v>
      </c>
      <c r="Q30" s="135">
        <v>17.947256160451698</v>
      </c>
      <c r="R30" s="135">
        <v>18.286908029629632</v>
      </c>
      <c r="S30" s="135">
        <v>18.602231008437382</v>
      </c>
      <c r="T30" s="135">
        <v>19.707611229658397</v>
      </c>
      <c r="U30" s="135">
        <v>19.959054480060974</v>
      </c>
      <c r="V30" s="135">
        <v>20.193241690896784</v>
      </c>
    </row>
    <row r="31" spans="2:22" ht="39" x14ac:dyDescent="0.25">
      <c r="B31" s="136" t="s">
        <v>216</v>
      </c>
      <c r="C31" s="134">
        <v>4.8608350000000007</v>
      </c>
      <c r="D31" s="135">
        <v>5.7197934015309295</v>
      </c>
      <c r="E31" s="135">
        <v>5.890857807562174</v>
      </c>
      <c r="F31" s="135">
        <v>5.988401726565173</v>
      </c>
      <c r="G31" s="135">
        <v>6.2099401284600679</v>
      </c>
      <c r="H31" s="135">
        <v>6.4982016609414597</v>
      </c>
      <c r="I31" s="135">
        <v>6.6977031698709482</v>
      </c>
      <c r="J31" s="135">
        <v>7.0726113830216883</v>
      </c>
      <c r="K31" s="135">
        <v>7.1325520282674848</v>
      </c>
      <c r="L31" s="135">
        <v>7.7477683705247982</v>
      </c>
      <c r="M31" s="135">
        <v>7.8473584212751524</v>
      </c>
      <c r="N31" s="135">
        <v>8.0359435654958773</v>
      </c>
      <c r="O31" s="135">
        <v>8.159876520001756</v>
      </c>
      <c r="P31" s="135">
        <v>8.3390633220130912</v>
      </c>
      <c r="Q31" s="135">
        <v>8.4828591233886108</v>
      </c>
      <c r="R31" s="135">
        <v>8.7812344340902087</v>
      </c>
      <c r="S31" s="135">
        <v>8.8024877471644665</v>
      </c>
      <c r="T31" s="135">
        <v>8.9793972692781328</v>
      </c>
      <c r="U31" s="135">
        <v>9.0986949792503182</v>
      </c>
      <c r="V31" s="135">
        <v>9.3562878207677933</v>
      </c>
    </row>
    <row r="32" spans="2:22" x14ac:dyDescent="0.25">
      <c r="B32" s="133" t="s">
        <v>142</v>
      </c>
      <c r="C32" s="134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</row>
    <row r="33" spans="2:22" x14ac:dyDescent="0.25">
      <c r="B33" s="133" t="s">
        <v>153</v>
      </c>
      <c r="C33" s="134">
        <v>90.815939999999998</v>
      </c>
      <c r="D33" s="135">
        <v>95.973976254559659</v>
      </c>
      <c r="E33" s="135">
        <v>96.319165679074146</v>
      </c>
      <c r="F33" s="135">
        <v>96.772030471858528</v>
      </c>
      <c r="G33" s="135">
        <v>104.13331585699798</v>
      </c>
      <c r="H33" s="135">
        <v>99.778139162470922</v>
      </c>
      <c r="I33" s="135">
        <v>100.81073561066982</v>
      </c>
      <c r="J33" s="135">
        <v>103.2191716726992</v>
      </c>
      <c r="K33" s="135">
        <v>104.07143359035507</v>
      </c>
      <c r="L33" s="135">
        <v>110.15653862517387</v>
      </c>
      <c r="M33" s="135">
        <v>103.29927760253274</v>
      </c>
      <c r="N33" s="135">
        <v>110.86743158630344</v>
      </c>
      <c r="O33" s="135">
        <v>109.57243152626597</v>
      </c>
      <c r="P33" s="135">
        <v>106.45306642501369</v>
      </c>
      <c r="Q33" s="135">
        <v>106.58989363758259</v>
      </c>
      <c r="R33" s="135">
        <v>106.90446678216125</v>
      </c>
      <c r="S33" s="135">
        <v>107.45575899242095</v>
      </c>
      <c r="T33" s="135">
        <v>106.81810426167877</v>
      </c>
      <c r="U33" s="135">
        <v>106.75756411355133</v>
      </c>
      <c r="V33" s="135">
        <v>101.95103911059019</v>
      </c>
    </row>
    <row r="34" spans="2:22" x14ac:dyDescent="0.25">
      <c r="B34" s="137" t="s">
        <v>175</v>
      </c>
      <c r="C34" s="138">
        <v>144.67950300000001</v>
      </c>
      <c r="D34" s="139">
        <v>152.58869773151346</v>
      </c>
      <c r="E34" s="139">
        <v>155.01857427585645</v>
      </c>
      <c r="F34" s="139">
        <v>157.5373333971632</v>
      </c>
      <c r="G34" s="139">
        <v>167.56221303687187</v>
      </c>
      <c r="H34" s="139">
        <v>165.32946457594244</v>
      </c>
      <c r="I34" s="139">
        <v>168.48915639197338</v>
      </c>
      <c r="J34" s="139">
        <v>173.09172466984359</v>
      </c>
      <c r="K34" s="139">
        <v>175.66843511361307</v>
      </c>
      <c r="L34" s="139">
        <v>184.28437004698017</v>
      </c>
      <c r="M34" s="139">
        <v>179.48085079539908</v>
      </c>
      <c r="N34" s="139">
        <v>188.99369811343351</v>
      </c>
      <c r="O34" s="139">
        <v>189.38807747445776</v>
      </c>
      <c r="P34" s="139">
        <v>188.30117626663133</v>
      </c>
      <c r="Q34" s="139">
        <v>190.33852432102378</v>
      </c>
      <c r="R34" s="139">
        <v>192.78379578244784</v>
      </c>
      <c r="S34" s="139">
        <v>194.99966151998541</v>
      </c>
      <c r="T34" s="139">
        <v>196.86274142295915</v>
      </c>
      <c r="U34" s="139">
        <v>198.21132658953928</v>
      </c>
      <c r="V34" s="139">
        <v>194.85183933047512</v>
      </c>
    </row>
    <row r="35" spans="2:22" x14ac:dyDescent="0.25">
      <c r="B35" s="133" t="s">
        <v>156</v>
      </c>
      <c r="C35" s="134">
        <v>18.808335390000003</v>
      </c>
      <c r="D35" s="134">
        <v>19.836530705096752</v>
      </c>
      <c r="E35" s="134">
        <v>20.152414655861339</v>
      </c>
      <c r="F35" s="134">
        <v>20.479853341631216</v>
      </c>
      <c r="G35" s="134">
        <v>21.783087694793345</v>
      </c>
      <c r="H35" s="134">
        <v>21.492830394872517</v>
      </c>
      <c r="I35" s="134">
        <v>21.90359033095654</v>
      </c>
      <c r="J35" s="134">
        <v>22.501924207079668</v>
      </c>
      <c r="K35" s="134">
        <v>22.836896564769699</v>
      </c>
      <c r="L35" s="134">
        <v>23.956968106107425</v>
      </c>
      <c r="M35" s="134">
        <v>23.332510603401882</v>
      </c>
      <c r="N35" s="134">
        <v>24.569180754746355</v>
      </c>
      <c r="O35" s="134">
        <v>24.62045007167951</v>
      </c>
      <c r="P35" s="134">
        <v>24.479152914662073</v>
      </c>
      <c r="Q35" s="134">
        <v>24.744008161733092</v>
      </c>
      <c r="R35" s="134">
        <v>25.06189345171822</v>
      </c>
      <c r="S35" s="134">
        <v>25.349955997598105</v>
      </c>
      <c r="T35" s="134">
        <v>25.59215638498469</v>
      </c>
      <c r="U35" s="134">
        <v>25.767472456640107</v>
      </c>
      <c r="V35" s="134">
        <v>25.330739112961766</v>
      </c>
    </row>
    <row r="36" spans="2:22" x14ac:dyDescent="0.25">
      <c r="B36" s="133" t="s">
        <v>217</v>
      </c>
      <c r="C36" s="134"/>
      <c r="D36" s="140">
        <v>-12.207095818521077</v>
      </c>
      <c r="E36" s="140">
        <v>-12.401485942068517</v>
      </c>
      <c r="F36" s="140">
        <v>-12.602986671773056</v>
      </c>
      <c r="G36" s="140">
        <v>-13.404977042949749</v>
      </c>
      <c r="H36" s="140">
        <v>-13.226357166075395</v>
      </c>
      <c r="I36" s="140">
        <v>-13.479132511357871</v>
      </c>
      <c r="J36" s="140">
        <v>-13.847337973587488</v>
      </c>
      <c r="K36" s="140">
        <v>-14.053474809089046</v>
      </c>
      <c r="L36" s="140">
        <v>-14.742749603758414</v>
      </c>
      <c r="M36" s="140">
        <v>-14.358468063631927</v>
      </c>
      <c r="N36" s="140">
        <v>-15.119495849074681</v>
      </c>
      <c r="O36" s="140">
        <v>-15.151046197956621</v>
      </c>
      <c r="P36" s="140">
        <v>-15.064094101330507</v>
      </c>
      <c r="Q36" s="140">
        <v>-15.227081945681903</v>
      </c>
      <c r="R36" s="140">
        <v>-15.422703662595827</v>
      </c>
      <c r="S36" s="140">
        <v>-15.599972921598834</v>
      </c>
      <c r="T36" s="140">
        <v>-15.749019313836731</v>
      </c>
      <c r="U36" s="140">
        <v>-15.856906127163143</v>
      </c>
      <c r="V36" s="140">
        <v>-15.588147146438009</v>
      </c>
    </row>
    <row r="37" spans="2:22" x14ac:dyDescent="0.25">
      <c r="B37" s="137" t="s">
        <v>218</v>
      </c>
      <c r="C37" s="141">
        <v>163.48783839000001</v>
      </c>
      <c r="D37" s="142">
        <v>160.21813261808913</v>
      </c>
      <c r="E37" s="142">
        <v>162.76950298964928</v>
      </c>
      <c r="F37" s="142">
        <v>165.41420006702134</v>
      </c>
      <c r="G37" s="142">
        <v>175.94032368871547</v>
      </c>
      <c r="H37" s="142">
        <v>173.59593780473958</v>
      </c>
      <c r="I37" s="142">
        <v>176.91361421157205</v>
      </c>
      <c r="J37" s="142">
        <v>181.74631090333577</v>
      </c>
      <c r="K37" s="142">
        <v>184.45185686929372</v>
      </c>
      <c r="L37" s="142">
        <v>193.49858854932918</v>
      </c>
      <c r="M37" s="142">
        <v>188.45489333516903</v>
      </c>
      <c r="N37" s="142">
        <v>198.44338301910517</v>
      </c>
      <c r="O37" s="142">
        <v>198.85748134818064</v>
      </c>
      <c r="P37" s="142">
        <v>197.7162350799629</v>
      </c>
      <c r="Q37" s="142">
        <v>199.85545053707497</v>
      </c>
      <c r="R37" s="142">
        <v>202.42298557157022</v>
      </c>
      <c r="S37" s="142">
        <v>204.74964459598468</v>
      </c>
      <c r="T37" s="142">
        <v>206.70587849410711</v>
      </c>
      <c r="U37" s="142">
        <v>208.12189291901626</v>
      </c>
      <c r="V37" s="142">
        <v>204.59443129699886</v>
      </c>
    </row>
    <row r="38" spans="2:22" x14ac:dyDescent="0.25"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24"/>
  <sheetViews>
    <sheetView workbookViewId="0">
      <selection activeCell="C23" sqref="C23"/>
    </sheetView>
  </sheetViews>
  <sheetFormatPr defaultRowHeight="15" x14ac:dyDescent="0.25"/>
  <cols>
    <col min="2" max="2" width="37" customWidth="1"/>
    <col min="3" max="7" width="11.42578125" customWidth="1"/>
    <col min="8" max="8" width="18.85546875" customWidth="1"/>
  </cols>
  <sheetData>
    <row r="1" spans="1:8" x14ac:dyDescent="0.25">
      <c r="A1" t="s">
        <v>114</v>
      </c>
    </row>
    <row r="2" spans="1:8" x14ac:dyDescent="0.25">
      <c r="B2" s="53"/>
      <c r="C2" s="210" t="s">
        <v>112</v>
      </c>
      <c r="D2" s="210"/>
      <c r="E2" s="210"/>
      <c r="F2" s="210"/>
      <c r="G2" s="210"/>
    </row>
    <row r="3" spans="1:8" x14ac:dyDescent="0.25">
      <c r="B3" s="53"/>
      <c r="C3" s="53">
        <v>0.8</v>
      </c>
      <c r="D3" s="53">
        <v>0.9</v>
      </c>
      <c r="E3" s="53">
        <v>1</v>
      </c>
      <c r="F3" s="53">
        <v>1.1000000000000001</v>
      </c>
      <c r="G3" s="53">
        <v>1.2</v>
      </c>
    </row>
    <row r="4" spans="1:8" x14ac:dyDescent="0.25">
      <c r="B4" s="53">
        <v>2014</v>
      </c>
      <c r="C4" s="53">
        <v>1.1338261782107681</v>
      </c>
      <c r="D4" s="53">
        <v>1.0669529894987013</v>
      </c>
      <c r="E4" s="53">
        <v>1</v>
      </c>
      <c r="F4" s="53">
        <v>0.93312157625304137</v>
      </c>
      <c r="G4" s="53">
        <v>0.86617457968384959</v>
      </c>
    </row>
    <row r="5" spans="1:8" x14ac:dyDescent="0.25">
      <c r="B5" s="53">
        <v>2015</v>
      </c>
      <c r="C5" s="53">
        <v>1.0741901569358097</v>
      </c>
      <c r="D5" s="53">
        <v>1.0371112891821022</v>
      </c>
      <c r="E5" s="53">
        <v>1</v>
      </c>
      <c r="F5" s="53">
        <v>0.9629311327648381</v>
      </c>
      <c r="G5" s="53">
        <v>0.92587468592097977</v>
      </c>
    </row>
    <row r="6" spans="1:8" x14ac:dyDescent="0.25">
      <c r="B6" s="53">
        <v>2016</v>
      </c>
      <c r="C6" s="53">
        <v>1.1271858733608593</v>
      </c>
      <c r="D6" s="53">
        <v>1.0635493316004083</v>
      </c>
      <c r="E6" s="53">
        <v>1</v>
      </c>
      <c r="F6" s="53">
        <v>0.93640788107926587</v>
      </c>
      <c r="G6" s="53">
        <v>0.87276571927303659</v>
      </c>
    </row>
    <row r="7" spans="1:8" x14ac:dyDescent="0.25">
      <c r="B7" s="53">
        <v>2017</v>
      </c>
      <c r="C7" s="53">
        <v>1.0990898329253282</v>
      </c>
      <c r="D7" s="53">
        <v>1.049518075077817</v>
      </c>
      <c r="E7" s="53">
        <v>1</v>
      </c>
      <c r="F7" s="53">
        <v>0.95045626309896591</v>
      </c>
      <c r="G7" s="53">
        <v>0.90091781721474429</v>
      </c>
      <c r="H7" s="211" t="s">
        <v>116</v>
      </c>
    </row>
    <row r="8" spans="1:8" x14ac:dyDescent="0.25">
      <c r="B8" s="53">
        <v>2018</v>
      </c>
      <c r="C8" s="53">
        <v>1.1109445833291107</v>
      </c>
      <c r="D8" s="53">
        <v>1.0555094039932278</v>
      </c>
      <c r="E8" s="53">
        <v>1</v>
      </c>
      <c r="F8" s="53">
        <v>0.94452207481037254</v>
      </c>
      <c r="G8" s="53">
        <v>0.88908591879550236</v>
      </c>
      <c r="H8" s="211"/>
    </row>
    <row r="9" spans="1:8" x14ac:dyDescent="0.25">
      <c r="B9" s="53">
        <v>2019</v>
      </c>
      <c r="C9" s="53">
        <v>1.1289172112505808</v>
      </c>
      <c r="D9" s="53">
        <v>1.0644178377542566</v>
      </c>
      <c r="E9" s="53">
        <v>1</v>
      </c>
      <c r="F9" s="53">
        <v>0.93556265247350712</v>
      </c>
      <c r="G9" s="53">
        <v>0.87115728401849313</v>
      </c>
      <c r="H9" s="211"/>
    </row>
    <row r="10" spans="1:8" x14ac:dyDescent="0.25">
      <c r="B10" s="53">
        <v>2020</v>
      </c>
      <c r="C10" s="53">
        <v>1.1651029989039912</v>
      </c>
      <c r="D10" s="53">
        <v>1.0825565631457379</v>
      </c>
      <c r="E10" s="53">
        <v>1</v>
      </c>
      <c r="F10" s="53">
        <v>0.9174197429984603</v>
      </c>
      <c r="G10" s="53">
        <v>0.83478411645846473</v>
      </c>
      <c r="H10" s="211"/>
    </row>
    <row r="11" spans="1:8" x14ac:dyDescent="0.25">
      <c r="B11" s="53">
        <v>2021</v>
      </c>
      <c r="C11" s="53">
        <v>1.1792292849357333</v>
      </c>
      <c r="D11" s="53">
        <v>1.0896946807150134</v>
      </c>
      <c r="E11" s="53">
        <v>1</v>
      </c>
      <c r="F11" s="53">
        <v>0.91035671750608349</v>
      </c>
      <c r="G11" s="53">
        <v>0.82066247281734783</v>
      </c>
      <c r="H11" s="211"/>
    </row>
    <row r="12" spans="1:8" x14ac:dyDescent="0.25">
      <c r="B12" s="53">
        <v>2022</v>
      </c>
      <c r="C12" s="53">
        <v>1.1714080628618264</v>
      </c>
      <c r="D12" s="53">
        <v>1.0857155696269059</v>
      </c>
      <c r="E12" s="53">
        <v>1</v>
      </c>
      <c r="F12" s="53">
        <v>0.91430963062107962</v>
      </c>
      <c r="G12" s="53">
        <v>0.82863808992214427</v>
      </c>
      <c r="H12" s="211"/>
    </row>
    <row r="13" spans="1:8" x14ac:dyDescent="0.25">
      <c r="B13" s="53">
        <v>2023</v>
      </c>
      <c r="C13" s="53">
        <v>1.2349879853590884</v>
      </c>
      <c r="D13" s="53">
        <v>1.1175234404985546</v>
      </c>
      <c r="E13" s="53">
        <v>1</v>
      </c>
      <c r="F13" s="53">
        <v>0.88254672479523366</v>
      </c>
      <c r="G13" s="53">
        <v>0.76512980591695368</v>
      </c>
      <c r="H13" t="s">
        <v>115</v>
      </c>
    </row>
    <row r="14" spans="1:8" x14ac:dyDescent="0.25">
      <c r="B14" s="54" t="s">
        <v>113</v>
      </c>
      <c r="C14" s="56">
        <v>1.1424486623677619</v>
      </c>
      <c r="D14" s="56">
        <v>1.0712353550521598</v>
      </c>
      <c r="E14" s="56">
        <v>1</v>
      </c>
      <c r="F14" s="56">
        <v>0.92877118025141137</v>
      </c>
      <c r="G14" s="56">
        <v>0.85754094987111606</v>
      </c>
    </row>
    <row r="19" spans="2:7" x14ac:dyDescent="0.25">
      <c r="B19" t="s">
        <v>112</v>
      </c>
      <c r="C19" s="39">
        <v>-0.2</v>
      </c>
      <c r="D19" s="39">
        <v>-0.1</v>
      </c>
      <c r="E19" s="39">
        <v>0</v>
      </c>
      <c r="F19" s="39">
        <v>0.1</v>
      </c>
      <c r="G19" s="39">
        <v>0.2</v>
      </c>
    </row>
    <row r="20" spans="2:7" x14ac:dyDescent="0.25">
      <c r="B20" t="s">
        <v>117</v>
      </c>
      <c r="C20" s="39">
        <f>C14-1</f>
        <v>0.14244866236776188</v>
      </c>
      <c r="D20" s="39">
        <f t="shared" ref="D20:G20" si="0">D14-1</f>
        <v>7.1235355052159832E-2</v>
      </c>
      <c r="E20" s="39">
        <f t="shared" si="0"/>
        <v>0</v>
      </c>
      <c r="F20" s="39">
        <f t="shared" si="0"/>
        <v>-7.1228819748588634E-2</v>
      </c>
      <c r="G20" s="39">
        <f t="shared" si="0"/>
        <v>-0.14245905012888394</v>
      </c>
    </row>
    <row r="21" spans="2:7" x14ac:dyDescent="0.25">
      <c r="B21" t="s">
        <v>118</v>
      </c>
      <c r="C21" s="39">
        <f>C20/C19</f>
        <v>-0.7122433118388094</v>
      </c>
      <c r="D21" s="39">
        <f t="shared" ref="D21:G21" si="1">D20/D19</f>
        <v>-0.71235355052159832</v>
      </c>
      <c r="E21" s="39"/>
      <c r="F21" s="39">
        <f t="shared" si="1"/>
        <v>-0.71228819748588634</v>
      </c>
      <c r="G21" s="39">
        <f t="shared" si="1"/>
        <v>-0.71229525064441968</v>
      </c>
    </row>
    <row r="22" spans="2:7" x14ac:dyDescent="0.25">
      <c r="B22" s="54" t="s">
        <v>119</v>
      </c>
      <c r="C22" s="212">
        <v>-1</v>
      </c>
      <c r="D22" s="213"/>
      <c r="E22" s="213"/>
      <c r="F22" s="213"/>
      <c r="G22" s="213"/>
    </row>
    <row r="23" spans="2:7" x14ac:dyDescent="0.25">
      <c r="C23" s="53"/>
      <c r="D23" s="53"/>
      <c r="E23" s="53"/>
      <c r="G23" s="53"/>
    </row>
    <row r="24" spans="2:7" x14ac:dyDescent="0.25">
      <c r="D24" s="39"/>
    </row>
  </sheetData>
  <mergeCells count="3">
    <mergeCell ref="C2:G2"/>
    <mergeCell ref="H7:H12"/>
    <mergeCell ref="C22:G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AJ15"/>
  <sheetViews>
    <sheetView workbookViewId="0"/>
  </sheetViews>
  <sheetFormatPr defaultRowHeight="15" x14ac:dyDescent="0.25"/>
  <cols>
    <col min="2" max="2" width="23.42578125" customWidth="1"/>
  </cols>
  <sheetData>
    <row r="1" spans="1:36" x14ac:dyDescent="0.25">
      <c r="B1" s="54" t="s">
        <v>238</v>
      </c>
    </row>
    <row r="2" spans="1:36" x14ac:dyDescent="0.25">
      <c r="B2" s="25"/>
      <c r="C2" s="24">
        <v>2017</v>
      </c>
      <c r="D2" s="24">
        <v>2018</v>
      </c>
      <c r="E2" s="24">
        <v>2019</v>
      </c>
      <c r="F2" s="24">
        <v>2020</v>
      </c>
      <c r="G2" s="24">
        <v>2021</v>
      </c>
      <c r="H2" s="24">
        <v>2022</v>
      </c>
      <c r="I2" s="24">
        <v>2023</v>
      </c>
      <c r="J2" s="24">
        <v>2024</v>
      </c>
      <c r="K2" s="24">
        <v>2025</v>
      </c>
      <c r="L2" s="24">
        <v>2026</v>
      </c>
      <c r="M2" s="24">
        <v>2027</v>
      </c>
      <c r="N2" s="24">
        <v>2028</v>
      </c>
      <c r="O2" s="24">
        <v>2029</v>
      </c>
      <c r="P2" s="24">
        <v>2030</v>
      </c>
      <c r="Q2" s="24">
        <v>2031</v>
      </c>
      <c r="R2" s="24">
        <v>2032</v>
      </c>
      <c r="S2" s="24">
        <v>2033</v>
      </c>
      <c r="T2" s="24">
        <v>2034</v>
      </c>
      <c r="U2" s="24">
        <v>2035</v>
      </c>
      <c r="V2" s="24">
        <v>2036</v>
      </c>
      <c r="W2" s="24">
        <v>2037</v>
      </c>
      <c r="X2" s="24">
        <v>2038</v>
      </c>
      <c r="Y2" s="24">
        <v>2039</v>
      </c>
      <c r="Z2" s="24">
        <v>2040</v>
      </c>
      <c r="AA2" s="24">
        <v>2041</v>
      </c>
      <c r="AB2" s="24">
        <v>2042</v>
      </c>
      <c r="AC2" s="24">
        <v>2043</v>
      </c>
      <c r="AD2" s="24">
        <v>2044</v>
      </c>
      <c r="AE2" s="24">
        <v>2045</v>
      </c>
      <c r="AF2" s="24">
        <v>2046</v>
      </c>
      <c r="AG2" s="24">
        <v>2047</v>
      </c>
      <c r="AH2" s="24">
        <v>2048</v>
      </c>
      <c r="AI2" s="24">
        <v>2049</v>
      </c>
      <c r="AJ2" s="24">
        <v>2050</v>
      </c>
    </row>
    <row r="3" spans="1:36" s="105" customFormat="1" x14ac:dyDescent="0.25">
      <c r="B3" s="160" t="s">
        <v>239</v>
      </c>
      <c r="C3" s="161">
        <f>Calcs!D21</f>
        <v>12095.369682235045</v>
      </c>
      <c r="D3" s="161">
        <f>Calcs!E21</f>
        <v>11834.680968387356</v>
      </c>
      <c r="E3" s="161">
        <f>Calcs!F21</f>
        <v>11552.105152780023</v>
      </c>
      <c r="F3" s="161">
        <f>Calcs!G21</f>
        <v>12168.427804857231</v>
      </c>
      <c r="G3" s="161">
        <f>Calcs!H21</f>
        <v>10843.555476184305</v>
      </c>
      <c r="H3" s="161">
        <f>Calcs!I21</f>
        <v>10633.626262038733</v>
      </c>
      <c r="I3" s="161">
        <f>Calcs!J21</f>
        <v>10243.432169611806</v>
      </c>
      <c r="J3" s="161">
        <f>Calcs!K21</f>
        <v>11128.119052974123</v>
      </c>
      <c r="K3" s="161">
        <f>Calcs!L21</f>
        <v>10527.01808843752</v>
      </c>
      <c r="L3" s="161">
        <f>Calcs!M21</f>
        <v>10033.287200750003</v>
      </c>
      <c r="M3" s="161">
        <f>Calcs!N21</f>
        <v>11042.844229096907</v>
      </c>
      <c r="N3" s="161">
        <f>Calcs!O21</f>
        <v>10819.097642104838</v>
      </c>
      <c r="O3" s="161">
        <f>Calcs!P21</f>
        <v>10008.692180866097</v>
      </c>
      <c r="P3" s="161">
        <f>Calcs!Q21</f>
        <v>9721.4381123383864</v>
      </c>
      <c r="Q3" s="161">
        <f>Calcs!R21</f>
        <v>8654.4846953957476</v>
      </c>
      <c r="R3" s="161">
        <f>Calcs!S21</f>
        <v>8819.9388296880807</v>
      </c>
      <c r="S3" s="161">
        <f>Calcs!T21</f>
        <v>8238.0383223817407</v>
      </c>
      <c r="T3" s="161">
        <f>Calcs!U21</f>
        <v>7756.4351319563648</v>
      </c>
      <c r="U3" s="161">
        <f>Calcs!V21</f>
        <v>5662.3211916579985</v>
      </c>
      <c r="V3" s="161">
        <f>Calcs!W21</f>
        <v>5388.8445108572041</v>
      </c>
      <c r="W3" s="161">
        <f>Calcs!X21</f>
        <v>5128.5761049688263</v>
      </c>
      <c r="X3" s="161">
        <f>Calcs!Y21</f>
        <v>4880.8780456486584</v>
      </c>
      <c r="Y3" s="161">
        <f>Calcs!Z21</f>
        <v>4645.1432149781613</v>
      </c>
      <c r="Z3" s="161">
        <f>Calcs!AA21</f>
        <v>4420.7938173939892</v>
      </c>
      <c r="AA3" s="161">
        <f>Calcs!AB21</f>
        <v>4207.2799634878011</v>
      </c>
      <c r="AB3" s="161">
        <f>Calcs!AC21</f>
        <v>4004.0783222051691</v>
      </c>
      <c r="AC3" s="161">
        <f>Calcs!AD21</f>
        <v>3810.6908381400954</v>
      </c>
      <c r="AD3" s="161">
        <f>Calcs!AE21</f>
        <v>3626.6435107811549</v>
      </c>
      <c r="AE3" s="161">
        <f>Calcs!AF21</f>
        <v>3451.4852327171438</v>
      </c>
      <c r="AF3" s="161">
        <f>Calcs!AG21</f>
        <v>3284.7866839546605</v>
      </c>
      <c r="AG3" s="161">
        <f>Calcs!AH21</f>
        <v>3126.139279637503</v>
      </c>
      <c r="AH3" s="161">
        <f>Calcs!AI21</f>
        <v>2975.1541685887391</v>
      </c>
      <c r="AI3" s="161">
        <f>Calcs!AJ21</f>
        <v>2831.4612802208057</v>
      </c>
      <c r="AJ3" s="161">
        <f>Calcs!AK21</f>
        <v>2694.7084174775991</v>
      </c>
    </row>
    <row r="4" spans="1:36" s="105" customFormat="1" x14ac:dyDescent="0.25">
      <c r="B4" s="159">
        <v>1</v>
      </c>
      <c r="C4" s="32">
        <f>'1'!F45</f>
        <v>7420.9596822350413</v>
      </c>
      <c r="D4" s="32">
        <f>'1'!G45</f>
        <v>7206.464301720689</v>
      </c>
      <c r="E4" s="32">
        <f>'1'!H45</f>
        <v>6995.0669709618442</v>
      </c>
      <c r="F4" s="32">
        <f>'1'!I45</f>
        <v>6328.7853806148069</v>
      </c>
      <c r="G4" s="32">
        <f>'1'!J45</f>
        <v>5887.7985064873264</v>
      </c>
      <c r="H4" s="32">
        <f>'1'!K45</f>
        <v>6153.8369323420402</v>
      </c>
      <c r="I4" s="32">
        <f>'1'!L45</f>
        <v>6431.8962254110893</v>
      </c>
      <c r="J4" s="32">
        <f>'1'!M45</f>
        <v>6722.5195450073488</v>
      </c>
      <c r="K4" s="32">
        <f>'1'!N45</f>
        <v>7026.2745929358307</v>
      </c>
      <c r="L4" s="32">
        <f>'1'!O45</f>
        <v>7343.7547224389082</v>
      </c>
      <c r="M4" s="32">
        <f>'1'!P45</f>
        <v>7675.5800972488814</v>
      </c>
      <c r="N4" s="32">
        <f>'1'!Q45</f>
        <v>8022.3989030120101</v>
      </c>
      <c r="O4" s="32">
        <f>'1'!R45</f>
        <v>8384.8886134503518</v>
      </c>
      <c r="P4" s="32">
        <f>'1'!S45</f>
        <v>8763.7573137347808</v>
      </c>
      <c r="Q4" s="32">
        <f>'1'!T45</f>
        <v>9159.7450836541848</v>
      </c>
      <c r="R4" s="32">
        <f>'1'!U45</f>
        <v>9573.6254432828046</v>
      </c>
      <c r="S4" s="32">
        <f>'1'!V45</f>
        <v>10006.206863969552</v>
      </c>
      <c r="T4" s="32">
        <f>'1'!W45</f>
        <v>10458.334347600994</v>
      </c>
      <c r="U4" s="32">
        <f>'1'!X45</f>
        <v>10930.891077222843</v>
      </c>
      <c r="V4" s="32">
        <f>'1'!Y45</f>
        <v>11424.800142244268</v>
      </c>
      <c r="W4" s="32">
        <f>'1'!Z45</f>
        <v>11941.026341595087</v>
      </c>
      <c r="X4" s="32">
        <f>'1'!AA45</f>
        <v>12480.578068358049</v>
      </c>
      <c r="Y4" s="32">
        <f>'1'!AB45</f>
        <v>13044.509279557687</v>
      </c>
      <c r="Z4" s="32">
        <f>'1'!AC45</f>
        <v>13633.921554953497</v>
      </c>
      <c r="AA4" s="32">
        <f>'1'!AD45</f>
        <v>14249.966248859037</v>
      </c>
      <c r="AB4" s="32">
        <f>'1'!AE45</f>
        <v>14893.846739190391</v>
      </c>
      <c r="AC4" s="32">
        <f>'1'!AF45</f>
        <v>15566.820778137162</v>
      </c>
      <c r="AD4" s="32">
        <f>'1'!AG45</f>
        <v>16270.202949047905</v>
      </c>
      <c r="AE4" s="32">
        <f>'1'!AH45</f>
        <v>17005.367234329096</v>
      </c>
      <c r="AF4" s="32">
        <f>'1'!AI45</f>
        <v>17773.749699373966</v>
      </c>
      <c r="AG4" s="32">
        <f>'1'!AJ45</f>
        <v>18576.851297763777</v>
      </c>
      <c r="AH4" s="32">
        <f>'1'!AK45</f>
        <v>2975.1541685887391</v>
      </c>
      <c r="AI4" s="32">
        <f>'1'!AL45</f>
        <v>2831.4612802208057</v>
      </c>
      <c r="AJ4" s="32">
        <f>'1'!AM45</f>
        <v>2694.7084174775991</v>
      </c>
    </row>
    <row r="5" spans="1:36" s="105" customFormat="1" x14ac:dyDescent="0.25">
      <c r="B5" s="159">
        <v>2</v>
      </c>
      <c r="C5" s="32">
        <f>'2'!F45</f>
        <v>7420.9596822350468</v>
      </c>
      <c r="D5" s="32">
        <f>'2'!G45</f>
        <v>7204.6876350540224</v>
      </c>
      <c r="E5" s="32">
        <f>'2'!H45</f>
        <v>6995.0669709618414</v>
      </c>
      <c r="F5" s="32">
        <f>'2'!I45</f>
        <v>6328.7853806148059</v>
      </c>
      <c r="G5" s="32">
        <f>'2'!J45</f>
        <v>5889.562748911575</v>
      </c>
      <c r="H5" s="32">
        <f>'2'!K45</f>
        <v>6155.5419390868692</v>
      </c>
      <c r="I5" s="32">
        <f>'2'!L45</f>
        <v>6433.5330446831131</v>
      </c>
      <c r="J5" s="32">
        <f>'2'!M45</f>
        <v>6724.0785371319444</v>
      </c>
      <c r="K5" s="32">
        <f>'2'!N45</f>
        <v>7027.7453864769068</v>
      </c>
      <c r="L5" s="32">
        <f>'2'!O45</f>
        <v>7345.1261677579505</v>
      </c>
      <c r="M5" s="32">
        <f>'2'!P45</f>
        <v>7676.8402173614904</v>
      </c>
      <c r="N5" s="32">
        <f>'2'!Q45</f>
        <v>8023.5348415925164</v>
      </c>
      <c r="O5" s="32">
        <f>'2'!R45</f>
        <v>8385.8865798271454</v>
      </c>
      <c r="P5" s="32">
        <f>'2'!S45</f>
        <v>8764.6025247105754</v>
      </c>
      <c r="Q5" s="32">
        <f>'2'!T45</f>
        <v>9160.4217019766056</v>
      </c>
      <c r="R5" s="32">
        <f>'2'!U45</f>
        <v>9574.1165125813841</v>
      </c>
      <c r="S5" s="32">
        <f>'2'!V45</f>
        <v>10006.494239965463</v>
      </c>
      <c r="T5" s="32">
        <f>'2'!W45</f>
        <v>10458.398625385522</v>
      </c>
      <c r="U5" s="32">
        <f>'2'!X45</f>
        <v>10930.711514389806</v>
      </c>
      <c r="V5" s="32">
        <f>'2'!Y45</f>
        <v>11424.354577650227</v>
      </c>
      <c r="W5" s="32">
        <f>'2'!Z45</f>
        <v>11940.291109509128</v>
      </c>
      <c r="X5" s="32">
        <f>'2'!AA45</f>
        <v>12479.527907750462</v>
      </c>
      <c r="Y5" s="32">
        <f>'2'!AB45</f>
        <v>13043.117238263474</v>
      </c>
      <c r="Z5" s="32">
        <f>'2'!AC45</f>
        <v>13632.158888432812</v>
      </c>
      <c r="AA5" s="32">
        <f>'2'!AD45</f>
        <v>14247.802313261995</v>
      </c>
      <c r="AB5" s="32">
        <f>'2'!AE45</f>
        <v>14891.248878418204</v>
      </c>
      <c r="AC5" s="32">
        <f>'2'!AF45</f>
        <v>15563.754204575462</v>
      </c>
      <c r="AD5" s="32">
        <f>'2'!AG45</f>
        <v>16266.630617630974</v>
      </c>
      <c r="AE5" s="32">
        <f>'2'!AH45</f>
        <v>17001.249709575906</v>
      </c>
      <c r="AF5" s="32">
        <f>'2'!AI45</f>
        <v>17769.045015018004</v>
      </c>
      <c r="AG5" s="32">
        <f>'2'!AJ45</f>
        <v>18571.514808578864</v>
      </c>
      <c r="AH5" s="32">
        <f>'2'!AK45</f>
        <v>2975.1541685887391</v>
      </c>
      <c r="AI5" s="32">
        <f>'2'!AL45</f>
        <v>2831.4612802208057</v>
      </c>
      <c r="AJ5" s="32">
        <f>'2'!AM45</f>
        <v>2694.7084174775991</v>
      </c>
    </row>
    <row r="6" spans="1:36" s="105" customFormat="1" x14ac:dyDescent="0.25">
      <c r="B6" s="159">
        <v>3</v>
      </c>
      <c r="C6" s="32">
        <f>'3'!F45</f>
        <v>7420.9596822350468</v>
      </c>
      <c r="D6" s="32">
        <f>'3'!G45</f>
        <v>7424.9943017206897</v>
      </c>
      <c r="E6" s="32">
        <f>'3'!H45</f>
        <v>7439.6560618709309</v>
      </c>
      <c r="F6" s="32">
        <f>'3'!I45</f>
        <v>7013.3114412208679</v>
      </c>
      <c r="G6" s="32">
        <f>'3'!J45</f>
        <v>6824.6112337600625</v>
      </c>
      <c r="H6" s="32">
        <f>'3'!K45</f>
        <v>7041.9093185497768</v>
      </c>
      <c r="I6" s="32">
        <f>'3'!L45</f>
        <v>7266.1262527854033</v>
      </c>
      <c r="J6" s="32">
        <f>'3'!M45</f>
        <v>7497.4823351304221</v>
      </c>
      <c r="K6" s="32">
        <f>'3'!N45</f>
        <v>7736.2048786372625</v>
      </c>
      <c r="L6" s="32">
        <f>'3'!O45</f>
        <v>7982.5284340879853</v>
      </c>
      <c r="M6" s="32">
        <f>'3'!P45</f>
        <v>8236.6950204462046</v>
      </c>
      <c r="N6" s="32">
        <f>'3'!Q45</f>
        <v>8498.9543626466875</v>
      </c>
      <c r="O6" s="32">
        <f>'3'!R45</f>
        <v>8769.5641369562509</v>
      </c>
      <c r="P6" s="32">
        <f>'3'!S45</f>
        <v>9048.7902241470456</v>
      </c>
      <c r="Q6" s="32">
        <f>'3'!T45</f>
        <v>9336.9069707309663</v>
      </c>
      <c r="R6" s="32">
        <f>'3'!U45</f>
        <v>9634.1974585118733</v>
      </c>
      <c r="S6" s="32">
        <f>'3'!V45</f>
        <v>9940.9537827204167</v>
      </c>
      <c r="T6" s="32">
        <f>'3'!W45</f>
        <v>10257.477339004818</v>
      </c>
      <c r="U6" s="32">
        <f>'3'!X45</f>
        <v>10584.079119559517</v>
      </c>
      <c r="V6" s="32">
        <f>'3'!Y45</f>
        <v>10921.080018682667</v>
      </c>
      <c r="W6" s="32">
        <f>'3'!Z45</f>
        <v>11268.811148062687</v>
      </c>
      <c r="X6" s="32">
        <f>'3'!AA45</f>
        <v>11627.614162103662</v>
      </c>
      <c r="Y6" s="32">
        <f>'3'!AB45</f>
        <v>11997.841593609206</v>
      </c>
      <c r="Z6" s="32">
        <f>'3'!AC45</f>
        <v>12379.857200154644</v>
      </c>
      <c r="AA6" s="32">
        <f>'3'!AD45</f>
        <v>12774.036321487774</v>
      </c>
      <c r="AB6" s="32">
        <f>'3'!AE45</f>
        <v>13180.766248309441</v>
      </c>
      <c r="AC6" s="32">
        <f>'3'!AF45</f>
        <v>13600.44660279617</v>
      </c>
      <c r="AD6" s="32">
        <f>'3'!AG45</f>
        <v>14033.489731238833</v>
      </c>
      <c r="AE6" s="32">
        <f>'3'!AH45</f>
        <v>14480.321109183009</v>
      </c>
      <c r="AF6" s="32">
        <f>'3'!AI45</f>
        <v>14941.379759469221</v>
      </c>
      <c r="AG6" s="32">
        <f>'3'!AJ45</f>
        <v>15417.118683583676</v>
      </c>
      <c r="AH6" s="32">
        <f>'3'!AK45</f>
        <v>2975.1541685887391</v>
      </c>
      <c r="AI6" s="32">
        <f>'3'!AL45</f>
        <v>2831.4612802208057</v>
      </c>
      <c r="AJ6" s="32">
        <f>'3'!AM45</f>
        <v>2694.7084174775991</v>
      </c>
    </row>
    <row r="7" spans="1:36" s="105" customFormat="1" x14ac:dyDescent="0.25">
      <c r="B7" s="159">
        <v>4</v>
      </c>
      <c r="C7" s="32">
        <f>'4'!F45</f>
        <v>8556.249682235044</v>
      </c>
      <c r="D7" s="32">
        <f>'4'!G45</f>
        <v>8364.8509683873544</v>
      </c>
      <c r="E7" s="32">
        <f>'4'!H45</f>
        <v>8170.0524255072969</v>
      </c>
      <c r="F7" s="32">
        <f>'4'!I45</f>
        <v>7526.7059866754125</v>
      </c>
      <c r="G7" s="32">
        <f>'4'!J45</f>
        <v>7113.9469913358216</v>
      </c>
      <c r="H7" s="32">
        <f>'4'!K45</f>
        <v>7297.9328758208076</v>
      </c>
      <c r="I7" s="32">
        <f>'4'!L45</f>
        <v>7486.677132237849</v>
      </c>
      <c r="J7" s="32">
        <f>'4'!M45</f>
        <v>7680.3028249378231</v>
      </c>
      <c r="K7" s="32">
        <f>'4'!N45</f>
        <v>7878.9362010481191</v>
      </c>
      <c r="L7" s="32">
        <f>'4'!O45</f>
        <v>8082.7067727878466</v>
      </c>
      <c r="M7" s="32">
        <f>'4'!P45</f>
        <v>8291.74740191192</v>
      </c>
      <c r="N7" s="32">
        <f>'4'!Q45</f>
        <v>8506.1943863391098</v>
      </c>
      <c r="O7" s="32">
        <f>'4'!R45</f>
        <v>8726.187549020513</v>
      </c>
      <c r="P7" s="32">
        <f>'4'!S45</f>
        <v>8951.8703291064157</v>
      </c>
      <c r="Q7" s="32">
        <f>'4'!T45</f>
        <v>9183.3898754709644</v>
      </c>
      <c r="R7" s="32">
        <f>'4'!U45</f>
        <v>9420.8971426556654</v>
      </c>
      <c r="S7" s="32">
        <f>'4'!V45</f>
        <v>9664.546989294191</v>
      </c>
      <c r="T7" s="32">
        <f>'4'!W45</f>
        <v>9914.4982790827726</v>
      </c>
      <c r="U7" s="32">
        <f>'4'!X45</f>
        <v>10170.91398436193</v>
      </c>
      <c r="V7" s="32">
        <f>'4'!Y45</f>
        <v>10433.961292377104</v>
      </c>
      <c r="W7" s="32">
        <f>'4'!Z45</f>
        <v>10703.811714287491</v>
      </c>
      <c r="X7" s="32">
        <f>'4'!AA45</f>
        <v>10980.641196994129</v>
      </c>
      <c r="Y7" s="32">
        <f>'4'!AB45</f>
        <v>11264.630237860156</v>
      </c>
      <c r="Z7" s="32">
        <f>'4'!AC45</f>
        <v>11555.964002398066</v>
      </c>
      <c r="AA7" s="32">
        <f>'4'!AD45</f>
        <v>11854.832445000648</v>
      </c>
      <c r="AB7" s="32">
        <f>'4'!AE45</f>
        <v>12161.430432794368</v>
      </c>
      <c r="AC7" s="32">
        <f>'4'!AF45</f>
        <v>12475.957872695932</v>
      </c>
      <c r="AD7" s="32">
        <f>'4'!AG45</f>
        <v>12798.619841754879</v>
      </c>
      <c r="AE7" s="32">
        <f>'4'!AH45</f>
        <v>13129.626720867169</v>
      </c>
      <c r="AF7" s="32">
        <f>'4'!AI45</f>
        <v>13469.194331946999</v>
      </c>
      <c r="AG7" s="32">
        <f>'4'!AJ45</f>
        <v>13817.544078646204</v>
      </c>
      <c r="AH7" s="32">
        <f>'4'!AK45</f>
        <v>2975.1541685887391</v>
      </c>
      <c r="AI7" s="32">
        <f>'4'!AL45</f>
        <v>2831.4612802208057</v>
      </c>
      <c r="AJ7" s="32">
        <f>'4'!AM45</f>
        <v>2694.7084174775991</v>
      </c>
    </row>
    <row r="8" spans="1:36" x14ac:dyDescent="0.25">
      <c r="B8" s="159" t="s">
        <v>245</v>
      </c>
      <c r="C8" s="32">
        <f>'1a GA RPP'!F45</f>
        <v>10595.536108901711</v>
      </c>
      <c r="D8" s="32">
        <f>'1a GA RPP'!G45</f>
        <v>10369.650163054024</v>
      </c>
      <c r="E8" s="32">
        <f>'1a GA RPP'!H45</f>
        <v>10129.410182113355</v>
      </c>
      <c r="F8" s="32">
        <f>'1a GA RPP'!I45</f>
        <v>10161.51454085723</v>
      </c>
      <c r="G8" s="32">
        <f>'1a GA RPP'!J45</f>
        <v>9263.6975561843046</v>
      </c>
      <c r="H8" s="32">
        <f>'1a GA RPP'!K45</f>
        <v>9448.9715073079915</v>
      </c>
      <c r="I8" s="32">
        <f>'1a GA RPP'!L45</f>
        <v>9637.9509374541485</v>
      </c>
      <c r="J8" s="32">
        <f>'1a GA RPP'!M45</f>
        <v>9830.7099562032327</v>
      </c>
      <c r="K8" s="32">
        <f>'1a GA RPP'!N45</f>
        <v>10027.324155327296</v>
      </c>
      <c r="L8" s="32">
        <f>'1a GA RPP'!O45</f>
        <v>10227.870638433844</v>
      </c>
      <c r="M8" s="32">
        <f>'1a GA RPP'!P45</f>
        <v>10432.428051202518</v>
      </c>
      <c r="N8" s="32">
        <f>'1a GA RPP'!Q45</f>
        <v>10641.07661222657</v>
      </c>
      <c r="O8" s="32">
        <f>'1a GA RPP'!R45</f>
        <v>10853.898144471101</v>
      </c>
      <c r="P8" s="32">
        <f>'1a GA RPP'!S45</f>
        <v>11070.976107360524</v>
      </c>
      <c r="Q8" s="32">
        <f>'1a GA RPP'!T45</f>
        <v>10195.580094452582</v>
      </c>
      <c r="R8" s="32">
        <f>'1a GA RPP'!U45</f>
        <v>10361.034228744915</v>
      </c>
      <c r="S8" s="32">
        <f>'1a GA RPP'!V45</f>
        <v>9779.1337214385749</v>
      </c>
      <c r="T8" s="32">
        <f>'1a GA RPP'!W45</f>
        <v>9297.5305310131989</v>
      </c>
      <c r="U8" s="32">
        <f>'1a GA RPP'!X45</f>
        <v>7203.4165907148326</v>
      </c>
      <c r="V8" s="32">
        <f>'1a GA RPP'!Y45</f>
        <v>6929.9399099140373</v>
      </c>
      <c r="W8" s="32">
        <f>'1a GA RPP'!Z45</f>
        <v>6669.6715040256604</v>
      </c>
      <c r="X8" s="32">
        <f>'1a GA RPP'!AA45</f>
        <v>6421.9734447054925</v>
      </c>
      <c r="Y8" s="32">
        <f>'1a GA RPP'!AB45</f>
        <v>6186.2386140349954</v>
      </c>
      <c r="Z8" s="32">
        <f>'1a GA RPP'!AC45</f>
        <v>5961.8892164508234</v>
      </c>
      <c r="AA8" s="32">
        <f>'1a GA RPP'!AD45</f>
        <v>5748.3753625446352</v>
      </c>
      <c r="AB8" s="32">
        <f>'1a GA RPP'!AE45</f>
        <v>5545.1737212620028</v>
      </c>
      <c r="AC8" s="32">
        <f>'1a GA RPP'!AF45</f>
        <v>5351.7862371969295</v>
      </c>
      <c r="AD8" s="32">
        <f>'1a GA RPP'!AG45</f>
        <v>5167.7389098379881</v>
      </c>
      <c r="AE8" s="32">
        <f>'1a GA RPP'!AH45</f>
        <v>4992.5806317739771</v>
      </c>
      <c r="AF8" s="32">
        <f>'1a GA RPP'!AI45</f>
        <v>4825.8820830114946</v>
      </c>
      <c r="AG8" s="32">
        <f>'1a GA RPP'!AJ45</f>
        <v>4667.2346786943363</v>
      </c>
      <c r="AH8" s="32">
        <f>'1a GA RPP'!AK45</f>
        <v>2975.1541685887391</v>
      </c>
      <c r="AI8" s="32">
        <f>'1a GA RPP'!AL45</f>
        <v>2831.4612802208057</v>
      </c>
      <c r="AJ8" s="32">
        <f>'1a GA RPP'!AM45</f>
        <v>2694.7084174775991</v>
      </c>
    </row>
    <row r="9" spans="1:36" x14ac:dyDescent="0.25">
      <c r="A9" s="105"/>
      <c r="B9" s="159" t="s">
        <v>246</v>
      </c>
      <c r="C9" s="32">
        <f>'1b GA Class B'!F45</f>
        <v>9265.4950155683764</v>
      </c>
      <c r="D9" s="32">
        <f>'1b GA Class B'!G45</f>
        <v>9070.4719017206899</v>
      </c>
      <c r="E9" s="32">
        <f>'1b GA Class B'!H45</f>
        <v>8867.7750194466953</v>
      </c>
      <c r="F9" s="32">
        <f>'1b GA Class B'!I45</f>
        <v>8381.7990048572246</v>
      </c>
      <c r="G9" s="32">
        <f>'1b GA Class B'!J45</f>
        <v>7862.6914761843082</v>
      </c>
      <c r="H9" s="32">
        <f>'1b GA Class B'!K45</f>
        <v>8019.9453057079945</v>
      </c>
      <c r="I9" s="32">
        <f>'1b GA Class B'!L45</f>
        <v>8180.3442118221528</v>
      </c>
      <c r="J9" s="32">
        <f>'1b GA Class B'!M45</f>
        <v>8343.9510960585958</v>
      </c>
      <c r="K9" s="32">
        <f>'1b GA Class B'!N45</f>
        <v>8510.8301179797691</v>
      </c>
      <c r="L9" s="32">
        <f>'1b GA Class B'!O45</f>
        <v>8681.0467203393637</v>
      </c>
      <c r="M9" s="32">
        <f>'1b GA Class B'!P45</f>
        <v>8854.6676547461502</v>
      </c>
      <c r="N9" s="32">
        <f>'1b GA Class B'!Q45</f>
        <v>9031.7610078410744</v>
      </c>
      <c r="O9" s="32">
        <f>'1b GA Class B'!R45</f>
        <v>9212.396227997895</v>
      </c>
      <c r="P9" s="32">
        <f>'1b GA Class B'!S45</f>
        <v>9396.6441525578539</v>
      </c>
      <c r="Q9" s="32">
        <f>'1b GA Class B'!T45</f>
        <v>9584.5770356090088</v>
      </c>
      <c r="R9" s="32">
        <f>'1b GA Class B'!U45</f>
        <v>9776.2685763211903</v>
      </c>
      <c r="S9" s="32">
        <f>'1b GA Class B'!V45</f>
        <v>9971.7939478476146</v>
      </c>
      <c r="T9" s="32">
        <f>'1b GA Class B'!W45</f>
        <v>10171.229826804567</v>
      </c>
      <c r="U9" s="32">
        <f>'1b GA Class B'!X45</f>
        <v>10374.654423340657</v>
      </c>
      <c r="V9" s="32">
        <f>'1b GA Class B'!Y45</f>
        <v>10582.14751180747</v>
      </c>
      <c r="W9" s="32">
        <f>'1b GA Class B'!Z45</f>
        <v>10643.031418726601</v>
      </c>
      <c r="X9" s="32">
        <f>'1b GA Class B'!AA45</f>
        <v>10395.333359406435</v>
      </c>
      <c r="Y9" s="32">
        <f>'1b GA Class B'!AB45</f>
        <v>10159.598528735936</v>
      </c>
      <c r="Z9" s="32">
        <f>'1b GA Class B'!AC45</f>
        <v>9935.2491311517661</v>
      </c>
      <c r="AA9" s="32">
        <f>'1b GA Class B'!AD45</f>
        <v>9721.7352772455779</v>
      </c>
      <c r="AB9" s="32">
        <f>'1b GA Class B'!AE45</f>
        <v>9518.5336359629455</v>
      </c>
      <c r="AC9" s="32">
        <f>'1b GA Class B'!AF45</f>
        <v>9325.1461518978722</v>
      </c>
      <c r="AD9" s="32">
        <f>'1b GA Class B'!AG45</f>
        <v>9141.0988245389308</v>
      </c>
      <c r="AE9" s="32">
        <f>'1b GA Class B'!AH45</f>
        <v>8965.9405464749198</v>
      </c>
      <c r="AF9" s="32">
        <f>'1b GA Class B'!AI45</f>
        <v>8799.2419977124373</v>
      </c>
      <c r="AG9" s="32">
        <f>'1b GA Class B'!AJ45</f>
        <v>8640.5945933952789</v>
      </c>
      <c r="AH9" s="32">
        <f>'1b GA Class B'!AK45</f>
        <v>2975.1541685887391</v>
      </c>
      <c r="AI9" s="32">
        <f>'1b GA Class B'!AL45</f>
        <v>2831.4612802208057</v>
      </c>
      <c r="AJ9" s="32">
        <f>'1b GA Class B'!AM45</f>
        <v>2694.7084174775991</v>
      </c>
    </row>
    <row r="10" spans="1:36" x14ac:dyDescent="0.25">
      <c r="A10" s="105"/>
      <c r="B10" s="159" t="s">
        <v>247</v>
      </c>
      <c r="C10" s="32">
        <f>'1c GA All'!F45</f>
        <v>8879.6030155683766</v>
      </c>
      <c r="D10" s="32">
        <f>'1c GA All'!G45</f>
        <v>8693.5343017206906</v>
      </c>
      <c r="E10" s="32">
        <f>'1c GA All'!H45</f>
        <v>8501.7300012648648</v>
      </c>
      <c r="F10" s="32">
        <f>'1c GA All'!I45</f>
        <v>7865.4405321299573</v>
      </c>
      <c r="G10" s="32">
        <f>'1c GA All'!J45</f>
        <v>7456.2100216388517</v>
      </c>
      <c r="H10" s="32">
        <f>'1c GA All'!K45</f>
        <v>7610.4616555378707</v>
      </c>
      <c r="I10" s="32">
        <f>'1c GA All'!L45</f>
        <v>7767.9043967811631</v>
      </c>
      <c r="J10" s="32">
        <f>'1c GA All'!M45</f>
        <v>7928.6042619536174</v>
      </c>
      <c r="K10" s="32">
        <f>'1c GA All'!N45</f>
        <v>8092.628633369628</v>
      </c>
      <c r="L10" s="32">
        <f>'1c GA All'!O45</f>
        <v>8260.0462873268698</v>
      </c>
      <c r="M10" s="32">
        <f>'1c GA All'!P45</f>
        <v>8430.9274229445637</v>
      </c>
      <c r="N10" s="32">
        <f>'1c GA All'!Q45</f>
        <v>8605.3436915983548</v>
      </c>
      <c r="O10" s="32">
        <f>'1c GA All'!R45</f>
        <v>8783.3682269640976</v>
      </c>
      <c r="P10" s="32">
        <f>'1c GA All'!S45</f>
        <v>8965.0756756832197</v>
      </c>
      <c r="Q10" s="32">
        <f>'1c GA All'!T45</f>
        <v>9150.5422286624398</v>
      </c>
      <c r="R10" s="32">
        <f>'1c GA All'!U45</f>
        <v>9339.8456530210424</v>
      </c>
      <c r="S10" s="32">
        <f>'1c GA All'!V45</f>
        <v>9533.065324699026</v>
      </c>
      <c r="T10" s="32">
        <f>'1c GA All'!W45</f>
        <v>9730.2822617398742</v>
      </c>
      <c r="U10" s="32">
        <f>'1c GA All'!X45</f>
        <v>9931.5791582618585</v>
      </c>
      <c r="V10" s="32">
        <f>'1c GA All'!Y45</f>
        <v>10137.040419132112</v>
      </c>
      <c r="W10" s="32">
        <f>'1c GA All'!Z45</f>
        <v>10346.752195358049</v>
      </c>
      <c r="X10" s="32">
        <f>'1c GA All'!AA45</f>
        <v>10560.80242021095</v>
      </c>
      <c r="Y10" s="32">
        <f>'1c GA All'!AB45</f>
        <v>10779.280846096837</v>
      </c>
      <c r="Z10" s="32">
        <f>'1c GA All'!AC45</f>
        <v>11002.279082190162</v>
      </c>
      <c r="AA10" s="32">
        <f>'1c GA All'!AD45</f>
        <v>11229.890632846002</v>
      </c>
      <c r="AB10" s="32">
        <f>'1c GA All'!AE45</f>
        <v>11462.210936806949</v>
      </c>
      <c r="AC10" s="32">
        <f>'1c GA All'!AF45</f>
        <v>11699.337407221075</v>
      </c>
      <c r="AD10" s="32">
        <f>'1c GA All'!AG45</f>
        <v>11941.369472487811</v>
      </c>
      <c r="AE10" s="32">
        <f>'1c GA All'!AH45</f>
        <v>12188.408617948769</v>
      </c>
      <c r="AF10" s="32">
        <f>'1c GA All'!AI45</f>
        <v>12440.558428441131</v>
      </c>
      <c r="AG10" s="32">
        <f>'1c GA All'!AJ45</f>
        <v>12697.92463173129</v>
      </c>
      <c r="AH10" s="32">
        <f>'1c GA All'!AK45</f>
        <v>2975.1541685887391</v>
      </c>
      <c r="AI10" s="32">
        <f>'1c GA All'!AL45</f>
        <v>2831.4612802208057</v>
      </c>
      <c r="AJ10" s="32">
        <f>'1c GA All'!AM45</f>
        <v>2694.7084174775991</v>
      </c>
    </row>
    <row r="11" spans="1:36" x14ac:dyDescent="0.25">
      <c r="A11" s="105"/>
      <c r="B11" s="159" t="s">
        <v>248</v>
      </c>
      <c r="C11" s="32">
        <f>'2a GA RPP'!F45</f>
        <v>9915.2248582350439</v>
      </c>
      <c r="D11" s="32">
        <f>'2a GA RPP'!G45</f>
        <v>9676.080715054024</v>
      </c>
      <c r="E11" s="32">
        <f>'2a GA RPP'!H45</f>
        <v>9426.7025447800224</v>
      </c>
      <c r="F11" s="32">
        <f>'2a GA RPP'!I45</f>
        <v>9444.8185781905613</v>
      </c>
      <c r="G11" s="32">
        <f>'2a GA RPP'!J45</f>
        <v>8532.1904255176378</v>
      </c>
      <c r="H11" s="32">
        <f>'2a GA RPP'!K45</f>
        <v>8702.8342340279905</v>
      </c>
      <c r="I11" s="32">
        <f>'2a GA RPP'!L45</f>
        <v>8876.8909187085483</v>
      </c>
      <c r="J11" s="32">
        <f>'2a GA RPP'!M45</f>
        <v>9054.4287370827205</v>
      </c>
      <c r="K11" s="32">
        <f>'2a GA RPP'!N45</f>
        <v>9235.5173118243747</v>
      </c>
      <c r="L11" s="32">
        <f>'2a GA RPP'!O45</f>
        <v>9420.2276580608632</v>
      </c>
      <c r="M11" s="32">
        <f>'2a GA RPP'!P45</f>
        <v>9608.6322112220787</v>
      </c>
      <c r="N11" s="32">
        <f>'2a GA RPP'!Q45</f>
        <v>9800.8048554465222</v>
      </c>
      <c r="O11" s="32">
        <f>'2a GA RPP'!R45</f>
        <v>9996.8209525554503</v>
      </c>
      <c r="P11" s="32">
        <f>'2a GA RPP'!S45</f>
        <v>10196.757371606562</v>
      </c>
      <c r="Q11" s="32">
        <f>'2a GA RPP'!T45</f>
        <v>10400.69251903869</v>
      </c>
      <c r="R11" s="32">
        <f>'2a GA RPP'!U45</f>
        <v>10608.706369419466</v>
      </c>
      <c r="S11" s="32">
        <f>'2a GA RPP'!V45</f>
        <v>10820.880496807855</v>
      </c>
      <c r="T11" s="32">
        <f>'2a GA RPP'!W45</f>
        <v>10915.98225497961</v>
      </c>
      <c r="U11" s="32">
        <f>'2a GA RPP'!X45</f>
        <v>8821.8683146812436</v>
      </c>
      <c r="V11" s="32">
        <f>'2a GA RPP'!Y45</f>
        <v>8548.3916338804484</v>
      </c>
      <c r="W11" s="32">
        <f>'2a GA RPP'!Z45</f>
        <v>8288.1232279920714</v>
      </c>
      <c r="X11" s="32">
        <f>'2a GA RPP'!AA45</f>
        <v>8040.4251686719035</v>
      </c>
      <c r="Y11" s="32">
        <f>'2a GA RPP'!AB45</f>
        <v>7804.6903380014064</v>
      </c>
      <c r="Z11" s="32">
        <f>'2a GA RPP'!AC45</f>
        <v>7580.3409404172344</v>
      </c>
      <c r="AA11" s="32">
        <f>'2a GA RPP'!AD45</f>
        <v>7366.8270865110462</v>
      </c>
      <c r="AB11" s="32">
        <f>'2a GA RPP'!AE45</f>
        <v>7163.6254452284138</v>
      </c>
      <c r="AC11" s="32">
        <f>'2a GA RPP'!AF45</f>
        <v>6970.2379611633405</v>
      </c>
      <c r="AD11" s="32">
        <f>'2a GA RPP'!AG45</f>
        <v>6786.1906338043991</v>
      </c>
      <c r="AE11" s="32">
        <f>'2a GA RPP'!AH45</f>
        <v>6611.0323557403881</v>
      </c>
      <c r="AF11" s="32">
        <f>'2a GA RPP'!AI45</f>
        <v>6444.3338069779056</v>
      </c>
      <c r="AG11" s="32">
        <f>'2a GA RPP'!AJ45</f>
        <v>6285.6864026607473</v>
      </c>
      <c r="AH11" s="32">
        <f>'2a GA RPP'!AK45</f>
        <v>2975.1541685887391</v>
      </c>
      <c r="AI11" s="32">
        <f>'2a GA RPP'!AL45</f>
        <v>2831.4612802208057</v>
      </c>
      <c r="AJ11" s="32">
        <f>'2a GA RPP'!AM45</f>
        <v>2694.7084174775991</v>
      </c>
    </row>
    <row r="12" spans="1:36" x14ac:dyDescent="0.25">
      <c r="A12" s="105"/>
      <c r="B12" s="159" t="s">
        <v>249</v>
      </c>
      <c r="C12" s="32">
        <f>'2b GA Class B'!F45</f>
        <v>7981.8888822350445</v>
      </c>
      <c r="D12" s="32">
        <f>'2b GA Class B'!G45</f>
        <v>7761.8503017206913</v>
      </c>
      <c r="E12" s="32">
        <f>'2b GA Class B'!H45</f>
        <v>7541.9115527800241</v>
      </c>
      <c r="F12" s="32">
        <f>'2b GA Class B'!I45</f>
        <v>7029.542471523896</v>
      </c>
      <c r="G12" s="32">
        <f>'2b GA Class B'!J45</f>
        <v>6482.4893428509704</v>
      </c>
      <c r="H12" s="32">
        <f>'2b GA Class B'!K45</f>
        <v>6713.0164034535683</v>
      </c>
      <c r="I12" s="32">
        <f>'2b GA Class B'!L45</f>
        <v>6951.7413526849641</v>
      </c>
      <c r="J12" s="32">
        <f>'2b GA Class B'!M45</f>
        <v>7198.9557197816621</v>
      </c>
      <c r="K12" s="32">
        <f>'2b GA Class B'!N45</f>
        <v>7454.9614011978165</v>
      </c>
      <c r="L12" s="32">
        <f>'2b GA Class B'!O45</f>
        <v>7720.0710292790773</v>
      </c>
      <c r="M12" s="32">
        <f>'2b GA Class B'!P45</f>
        <v>7994.6083540470145</v>
      </c>
      <c r="N12" s="32">
        <f>'2b GA Class B'!Q45</f>
        <v>8278.908638560386</v>
      </c>
      <c r="O12" s="32">
        <f>'2b GA Class B'!R45</f>
        <v>8573.3190683360299</v>
      </c>
      <c r="P12" s="32">
        <f>'2b GA Class B'!S45</f>
        <v>8878.1991753293878</v>
      </c>
      <c r="Q12" s="32">
        <f>'2b GA Class B'!T45</f>
        <v>9193.9212769924125</v>
      </c>
      <c r="R12" s="32">
        <f>'2b GA Class B'!U45</f>
        <v>9520.8709309450442</v>
      </c>
      <c r="S12" s="32">
        <f>'2b GA Class B'!V45</f>
        <v>9859.4474058154556</v>
      </c>
      <c r="T12" s="32">
        <f>'2b GA Class B'!W45</f>
        <v>10210.064168824112</v>
      </c>
      <c r="U12" s="32">
        <f>'2b GA Class B'!X45</f>
        <v>10573.149390707065</v>
      </c>
      <c r="V12" s="32">
        <f>'2b GA Class B'!Y45</f>
        <v>10949.146468595032</v>
      </c>
      <c r="W12" s="32">
        <f>'2b GA Class B'!Z45</f>
        <v>11338.514567486876</v>
      </c>
      <c r="X12" s="32">
        <f>'2b GA Class B'!AA45</f>
        <v>11741.729180978695</v>
      </c>
      <c r="Y12" s="32">
        <f>'2b GA Class B'!AB45</f>
        <v>12159.282711933256</v>
      </c>
      <c r="Z12" s="32">
        <f>'2b GA Class B'!AC45</f>
        <v>12591.68507379895</v>
      </c>
      <c r="AA12" s="32">
        <f>'2b GA Class B'!AD45</f>
        <v>13039.464313312496</v>
      </c>
      <c r="AB12" s="32">
        <f>'2b GA Class B'!AE45</f>
        <v>13503.167255345934</v>
      </c>
      <c r="AC12" s="32">
        <f>'2b GA Class B'!AF45</f>
        <v>13983.360170685322</v>
      </c>
      <c r="AD12" s="32">
        <f>'2b GA Class B'!AG45</f>
        <v>14480.629467556677</v>
      </c>
      <c r="AE12" s="32">
        <f>'2b GA Class B'!AH45</f>
        <v>14995.58240774355</v>
      </c>
      <c r="AF12" s="32">
        <f>'2b GA Class B'!AI45</f>
        <v>15528.847848170917</v>
      </c>
      <c r="AG12" s="32">
        <f>'2b GA Class B'!AJ45</f>
        <v>16081.077008860811</v>
      </c>
      <c r="AH12" s="32">
        <f>'2b GA Class B'!AK45</f>
        <v>2975.1541685887391</v>
      </c>
      <c r="AI12" s="32">
        <f>'2b GA Class B'!AL45</f>
        <v>2831.4612802208057</v>
      </c>
      <c r="AJ12" s="32">
        <f>'2b GA Class B'!AM45</f>
        <v>2694.7084174775991</v>
      </c>
    </row>
    <row r="13" spans="1:36" x14ac:dyDescent="0.25">
      <c r="A13" s="105"/>
      <c r="B13" s="159" t="s">
        <v>250</v>
      </c>
      <c r="C13" s="32">
        <f>'4a GA RPP'!F45</f>
        <v>9507.535290235046</v>
      </c>
      <c r="D13" s="32">
        <f>'4a GA RPP'!G45</f>
        <v>9259.276136387356</v>
      </c>
      <c r="E13" s="32">
        <f>'4a GA RPP'!H45</f>
        <v>9004.584256780021</v>
      </c>
      <c r="F13" s="32">
        <f>'4a GA RPP'!I45</f>
        <v>9014.4718635238987</v>
      </c>
      <c r="G13" s="32">
        <f>'4a GA RPP'!J45</f>
        <v>8093.6152841843068</v>
      </c>
      <c r="H13" s="32">
        <f>'4a GA RPP'!K45</f>
        <v>8255.4875898679929</v>
      </c>
      <c r="I13" s="32">
        <f>'4a GA RPP'!L45</f>
        <v>8420.5973416653524</v>
      </c>
      <c r="J13" s="32">
        <f>'4a GA RPP'!M45</f>
        <v>8589.0092884986589</v>
      </c>
      <c r="K13" s="32">
        <f>'4a GA RPP'!N45</f>
        <v>8760.7894742686331</v>
      </c>
      <c r="L13" s="32">
        <f>'4a GA RPP'!O45</f>
        <v>8936.0052637540066</v>
      </c>
      <c r="M13" s="32">
        <f>'4a GA RPP'!P45</f>
        <v>9114.7253690290836</v>
      </c>
      <c r="N13" s="32">
        <f>'4a GA RPP'!Q45</f>
        <v>9297.0198764096676</v>
      </c>
      <c r="O13" s="32">
        <f>'4a GA RPP'!R45</f>
        <v>9482.9602739378606</v>
      </c>
      <c r="P13" s="32">
        <f>'4a GA RPP'!S45</f>
        <v>9672.6194794166186</v>
      </c>
      <c r="Q13" s="32">
        <f>'4a GA RPP'!T45</f>
        <v>9866.0718690049489</v>
      </c>
      <c r="R13" s="32">
        <f>'4a GA RPP'!U45</f>
        <v>10063.393306385049</v>
      </c>
      <c r="S13" s="32">
        <f>'4a GA RPP'!V45</f>
        <v>10264.661172512751</v>
      </c>
      <c r="T13" s="32">
        <f>'4a GA RPP'!W45</f>
        <v>10469.954395963005</v>
      </c>
      <c r="U13" s="32">
        <f>'4a GA RPP'!X45</f>
        <v>10241.671509459398</v>
      </c>
      <c r="V13" s="32">
        <f>'4a GA RPP'!Y45</f>
        <v>9968.1948286586048</v>
      </c>
      <c r="W13" s="32">
        <f>'4a GA RPP'!Z45</f>
        <v>9707.9264227702261</v>
      </c>
      <c r="X13" s="32">
        <f>'4a GA RPP'!AA45</f>
        <v>9460.2283634500582</v>
      </c>
      <c r="Y13" s="32">
        <f>'4a GA RPP'!AB45</f>
        <v>9224.4935327795611</v>
      </c>
      <c r="Z13" s="32">
        <f>'4a GA RPP'!AC45</f>
        <v>9000.144135195389</v>
      </c>
      <c r="AA13" s="32">
        <f>'4a GA RPP'!AD45</f>
        <v>8786.6302812892009</v>
      </c>
      <c r="AB13" s="32">
        <f>'4a GA RPP'!AE45</f>
        <v>8583.4286400065685</v>
      </c>
      <c r="AC13" s="32">
        <f>'4a GA RPP'!AF45</f>
        <v>8390.0411559414952</v>
      </c>
      <c r="AD13" s="32">
        <f>'4a GA RPP'!AG45</f>
        <v>8205.9938285825556</v>
      </c>
      <c r="AE13" s="32">
        <f>'4a GA RPP'!AH45</f>
        <v>8030.8355505185436</v>
      </c>
      <c r="AF13" s="32">
        <f>'4a GA RPP'!AI45</f>
        <v>7864.1370017560603</v>
      </c>
      <c r="AG13" s="32">
        <f>'4a GA RPP'!AJ45</f>
        <v>7705.4895974389028</v>
      </c>
      <c r="AH13" s="32">
        <f>'4a GA RPP'!AK45</f>
        <v>2975.1541685887391</v>
      </c>
      <c r="AI13" s="32">
        <f>'4a GA RPP'!AL45</f>
        <v>2831.4612802208057</v>
      </c>
      <c r="AJ13" s="32">
        <f>'4a GA RPP'!AM45</f>
        <v>2694.7084174775991</v>
      </c>
    </row>
    <row r="14" spans="1:36" x14ac:dyDescent="0.25">
      <c r="A14" s="105"/>
      <c r="B14" s="159" t="s">
        <v>251</v>
      </c>
      <c r="C14" s="156">
        <f>'4b GA Class B'!F45</f>
        <v>7212.6632822350466</v>
      </c>
      <c r="D14" s="156">
        <f>'4b GA Class B'!G45</f>
        <v>6975.4265683873537</v>
      </c>
      <c r="E14" s="156">
        <f>'4b GA Class B'!H45</f>
        <v>6745.4619527800232</v>
      </c>
      <c r="F14" s="156">
        <f>'4b GA Class B'!I45</f>
        <v>6217.5675381905648</v>
      </c>
      <c r="G14" s="156">
        <f>'4b GA Class B'!J45</f>
        <v>5654.9890761843071</v>
      </c>
      <c r="H14" s="156">
        <f>'4b GA Class B'!K45</f>
        <v>5932.0875509816469</v>
      </c>
      <c r="I14" s="156">
        <f>'4b GA Class B'!L45</f>
        <v>6222.7640475400494</v>
      </c>
      <c r="J14" s="156">
        <f>'4b GA Class B'!M45</f>
        <v>6527.6838985542536</v>
      </c>
      <c r="K14" s="156">
        <f>'4b GA Class B'!N45</f>
        <v>6847.5450384928354</v>
      </c>
      <c r="L14" s="156">
        <f>'4b GA Class B'!O45</f>
        <v>7183.0796011082512</v>
      </c>
      <c r="M14" s="156">
        <f>'4b GA Class B'!P45</f>
        <v>7535.0555952259983</v>
      </c>
      <c r="N14" s="156">
        <f>'4b GA Class B'!Q45</f>
        <v>7904.2786626486395</v>
      </c>
      <c r="O14" s="156">
        <f>'4b GA Class B'!R45</f>
        <v>8291.5939221983481</v>
      </c>
      <c r="P14" s="156">
        <f>'4b GA Class B'!S45</f>
        <v>8697.8879041188848</v>
      </c>
      <c r="Q14" s="156">
        <f>'4b GA Class B'!T45</f>
        <v>9124.0905792646008</v>
      </c>
      <c r="R14" s="156">
        <f>'4b GA Class B'!U45</f>
        <v>9571.1774877211883</v>
      </c>
      <c r="S14" s="156">
        <f>'4b GA Class B'!V45</f>
        <v>10040.171971730293</v>
      </c>
      <c r="T14" s="156">
        <f>'4b GA Class B'!W45</f>
        <v>10532.147518029082</v>
      </c>
      <c r="U14" s="156">
        <f>'4b GA Class B'!X45</f>
        <v>11048.230214966077</v>
      </c>
      <c r="V14" s="156">
        <f>'4b GA Class B'!Y45</f>
        <v>11589.601330017409</v>
      </c>
      <c r="W14" s="156">
        <f>'4b GA Class B'!Z45</f>
        <v>12157.50001360319</v>
      </c>
      <c r="X14" s="156">
        <f>'4b GA Class B'!AA45</f>
        <v>12753.226135392835</v>
      </c>
      <c r="Y14" s="156">
        <f>'4b GA Class B'!AB45</f>
        <v>13378.143259591316</v>
      </c>
      <c r="Z14" s="156">
        <f>'4b GA Class B'!AC45</f>
        <v>14033.681766016585</v>
      </c>
      <c r="AA14" s="156">
        <f>'4b GA Class B'!AD45</f>
        <v>14721.342124111978</v>
      </c>
      <c r="AB14" s="156">
        <f>'4b GA Class B'!AE45</f>
        <v>15442.69832738757</v>
      </c>
      <c r="AC14" s="156">
        <f>'4b GA Class B'!AF45</f>
        <v>16199.401496151577</v>
      </c>
      <c r="AD14" s="156">
        <f>'4b GA Class B'!AG45</f>
        <v>16993.183656778172</v>
      </c>
      <c r="AE14" s="156">
        <f>'4b GA Class B'!AH45</f>
        <v>17825.861706162053</v>
      </c>
      <c r="AF14" s="156">
        <f>'4b GA Class B'!AI45</f>
        <v>18699.341570434179</v>
      </c>
      <c r="AG14" s="156">
        <f>'4b GA Class B'!AJ45</f>
        <v>19615.622567457438</v>
      </c>
      <c r="AH14" s="156">
        <f>'4b GA Class B'!AK45</f>
        <v>2975.1541685887391</v>
      </c>
      <c r="AI14" s="156">
        <f>'4b GA Class B'!AL45</f>
        <v>2831.4612802208057</v>
      </c>
      <c r="AJ14" s="156">
        <f>'4b GA Class B'!AM45</f>
        <v>2694.7084174775991</v>
      </c>
    </row>
    <row r="15" spans="1:36" x14ac:dyDescent="0.25">
      <c r="A15" s="105"/>
      <c r="B15" s="159" t="s">
        <v>252</v>
      </c>
      <c r="C15" s="32">
        <f>'4c GA All'!F45</f>
        <v>6546.8396822350533</v>
      </c>
      <c r="D15" s="32">
        <f>'4c GA All'!G45</f>
        <v>6312.8009683873515</v>
      </c>
      <c r="E15" s="32">
        <f>'4c GA All'!H45</f>
        <v>6090.0106073254692</v>
      </c>
      <c r="F15" s="32">
        <f>'4c GA All'!I45</f>
        <v>5406.0865927360192</v>
      </c>
      <c r="G15" s="32">
        <f>'4c GA All'!J45</f>
        <v>4947.4572943661233</v>
      </c>
      <c r="H15" s="32">
        <f>'4c GA All'!K45</f>
        <v>5250.9270134839544</v>
      </c>
      <c r="I15" s="32">
        <f>'4c GA All'!L45</f>
        <v>5573.0111167069936</v>
      </c>
      <c r="J15" s="32">
        <f>'4c GA All'!M45</f>
        <v>5914.8513828480491</v>
      </c>
      <c r="K15" s="32">
        <f>'4c GA All'!N45</f>
        <v>6277.6596257449864</v>
      </c>
      <c r="L15" s="32">
        <f>'4c GA All'!O45</f>
        <v>6662.7219901056787</v>
      </c>
      <c r="M15" s="32">
        <f>'4c GA All'!P45</f>
        <v>7071.4035108537246</v>
      </c>
      <c r="N15" s="32">
        <f>'4c GA All'!Q45</f>
        <v>7505.1529521376988</v>
      </c>
      <c r="O15" s="32">
        <f>'4c GA All'!R45</f>
        <v>7965.507943158068</v>
      </c>
      <c r="P15" s="32">
        <f>'4c GA All'!S45</f>
        <v>8454.10042901817</v>
      </c>
      <c r="Q15" s="32">
        <f>'4c GA All'!T45</f>
        <v>8972.6624559222873</v>
      </c>
      <c r="R15" s="32">
        <f>'4c GA All'!U45</f>
        <v>9523.0323112292881</v>
      </c>
      <c r="S15" s="32">
        <f>'4c GA All'!V45</f>
        <v>10107.161040128009</v>
      </c>
      <c r="T15" s="32">
        <f>'4c GA All'!W45</f>
        <v>10727.119362035928</v>
      </c>
      <c r="U15" s="32">
        <f>'4c GA All'!X45</f>
        <v>11385.105011239508</v>
      </c>
      <c r="V15" s="32">
        <f>'4c GA All'!Y45</f>
        <v>12083.450527798541</v>
      </c>
      <c r="W15" s="32">
        <f>'4c GA All'!Z45</f>
        <v>12824.631526333071</v>
      </c>
      <c r="X15" s="32">
        <f>'4c GA All'!AA45</f>
        <v>13611.275472005493</v>
      </c>
      <c r="Y15" s="32">
        <f>'4c GA All'!AB45</f>
        <v>14446.170994808412</v>
      </c>
      <c r="Z15" s="32">
        <f>'4c GA All'!AC45</f>
        <v>15332.277775177163</v>
      </c>
      <c r="AA15" s="32">
        <f>'4c GA All'!AD45</f>
        <v>16272.737035971188</v>
      </c>
      <c r="AB15" s="32">
        <f>'4c GA All'!AE45</f>
        <v>17270.88267801805</v>
      </c>
      <c r="AC15" s="32">
        <f>'4c GA All'!AF45</f>
        <v>18330.253098695252</v>
      </c>
      <c r="AD15" s="32">
        <f>'4c GA All'!AG45</f>
        <v>19454.603735446432</v>
      </c>
      <c r="AE15" s="32">
        <f>'4c GA All'!AH45</f>
        <v>20647.920378698233</v>
      </c>
      <c r="AF15" s="32">
        <f>'4c GA All'!AI45</f>
        <v>21914.433301371919</v>
      </c>
      <c r="AG15" s="32">
        <f>'4c GA All'!AJ45</f>
        <v>23258.632255078261</v>
      </c>
      <c r="AH15" s="32">
        <f>'4c GA All'!AK45</f>
        <v>2975.1541685887391</v>
      </c>
      <c r="AI15" s="32">
        <f>'4c GA All'!AL45</f>
        <v>2831.4612802208057</v>
      </c>
      <c r="AJ15" s="32">
        <f>'4c GA All'!AM45</f>
        <v>2694.7084174775991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BT57"/>
  <sheetViews>
    <sheetView zoomScale="85" zoomScaleNormal="85" workbookViewId="0">
      <selection activeCell="I15" sqref="I15"/>
    </sheetView>
  </sheetViews>
  <sheetFormatPr defaultRowHeight="15" x14ac:dyDescent="0.25"/>
  <cols>
    <col min="1" max="1" width="16.5703125" bestFit="1" customWidth="1"/>
    <col min="2" max="2" width="57.140625" customWidth="1"/>
    <col min="3" max="3" width="31" customWidth="1"/>
    <col min="4" max="4" width="12" bestFit="1" customWidth="1"/>
    <col min="5" max="5" width="12.42578125" bestFit="1" customWidth="1"/>
    <col min="6" max="6" width="29" customWidth="1"/>
    <col min="9" max="9" width="33.140625" bestFit="1" customWidth="1"/>
    <col min="40" max="40" width="31.7109375" customWidth="1"/>
    <col min="41" max="52" width="5.28515625" bestFit="1" customWidth="1"/>
    <col min="53" max="71" width="4.7109375" bestFit="1" customWidth="1"/>
    <col min="72" max="72" width="4.28515625" customWidth="1"/>
  </cols>
  <sheetData>
    <row r="1" spans="1:72" x14ac:dyDescent="0.25">
      <c r="A1" s="54"/>
      <c r="B1" s="46"/>
      <c r="I1" t="s">
        <v>232</v>
      </c>
      <c r="J1">
        <v>3</v>
      </c>
      <c r="L1" t="s">
        <v>233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-1377.3696822350448</v>
      </c>
      <c r="G3" s="123"/>
      <c r="H3" s="123"/>
      <c r="I3" s="105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53"/>
      <c r="AO3" s="154">
        <v>2017</v>
      </c>
      <c r="AP3" s="154">
        <v>2018</v>
      </c>
      <c r="AQ3" s="154">
        <v>2019</v>
      </c>
      <c r="AR3" s="154">
        <v>2020</v>
      </c>
      <c r="AS3" s="154">
        <v>2021</v>
      </c>
      <c r="AT3" s="154">
        <v>2022</v>
      </c>
      <c r="AU3" s="154">
        <v>2023</v>
      </c>
      <c r="AV3" s="154">
        <v>2024</v>
      </c>
      <c r="AW3" s="154">
        <v>2025</v>
      </c>
      <c r="AX3" s="154">
        <v>2026</v>
      </c>
      <c r="AY3" s="154">
        <v>2027</v>
      </c>
      <c r="AZ3" s="154">
        <v>2028</v>
      </c>
      <c r="BA3" s="154">
        <v>2029</v>
      </c>
      <c r="BB3" s="154">
        <v>2030</v>
      </c>
      <c r="BC3" s="154">
        <v>2031</v>
      </c>
      <c r="BD3" s="154">
        <v>2032</v>
      </c>
      <c r="BE3" s="154">
        <v>2033</v>
      </c>
      <c r="BF3" s="154">
        <v>2034</v>
      </c>
      <c r="BG3" s="154">
        <v>2035</v>
      </c>
      <c r="BH3" s="154">
        <v>2036</v>
      </c>
      <c r="BI3" s="154">
        <v>2037</v>
      </c>
      <c r="BJ3" s="154">
        <v>2038</v>
      </c>
      <c r="BK3" s="154">
        <v>2039</v>
      </c>
      <c r="BL3" s="154">
        <v>2040</v>
      </c>
      <c r="BM3" s="154">
        <v>2041</v>
      </c>
      <c r="BN3" s="154">
        <v>2042</v>
      </c>
      <c r="BO3" s="154">
        <v>2043</v>
      </c>
      <c r="BP3" s="154">
        <v>2044</v>
      </c>
      <c r="BQ3" s="154">
        <v>2045</v>
      </c>
      <c r="BR3" s="154">
        <v>2046</v>
      </c>
      <c r="BS3" s="154">
        <v>2047</v>
      </c>
      <c r="BT3" s="154">
        <v>2048</v>
      </c>
    </row>
    <row r="4" spans="1:72" ht="30" x14ac:dyDescent="0.25">
      <c r="C4" s="124"/>
      <c r="D4" s="32"/>
      <c r="I4" s="105" t="s">
        <v>237</v>
      </c>
      <c r="J4" s="166">
        <v>-13.025</v>
      </c>
      <c r="K4" s="59">
        <f>'Impact Model'!F5</f>
        <v>-12.233699999999988</v>
      </c>
      <c r="L4" s="59">
        <f>'Impact Model'!G5</f>
        <v>-12.387373999999975</v>
      </c>
      <c r="M4" s="59">
        <f>'Impact Model'!H5</f>
        <v>-19.474921479999942</v>
      </c>
      <c r="N4" s="59">
        <f>'Impact Model'!I5</f>
        <v>-13.515219909599933</v>
      </c>
      <c r="AN4" s="130" t="s">
        <v>221</v>
      </c>
      <c r="AO4" s="152">
        <f ca="1">Summary!F55/1.13</f>
        <v>-13.025000000000011</v>
      </c>
      <c r="AP4" s="152">
        <f ca="1">Summary!G55/1.13</f>
        <v>-12.233700000000008</v>
      </c>
      <c r="AQ4" s="152">
        <f ca="1">Summary!H55/1.13</f>
        <v>-12.387373999999971</v>
      </c>
      <c r="AR4" s="152">
        <f ca="1">Summary!I55/1.13</f>
        <v>-19.474921479999935</v>
      </c>
      <c r="AS4" s="152">
        <f ca="1">Summary!J55/1.13</f>
        <v>-13.515219909599921</v>
      </c>
      <c r="AT4" s="152">
        <f ca="1">Summary!K55/1.13</f>
        <v>-11.366353802624362</v>
      </c>
      <c r="AU4" s="152">
        <f ca="1">Summary!L55/1.13</f>
        <v>-8.1765392807664892</v>
      </c>
      <c r="AV4" s="152">
        <f ca="1">Summary!M55/1.13</f>
        <v>-12.19338540801918</v>
      </c>
      <c r="AW4" s="152">
        <f ca="1">Summary!N55/1.13</f>
        <v>-7.7686013805782652</v>
      </c>
      <c r="AX4" s="152">
        <f ca="1">Summary!O55/1.13</f>
        <v>-3.9599415240311973</v>
      </c>
      <c r="AY4" s="152">
        <f ca="1">Summary!P55/1.13</f>
        <v>-8.5956171027800821</v>
      </c>
      <c r="AZ4" s="152">
        <f ca="1">Summary!Q55/1.13</f>
        <v>-6.2474479329940067</v>
      </c>
      <c r="BA4" s="152">
        <f ca="1">Summary!R55/1.13</f>
        <v>-0.55240639617680354</v>
      </c>
      <c r="BB4" s="152">
        <f ca="1">Summary!S55/1.13</f>
        <v>2.1839824085748005</v>
      </c>
      <c r="BC4" s="152">
        <f ca="1">Summary!T55/1.13</f>
        <v>9.3273741347354306</v>
      </c>
      <c r="BD4" s="152">
        <f ca="1">Summary!U55/1.13</f>
        <v>9.490531150119768</v>
      </c>
      <c r="BE4" s="152">
        <f ca="1">Summary!V55/1.13</f>
        <v>13.822811471356875</v>
      </c>
      <c r="BF4" s="152">
        <f ca="1">Summary!W55/1.13</f>
        <v>17.566013541257984</v>
      </c>
      <c r="BG4" s="152">
        <f ca="1">Summary!X55/1.13</f>
        <v>19.167474120377392</v>
      </c>
      <c r="BH4" s="152">
        <f ca="1">Summary!Y55/1.13</f>
        <v>19.088020555721744</v>
      </c>
      <c r="BI4" s="152">
        <f ca="1">Summary!Z55/1.13</f>
        <v>19.008896344266041</v>
      </c>
      <c r="BJ4" s="152">
        <f ca="1">Summary!AA55/1.13</f>
        <v>18.930100120765946</v>
      </c>
      <c r="BK4" s="152">
        <f ca="1">Summary!AB55/1.13</f>
        <v>18.851630525636342</v>
      </c>
      <c r="BL4" s="152">
        <f ca="1">Summary!AC55/1.13</f>
        <v>18.773486204927909</v>
      </c>
      <c r="BM4" s="152">
        <f ca="1">Summary!AD55/1.13</f>
        <v>18.695665810303812</v>
      </c>
      <c r="BN4" s="152">
        <f ca="1">Summary!AE55/1.13</f>
        <v>18.618167999016279</v>
      </c>
      <c r="BO4" s="152">
        <f ca="1">Summary!AF55/1.13</f>
        <v>18.540991433883644</v>
      </c>
      <c r="BP4" s="152">
        <f ca="1">Summary!AG55/1.13</f>
        <v>18.464134783267077</v>
      </c>
      <c r="BQ4" s="152">
        <f ca="1">Summary!AH55/1.13</f>
        <v>18.387596721047743</v>
      </c>
      <c r="BR4" s="152">
        <f ca="1">Summary!AI55/1.13</f>
        <v>18.311375926603848</v>
      </c>
      <c r="BS4" s="152">
        <f ca="1">Summary!AJ55/1.13</f>
        <v>18.235471084787921</v>
      </c>
      <c r="BT4" s="152">
        <f ca="1">Summary!AK55/1.13</f>
        <v>0</v>
      </c>
    </row>
    <row r="5" spans="1:72" x14ac:dyDescent="0.25">
      <c r="B5" s="25"/>
      <c r="C5" s="45" t="s">
        <v>209</v>
      </c>
      <c r="I5" s="148"/>
      <c r="J5" s="146"/>
      <c r="K5" s="121"/>
      <c r="L5" s="54"/>
      <c r="M5" s="105"/>
      <c r="N5" s="105"/>
      <c r="AN5" s="130" t="s">
        <v>213</v>
      </c>
      <c r="AO5" s="152">
        <f>Summary!F46/1000</f>
        <v>2.3141083333333352</v>
      </c>
      <c r="AP5" s="152">
        <f>Summary!G46/1000</f>
        <v>4.6060188156666682</v>
      </c>
      <c r="AQ5" s="152">
        <f>Summary!H46/1000</f>
        <v>7.0270958118519289</v>
      </c>
      <c r="AR5" s="152">
        <f>Summary!I46/1000</f>
        <v>10.822450301966869</v>
      </c>
      <c r="AS5" s="152">
        <f>Summary!J46/1000</f>
        <v>13.760539293163701</v>
      </c>
      <c r="AT5" s="152">
        <f>Summary!K46/1000</f>
        <v>16.469828842155867</v>
      </c>
      <c r="AU5" s="152">
        <f>Summary!L46/1000</f>
        <v>18.754965033981854</v>
      </c>
      <c r="AV5" s="152">
        <f>Summary!M46/1000</f>
        <v>21.865677828316961</v>
      </c>
      <c r="AW5" s="152">
        <f>Summary!N46/1000</f>
        <v>24.354895519278099</v>
      </c>
      <c r="AX5" s="152">
        <f>Summary!O46/1000</f>
        <v>26.294601730117837</v>
      </c>
      <c r="AY5" s="152">
        <f>Summary!P46/1000</f>
        <v>29.156308790157507</v>
      </c>
      <c r="AZ5" s="152">
        <f>Summary!Q46/1000</f>
        <v>31.750146816525334</v>
      </c>
      <c r="BA5" s="152">
        <f>Summary!R46/1000</f>
        <v>33.471942207614568</v>
      </c>
      <c r="BB5" s="152">
        <f>Summary!S46/1000</f>
        <v>34.796345896366006</v>
      </c>
      <c r="BC5" s="152">
        <f>Summary!T46/1000</f>
        <v>34.919363481152764</v>
      </c>
      <c r="BD5" s="152">
        <f>Summary!U46/1000</f>
        <v>35.007895816536205</v>
      </c>
      <c r="BE5" s="152">
        <f>Summary!V46/1000</f>
        <v>34.308699336291511</v>
      </c>
      <c r="BF5" s="152">
        <f>Summary!W46/1000</f>
        <v>32.87756399864012</v>
      </c>
      <c r="BG5" s="152">
        <f>Summary!X46/1000</f>
        <v>31.035088264857521</v>
      </c>
      <c r="BH5" s="152">
        <f>Summary!Y46/1000</f>
        <v>29.098351472534603</v>
      </c>
      <c r="BI5" s="152">
        <f>Summary!Z46/1000</f>
        <v>27.062531225916445</v>
      </c>
      <c r="BJ5" s="152">
        <f>Summary!AA46/1000</f>
        <v>24.922558415481305</v>
      </c>
      <c r="BK5" s="152">
        <f>Summary!AB46/1000</f>
        <v>22.673104596064299</v>
      </c>
      <c r="BL5" s="152">
        <f>Summary!AC46/1000</f>
        <v>20.308568719245919</v>
      </c>
      <c r="BM5" s="152">
        <f>Summary!AD46/1000</f>
        <v>17.823063186969513</v>
      </c>
      <c r="BN5" s="152">
        <f>Summary!AE46/1000</f>
        <v>15.210399191661846</v>
      </c>
      <c r="BO5" s="152">
        <f>Summary!AF46/1000</f>
        <v>12.464071306354239</v>
      </c>
      <c r="BP5" s="152">
        <f>Summary!AG46/1000</f>
        <v>9.5772412864342922</v>
      </c>
      <c r="BQ5" s="152">
        <f>Summary!AH46/1000</f>
        <v>6.5427210426952396</v>
      </c>
      <c r="BR5" s="152">
        <f>Summary!AI46/1000</f>
        <v>3.3529547432864986</v>
      </c>
      <c r="BS5" s="152">
        <f>Summary!AJ46/1000</f>
        <v>5.002220859751105E-15</v>
      </c>
      <c r="BT5" s="152">
        <f>Summary!AK46/1000</f>
        <v>0</v>
      </c>
    </row>
    <row r="6" spans="1:72" s="105" customFormat="1" ht="30" x14ac:dyDescent="0.25">
      <c r="B6" s="24" t="s">
        <v>210</v>
      </c>
      <c r="C6" s="128">
        <v>-27.02</v>
      </c>
      <c r="I6" s="145"/>
      <c r="J6" s="146"/>
      <c r="K6" s="55"/>
      <c r="L6" s="55"/>
      <c r="AN6" s="130" t="s">
        <v>214</v>
      </c>
      <c r="AO6" s="152">
        <f>AO5</f>
        <v>2.3141083333333352</v>
      </c>
      <c r="AP6" s="152">
        <f t="shared" ref="AP6:BT6" si="0">AP5-AO5</f>
        <v>2.2919104823333329</v>
      </c>
      <c r="AQ6" s="152">
        <f t="shared" si="0"/>
        <v>2.4210769961852607</v>
      </c>
      <c r="AR6" s="152">
        <f t="shared" si="0"/>
        <v>3.7953544901149403</v>
      </c>
      <c r="AS6" s="152">
        <f t="shared" si="0"/>
        <v>2.9380889911968318</v>
      </c>
      <c r="AT6" s="152">
        <f t="shared" si="0"/>
        <v>2.7092895489921656</v>
      </c>
      <c r="AU6" s="152">
        <f t="shared" si="0"/>
        <v>2.2851361918259876</v>
      </c>
      <c r="AV6" s="152">
        <f t="shared" si="0"/>
        <v>3.1107127943351074</v>
      </c>
      <c r="AW6" s="152">
        <f t="shared" si="0"/>
        <v>2.4892176909611372</v>
      </c>
      <c r="AX6" s="152">
        <f t="shared" si="0"/>
        <v>1.9397062108397378</v>
      </c>
      <c r="AY6" s="152">
        <f t="shared" si="0"/>
        <v>2.8617070600396701</v>
      </c>
      <c r="AZ6" s="152">
        <f t="shared" si="0"/>
        <v>2.5938380263678269</v>
      </c>
      <c r="BA6" s="152">
        <f t="shared" si="0"/>
        <v>1.7217953910892341</v>
      </c>
      <c r="BB6" s="152">
        <f t="shared" si="0"/>
        <v>1.3244036887514383</v>
      </c>
      <c r="BC6" s="152">
        <f t="shared" si="0"/>
        <v>0.1230175847867585</v>
      </c>
      <c r="BD6" s="152">
        <f t="shared" si="0"/>
        <v>8.8532335383440852E-2</v>
      </c>
      <c r="BE6" s="152">
        <f t="shared" si="0"/>
        <v>-0.69919648024469438</v>
      </c>
      <c r="BF6" s="152">
        <f t="shared" si="0"/>
        <v>-1.4311353376513907</v>
      </c>
      <c r="BG6" s="152">
        <f t="shared" si="0"/>
        <v>-1.8424757337825994</v>
      </c>
      <c r="BH6" s="152">
        <f t="shared" si="0"/>
        <v>-1.9367367923229182</v>
      </c>
      <c r="BI6" s="152">
        <f t="shared" si="0"/>
        <v>-2.0358202466181581</v>
      </c>
      <c r="BJ6" s="152">
        <f t="shared" si="0"/>
        <v>-2.1399728104351396</v>
      </c>
      <c r="BK6" s="152">
        <f t="shared" si="0"/>
        <v>-2.2494538194170062</v>
      </c>
      <c r="BL6" s="152">
        <f t="shared" si="0"/>
        <v>-2.3645358768183797</v>
      </c>
      <c r="BM6" s="152">
        <f t="shared" si="0"/>
        <v>-2.4855055322764059</v>
      </c>
      <c r="BN6" s="152">
        <f t="shared" si="0"/>
        <v>-2.6126639953076669</v>
      </c>
      <c r="BO6" s="152">
        <f t="shared" si="0"/>
        <v>-2.7463278853076076</v>
      </c>
      <c r="BP6" s="152">
        <f t="shared" si="0"/>
        <v>-2.8868300199199464</v>
      </c>
      <c r="BQ6" s="152">
        <f t="shared" si="0"/>
        <v>-3.0345202437390526</v>
      </c>
      <c r="BR6" s="152">
        <f t="shared" si="0"/>
        <v>-3.189766299408741</v>
      </c>
      <c r="BS6" s="152">
        <f t="shared" si="0"/>
        <v>-3.3529547432864937</v>
      </c>
      <c r="BT6" s="152">
        <f t="shared" si="0"/>
        <v>-5.002220859751105E-15</v>
      </c>
    </row>
    <row r="7" spans="1:72" x14ac:dyDescent="0.25">
      <c r="B7" s="24" t="s">
        <v>87</v>
      </c>
      <c r="C7" s="32">
        <v>10718</v>
      </c>
      <c r="D7" t="s">
        <v>234</v>
      </c>
      <c r="E7" s="50" t="s">
        <v>111</v>
      </c>
      <c r="I7" s="145"/>
      <c r="J7" s="146"/>
      <c r="K7" s="47"/>
      <c r="L7" s="47"/>
    </row>
    <row r="8" spans="1:72" x14ac:dyDescent="0.25">
      <c r="B8" s="24" t="s">
        <v>88</v>
      </c>
      <c r="C8" s="42">
        <f>C7/C3-1</f>
        <v>-0.11387578209023597</v>
      </c>
      <c r="I8" s="145" t="s">
        <v>257</v>
      </c>
      <c r="J8" s="146">
        <f>MAX(F46:AM46)</f>
        <v>35007.895816536206</v>
      </c>
    </row>
    <row r="9" spans="1:72" s="53" customFormat="1" x14ac:dyDescent="0.25">
      <c r="B9" s="24" t="s">
        <v>187</v>
      </c>
      <c r="C9" s="126">
        <v>0</v>
      </c>
      <c r="I9" s="145"/>
      <c r="J9" s="146"/>
    </row>
    <row r="10" spans="1:72" s="105" customFormat="1" x14ac:dyDescent="0.25">
      <c r="B10" s="24" t="s">
        <v>188</v>
      </c>
      <c r="C10" s="127">
        <v>0</v>
      </c>
      <c r="I10" s="145"/>
      <c r="J10" s="146"/>
      <c r="N10" s="129"/>
    </row>
    <row r="11" spans="1:72" x14ac:dyDescent="0.25">
      <c r="B11" s="24" t="s">
        <v>189</v>
      </c>
      <c r="C11" s="144">
        <v>0</v>
      </c>
      <c r="D11" t="s">
        <v>235</v>
      </c>
      <c r="I11" s="145"/>
      <c r="J11" s="146"/>
    </row>
    <row r="12" spans="1:72" s="19" customFormat="1" x14ac:dyDescent="0.25">
      <c r="B12" s="24" t="s">
        <v>90</v>
      </c>
      <c r="C12" s="43">
        <v>5.1159999999999997E-2</v>
      </c>
    </row>
    <row r="13" spans="1:72" s="19" customFormat="1" x14ac:dyDescent="0.25">
      <c r="B13" s="24" t="s">
        <v>106</v>
      </c>
      <c r="C13" s="60">
        <v>3524.4919079530305</v>
      </c>
      <c r="D13" s="19" t="s">
        <v>236</v>
      </c>
      <c r="E13" s="50" t="s">
        <v>111</v>
      </c>
    </row>
    <row r="14" spans="1:72" x14ac:dyDescent="0.25">
      <c r="B14" s="24" t="s">
        <v>107</v>
      </c>
      <c r="C14" s="43">
        <v>2020</v>
      </c>
    </row>
    <row r="15" spans="1:72" s="19" customFormat="1" x14ac:dyDescent="0.25">
      <c r="B15" s="24" t="s">
        <v>108</v>
      </c>
      <c r="C15" s="43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Summary!C15-Calcs!D15)</f>
        <v>5.0022208597511053E-12</v>
      </c>
    </row>
    <row r="18" spans="2:4" s="105" customFormat="1" x14ac:dyDescent="0.25">
      <c r="B18" s="24" t="s">
        <v>223</v>
      </c>
      <c r="C18" s="41" t="s">
        <v>224</v>
      </c>
      <c r="D18" s="105" t="s">
        <v>225</v>
      </c>
    </row>
    <row r="19" spans="2:4" s="19" customFormat="1" x14ac:dyDescent="0.25"/>
    <row r="20" spans="2:4" s="19" customFormat="1" x14ac:dyDescent="0.25"/>
    <row r="35" spans="1:39" s="53" customFormat="1" x14ac:dyDescent="0.25"/>
    <row r="36" spans="1:39" s="53" customFormat="1" x14ac:dyDescent="0.25"/>
    <row r="37" spans="1:39" s="53" customFormat="1" x14ac:dyDescent="0.25"/>
    <row r="41" spans="1:39" x14ac:dyDescent="0.25">
      <c r="B41" s="20" t="s">
        <v>94</v>
      </c>
    </row>
    <row r="42" spans="1:39" x14ac:dyDescent="0.25">
      <c r="B42" s="33" t="s">
        <v>91</v>
      </c>
      <c r="C42" s="54">
        <v>2014</v>
      </c>
      <c r="D42" s="54">
        <v>2015</v>
      </c>
      <c r="E42" s="54">
        <v>2016</v>
      </c>
      <c r="F42" s="20">
        <v>2017</v>
      </c>
      <c r="G42" s="20">
        <v>2018</v>
      </c>
      <c r="H42" s="20">
        <v>2019</v>
      </c>
      <c r="I42" s="20">
        <v>2020</v>
      </c>
      <c r="J42" s="20">
        <v>2021</v>
      </c>
      <c r="K42" s="20">
        <v>2022</v>
      </c>
      <c r="L42" s="20">
        <v>2023</v>
      </c>
      <c r="M42" s="20">
        <v>2024</v>
      </c>
      <c r="N42" s="20">
        <v>2025</v>
      </c>
      <c r="O42" s="20">
        <v>2026</v>
      </c>
      <c r="P42" s="20">
        <v>2027</v>
      </c>
      <c r="Q42" s="20">
        <v>2028</v>
      </c>
      <c r="R42" s="20">
        <v>2029</v>
      </c>
      <c r="S42" s="20">
        <v>2030</v>
      </c>
      <c r="T42" s="20">
        <v>2031</v>
      </c>
      <c r="U42" s="20">
        <v>2032</v>
      </c>
      <c r="V42" s="20">
        <v>2033</v>
      </c>
      <c r="W42" s="20">
        <v>2034</v>
      </c>
      <c r="X42" s="20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1:39" x14ac:dyDescent="0.25">
      <c r="B43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1:39" s="53" customFormat="1" x14ac:dyDescent="0.25">
      <c r="B44" s="53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1:39" x14ac:dyDescent="0.25">
      <c r="A45" s="19"/>
      <c r="B45" s="19" t="s">
        <v>195</v>
      </c>
      <c r="F45" s="32">
        <f>Calcs!D33</f>
        <v>9781.2613489017094</v>
      </c>
      <c r="G45" s="32">
        <f>Calcs!E33</f>
        <v>9661.1602683873571</v>
      </c>
      <c r="H45" s="32">
        <f>Calcs!F33</f>
        <v>9366.6720792042688</v>
      </c>
      <c r="I45" s="32">
        <f>Calcs!G33</f>
        <v>8732.5795364766345</v>
      </c>
      <c r="J45" s="32">
        <f>Calcs!H33</f>
        <v>8459.1430424360988</v>
      </c>
      <c r="K45" s="32">
        <f>Calcs!I33</f>
        <v>8628.3259032848218</v>
      </c>
      <c r="L45" s="32">
        <f>Calcs!J33</f>
        <v>8800.8924213505161</v>
      </c>
      <c r="M45" s="32">
        <f>Calcs!K33</f>
        <v>8976.910269777527</v>
      </c>
      <c r="N45" s="32">
        <f>Calcs!L33</f>
        <v>9156.4484751730779</v>
      </c>
      <c r="O45" s="32">
        <f>Calcs!M33</f>
        <v>9339.577444676539</v>
      </c>
      <c r="P45" s="32">
        <f>Calcs!N33</f>
        <v>9526.3689935700677</v>
      </c>
      <c r="Q45" s="32">
        <f>Calcs!O33</f>
        <v>9716.896373441472</v>
      </c>
      <c r="R45" s="32">
        <f>Calcs!P33</f>
        <v>9911.2343009103006</v>
      </c>
      <c r="S45" s="32">
        <f>Calcs!Q33</f>
        <v>10109.458986928508</v>
      </c>
      <c r="T45" s="32">
        <f>Calcs!R33</f>
        <v>10311.648166667075</v>
      </c>
      <c r="U45" s="32">
        <f>Calcs!S33</f>
        <v>10517.881130000418</v>
      </c>
      <c r="V45" s="32">
        <f>Calcs!T33</f>
        <v>10728.238752600428</v>
      </c>
      <c r="W45" s="32">
        <f>Calcs!U33</f>
        <v>10942.803527652435</v>
      </c>
      <c r="X45" s="32">
        <f>Calcs!V33</f>
        <v>9186.8130996110285</v>
      </c>
      <c r="Y45" s="32">
        <f>Calcs!W33</f>
        <v>8913.336418810235</v>
      </c>
      <c r="Z45" s="32">
        <f>Calcs!X33</f>
        <v>8653.0680129218563</v>
      </c>
      <c r="AA45" s="32">
        <f>Calcs!Y33</f>
        <v>8405.3699536016884</v>
      </c>
      <c r="AB45" s="32">
        <f>Calcs!Z33</f>
        <v>8169.6351229311913</v>
      </c>
      <c r="AC45" s="32">
        <f>Calcs!AA33</f>
        <v>7945.2857253470193</v>
      </c>
      <c r="AD45" s="32">
        <f>Calcs!AB33</f>
        <v>7731.7718714408311</v>
      </c>
      <c r="AE45" s="32">
        <f>Calcs!AC33</f>
        <v>7528.5702301581996</v>
      </c>
      <c r="AF45" s="32">
        <f>Calcs!AD33</f>
        <v>7335.1827460931254</v>
      </c>
      <c r="AG45" s="32">
        <f>Calcs!AE33</f>
        <v>7151.1354187341858</v>
      </c>
      <c r="AH45" s="32">
        <f>Calcs!AF33</f>
        <v>6975.9771406701748</v>
      </c>
      <c r="AI45" s="32">
        <f>Calcs!AG33</f>
        <v>6809.2785919076905</v>
      </c>
      <c r="AJ45" s="32">
        <f>Calcs!AH33</f>
        <v>6650.631187590534</v>
      </c>
      <c r="AK45" s="32">
        <f>Calcs!AI33</f>
        <v>2975.1541685887391</v>
      </c>
      <c r="AL45" s="32">
        <f>Calcs!AJ33</f>
        <v>2831.4612802208057</v>
      </c>
      <c r="AM45" s="32">
        <f>Calcs!AK33</f>
        <v>2694.7084174775991</v>
      </c>
    </row>
    <row r="46" spans="1:39" x14ac:dyDescent="0.25">
      <c r="B46" t="s">
        <v>126</v>
      </c>
      <c r="F46" s="32">
        <f>Calcs!D32</f>
        <v>2314.1083333333354</v>
      </c>
      <c r="G46" s="32">
        <f>Calcs!E32</f>
        <v>4606.0188156666682</v>
      </c>
      <c r="H46" s="32">
        <f>Calcs!F32</f>
        <v>7027.0958118519293</v>
      </c>
      <c r="I46" s="32">
        <f>Calcs!G32</f>
        <v>10822.45030196687</v>
      </c>
      <c r="J46" s="32">
        <f>Calcs!H32</f>
        <v>13760.539293163702</v>
      </c>
      <c r="K46" s="32">
        <f>Calcs!I32</f>
        <v>16469.828842155868</v>
      </c>
      <c r="L46" s="32">
        <f>Calcs!J32</f>
        <v>18754.965033981855</v>
      </c>
      <c r="M46" s="32">
        <f>Calcs!K32</f>
        <v>21865.677828316962</v>
      </c>
      <c r="N46" s="32">
        <f>Calcs!L32</f>
        <v>24354.8955192781</v>
      </c>
      <c r="O46" s="32">
        <f>Calcs!M32</f>
        <v>26294.601730117836</v>
      </c>
      <c r="P46" s="32">
        <f>Calcs!N32</f>
        <v>29156.308790157505</v>
      </c>
      <c r="Q46" s="32">
        <f>Calcs!O32</f>
        <v>31750.146816525332</v>
      </c>
      <c r="R46" s="32">
        <f>Calcs!P32</f>
        <v>33471.942207614571</v>
      </c>
      <c r="S46" s="32">
        <f>Calcs!Q32</f>
        <v>34796.345896366009</v>
      </c>
      <c r="T46" s="32">
        <f>Calcs!R32</f>
        <v>34919.363481152766</v>
      </c>
      <c r="U46" s="32">
        <f>Calcs!S32</f>
        <v>35007.895816536206</v>
      </c>
      <c r="V46" s="32">
        <f>Calcs!T32</f>
        <v>34308.699336291509</v>
      </c>
      <c r="W46" s="32">
        <f>Calcs!U32</f>
        <v>32877.563998640122</v>
      </c>
      <c r="X46" s="32">
        <f>Calcs!V32</f>
        <v>31035.088264857521</v>
      </c>
      <c r="Y46" s="32">
        <f>Calcs!W32</f>
        <v>29098.351472534603</v>
      </c>
      <c r="Z46" s="32">
        <f>Calcs!X32</f>
        <v>27062.531225916446</v>
      </c>
      <c r="AA46" s="32">
        <f>Calcs!Y32</f>
        <v>24922.558415481304</v>
      </c>
      <c r="AB46" s="32">
        <f>Calcs!Z32</f>
        <v>22673.104596064299</v>
      </c>
      <c r="AC46" s="32">
        <f>Calcs!AA32</f>
        <v>20308.568719245919</v>
      </c>
      <c r="AD46" s="32">
        <f>Calcs!AB32</f>
        <v>17823.063186969513</v>
      </c>
      <c r="AE46" s="32">
        <f>Calcs!AC32</f>
        <v>15210.399191661847</v>
      </c>
      <c r="AF46" s="32">
        <f>Calcs!AD32</f>
        <v>12464.071306354239</v>
      </c>
      <c r="AG46" s="32">
        <f>Calcs!AE32</f>
        <v>9577.2412864342914</v>
      </c>
      <c r="AH46" s="32">
        <f>Calcs!AF32</f>
        <v>6542.7210426952397</v>
      </c>
      <c r="AI46" s="32">
        <f>Calcs!AG32</f>
        <v>3352.9547432864983</v>
      </c>
      <c r="AJ46" s="32">
        <f>Calcs!AH32</f>
        <v>5.0022208597511053E-12</v>
      </c>
      <c r="AK46" s="32">
        <f>Calcs!AI32</f>
        <v>0</v>
      </c>
      <c r="AL46" s="32">
        <f>Calcs!AJ32</f>
        <v>0</v>
      </c>
      <c r="AM46" s="32">
        <f>Calcs!AK32</f>
        <v>0</v>
      </c>
    </row>
    <row r="48" spans="1:39" x14ac:dyDescent="0.25">
      <c r="B48" s="20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20">
        <v>2017</v>
      </c>
      <c r="G50" s="20">
        <v>2018</v>
      </c>
      <c r="H50" s="20">
        <v>2019</v>
      </c>
      <c r="I50" s="20">
        <v>2020</v>
      </c>
      <c r="J50" s="20">
        <v>2021</v>
      </c>
      <c r="K50" s="20">
        <v>2022</v>
      </c>
      <c r="L50" s="20">
        <v>2023</v>
      </c>
      <c r="M50" s="20">
        <v>2024</v>
      </c>
      <c r="N50" s="20">
        <v>2025</v>
      </c>
      <c r="O50" s="20">
        <v>2026</v>
      </c>
      <c r="P50" s="20">
        <v>2027</v>
      </c>
      <c r="Q50" s="20">
        <v>2028</v>
      </c>
      <c r="R50" s="20">
        <v>2029</v>
      </c>
      <c r="S50" s="20">
        <v>2030</v>
      </c>
      <c r="T50" s="20">
        <v>2031</v>
      </c>
      <c r="U50" s="20">
        <v>2032</v>
      </c>
      <c r="V50" s="20">
        <v>2033</v>
      </c>
      <c r="W50" s="20">
        <v>2034</v>
      </c>
      <c r="X50" s="20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s="53" customFormat="1" x14ac:dyDescent="0.25">
      <c r="B51" s="53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t="s">
        <v>135</v>
      </c>
      <c r="C52" s="32"/>
      <c r="D52" s="32"/>
      <c r="E52" s="32"/>
      <c r="F52" s="32">
        <f>'Residential Bill'!C19</f>
        <v>160.21813261808913</v>
      </c>
      <c r="G52" s="32">
        <f>'Residential Bill'!D19</f>
        <v>162.76950298964928</v>
      </c>
      <c r="H52" s="32">
        <f>'Residential Bill'!E19</f>
        <v>165.41420006702134</v>
      </c>
      <c r="I52" s="32">
        <f>'Residential Bill'!F19</f>
        <v>175.94032368871547</v>
      </c>
      <c r="J52" s="32">
        <f>'Residential Bill'!G19</f>
        <v>173.59593780473958</v>
      </c>
      <c r="K52" s="32">
        <f>'Residential Bill'!H19</f>
        <v>176.91361421157205</v>
      </c>
      <c r="L52" s="32">
        <f>'Residential Bill'!I19</f>
        <v>181.74631090333577</v>
      </c>
      <c r="M52" s="32">
        <f>'Residential Bill'!J19</f>
        <v>184.45185686929372</v>
      </c>
      <c r="N52" s="32">
        <f>'Residential Bill'!K19</f>
        <v>193.49858854932918</v>
      </c>
      <c r="O52" s="32">
        <f>'Residential Bill'!L19</f>
        <v>188.45489333516903</v>
      </c>
      <c r="P52" s="32">
        <f>'Residential Bill'!M19</f>
        <v>198.44338301910517</v>
      </c>
      <c r="Q52" s="32">
        <f>'Residential Bill'!N19</f>
        <v>198.85748134818064</v>
      </c>
      <c r="R52" s="32">
        <f>'Residential Bill'!O19</f>
        <v>197.7162350799629</v>
      </c>
      <c r="S52" s="32">
        <f>'Residential Bill'!P19</f>
        <v>199.85545053707497</v>
      </c>
      <c r="T52" s="32">
        <f>'Residential Bill'!Q19</f>
        <v>202.42298557157022</v>
      </c>
      <c r="U52" s="32">
        <f>'Residential Bill'!R19</f>
        <v>204.74964459598468</v>
      </c>
      <c r="V52" s="32">
        <f>'Residential Bill'!S19</f>
        <v>206.70587849410711</v>
      </c>
      <c r="W52" s="32">
        <f>'Residential Bill'!T19</f>
        <v>208.12189291901626</v>
      </c>
      <c r="X52" s="32">
        <f>'Residential Bill'!U19</f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s="53" customFormat="1" x14ac:dyDescent="0.25">
      <c r="B53" s="53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f>'Residential Bill'!V20</f>
        <v>205.43844915893689</v>
      </c>
      <c r="Z53" s="32">
        <f>'Residential Bill'!W20</f>
        <v>206.28594886613706</v>
      </c>
      <c r="AA53" s="32">
        <f>'Residential Bill'!X20</f>
        <v>207.13694478233143</v>
      </c>
      <c r="AB53" s="32">
        <f>'Residential Bill'!Y20</f>
        <v>207.99145133050709</v>
      </c>
      <c r="AC53" s="32">
        <f>'Residential Bill'!Z20</f>
        <v>208.84948299315059</v>
      </c>
      <c r="AD53" s="32">
        <f>'Residential Bill'!AA20</f>
        <v>209.71105431249339</v>
      </c>
      <c r="AE53" s="32">
        <f>'Residential Bill'!AB20</f>
        <v>210.57617989075831</v>
      </c>
      <c r="AF53" s="32">
        <f>'Residential Bill'!AC20</f>
        <v>211.44487439040711</v>
      </c>
      <c r="AG53" s="32">
        <f>'Residential Bill'!AD20</f>
        <v>212.31715253438887</v>
      </c>
      <c r="AH53" s="32">
        <f>'Residential Bill'!AE20</f>
        <v>213.19302910638956</v>
      </c>
      <c r="AI53" s="32">
        <f>'Residential Bill'!AF20</f>
        <v>214.07251895108266</v>
      </c>
      <c r="AJ53" s="32">
        <f>'Residential Bill'!AG20</f>
        <v>214.95563697438064</v>
      </c>
      <c r="AK53" s="32">
        <f>'Residential Bill'!AH20</f>
        <v>215.84239814368772</v>
      </c>
      <c r="AL53" s="32">
        <f>'Residential Bill'!AI20</f>
        <v>216.73281748815344</v>
      </c>
      <c r="AM53" s="32">
        <f>'Residential Bill'!AJ20</f>
        <v>217.62691009892745</v>
      </c>
    </row>
    <row r="54" spans="2:39" x14ac:dyDescent="0.25">
      <c r="B54" t="s">
        <v>193</v>
      </c>
      <c r="C54" s="32"/>
      <c r="D54" s="32"/>
      <c r="E54" s="32"/>
      <c r="F54" s="32">
        <f ca="1">'Residential Bill'!C22</f>
        <v>145.49988261808912</v>
      </c>
      <c r="G54" s="32">
        <f ca="1">'Residential Bill'!D22</f>
        <v>148.94542198964928</v>
      </c>
      <c r="H54" s="32">
        <f ca="1">'Residential Bill'!E22</f>
        <v>151.41646744702138</v>
      </c>
      <c r="I54" s="32">
        <f ca="1">'Residential Bill'!F22</f>
        <v>153.93366241631554</v>
      </c>
      <c r="J54" s="32">
        <f ca="1">'Residential Bill'!G22</f>
        <v>158.32373930689167</v>
      </c>
      <c r="K54" s="32">
        <f ca="1">'Residential Bill'!H22</f>
        <v>164.06963441460653</v>
      </c>
      <c r="L54" s="32">
        <f ca="1">'Residential Bill'!I22</f>
        <v>172.50682151606964</v>
      </c>
      <c r="M54" s="32">
        <f ca="1">'Residential Bill'!J22</f>
        <v>170.67333135823205</v>
      </c>
      <c r="N54" s="32">
        <f ca="1">'Residential Bill'!K22</f>
        <v>184.72006898927575</v>
      </c>
      <c r="O54" s="32">
        <f ca="1">'Residential Bill'!L22</f>
        <v>183.98015941301378</v>
      </c>
      <c r="P54" s="32">
        <f ca="1">'Residential Bill'!M22</f>
        <v>188.73033569296368</v>
      </c>
      <c r="Q54" s="32">
        <f ca="1">'Residential Bill'!N22</f>
        <v>191.79786518389741</v>
      </c>
      <c r="R54" s="32">
        <f ca="1">'Residential Bill'!O22</f>
        <v>197.09201585228311</v>
      </c>
      <c r="S54" s="32">
        <f ca="1">'Residential Bill'!P22</f>
        <v>202.3233506587645</v>
      </c>
      <c r="T54" s="32">
        <f ca="1">'Residential Bill'!Q22</f>
        <v>212.96291834382126</v>
      </c>
      <c r="U54" s="32">
        <f ca="1">'Residential Bill'!R22</f>
        <v>215.47394479562001</v>
      </c>
      <c r="V54" s="32">
        <f ca="1">'Residential Bill'!S22</f>
        <v>222.32565545674038</v>
      </c>
      <c r="W54" s="32">
        <f ca="1">'Residential Bill'!T22</f>
        <v>227.97148822063778</v>
      </c>
      <c r="X54" s="32">
        <f ca="1">'Residential Bill'!U22</f>
        <v>226.25367705302531</v>
      </c>
      <c r="Y54" s="32">
        <f ca="1">'Residential Bill'!V22</f>
        <v>227.00791238690246</v>
      </c>
      <c r="Z54" s="32">
        <f ca="1">'Residential Bill'!W22</f>
        <v>227.76600173515769</v>
      </c>
      <c r="AA54" s="32">
        <f ca="1">'Residential Bill'!X22</f>
        <v>228.52795791879694</v>
      </c>
      <c r="AB54" s="32">
        <f ca="1">'Residential Bill'!Y22</f>
        <v>229.29379382447615</v>
      </c>
      <c r="AC54" s="32">
        <f ca="1">'Residential Bill'!Z22</f>
        <v>230.06352240471912</v>
      </c>
      <c r="AD54" s="32">
        <f ca="1">'Residential Bill'!AA22</f>
        <v>230.83715667813669</v>
      </c>
      <c r="AE54" s="32">
        <f ca="1">'Residential Bill'!AB22</f>
        <v>231.61470972964671</v>
      </c>
      <c r="AF54" s="32">
        <f ca="1">'Residential Bill'!AC22</f>
        <v>232.39619471069562</v>
      </c>
      <c r="AG54" s="32">
        <f ca="1">'Residential Bill'!AD22</f>
        <v>233.18162483948066</v>
      </c>
      <c r="AH54" s="32">
        <f ca="1">'Residential Bill'!AE22</f>
        <v>233.97101340117351</v>
      </c>
      <c r="AI54" s="32">
        <f ca="1">'Residential Bill'!AF22</f>
        <v>234.764373748145</v>
      </c>
      <c r="AJ54" s="32">
        <f ca="1">'Residential Bill'!AG22</f>
        <v>235.56171930019099</v>
      </c>
      <c r="AK54" s="32">
        <f ca="1">'Residential Bill'!AH22</f>
        <v>215.84239814368772</v>
      </c>
      <c r="AL54" s="32">
        <f ca="1">'Residential Bill'!AI22</f>
        <v>216.73281748815344</v>
      </c>
      <c r="AM54" s="32">
        <f ca="1">'Residential Bill'!AJ22</f>
        <v>217.62691009892745</v>
      </c>
    </row>
    <row r="55" spans="2:39" x14ac:dyDescent="0.25">
      <c r="B55" t="s">
        <v>194</v>
      </c>
      <c r="F55" s="37">
        <f t="shared" ref="F55:X55" ca="1" si="1">F54-F52</f>
        <v>-14.718250000000012</v>
      </c>
      <c r="G55" s="37">
        <f t="shared" ca="1" si="1"/>
        <v>-13.824081000000007</v>
      </c>
      <c r="H55" s="37">
        <f t="shared" ca="1" si="1"/>
        <v>-13.997732619999965</v>
      </c>
      <c r="I55" s="37">
        <f t="shared" ca="1" si="1"/>
        <v>-22.006661272399924</v>
      </c>
      <c r="J55" s="37">
        <f t="shared" ca="1" si="1"/>
        <v>-15.27219849784791</v>
      </c>
      <c r="K55" s="37">
        <f t="shared" ca="1" si="1"/>
        <v>-12.843979796965527</v>
      </c>
      <c r="L55" s="37">
        <f t="shared" ca="1" si="1"/>
        <v>-9.2394893872661328</v>
      </c>
      <c r="M55" s="37">
        <f t="shared" ca="1" si="1"/>
        <v>-13.778525511061673</v>
      </c>
      <c r="N55" s="37">
        <f t="shared" ca="1" si="1"/>
        <v>-8.7785195600534394</v>
      </c>
      <c r="O55" s="37">
        <f t="shared" ca="1" si="1"/>
        <v>-4.4747339221552522</v>
      </c>
      <c r="P55" s="37">
        <f t="shared" ca="1" si="1"/>
        <v>-9.713047326141492</v>
      </c>
      <c r="Q55" s="37">
        <f t="shared" ca="1" si="1"/>
        <v>-7.0596161642832271</v>
      </c>
      <c r="R55" s="37">
        <f t="shared" ca="1" si="1"/>
        <v>-0.62421922767978799</v>
      </c>
      <c r="S55" s="37">
        <f t="shared" ca="1" si="1"/>
        <v>2.4679001216895244</v>
      </c>
      <c r="T55" s="37">
        <f t="shared" ca="1" si="1"/>
        <v>10.539932772251035</v>
      </c>
      <c r="U55" s="37">
        <f t="shared" ca="1" si="1"/>
        <v>10.724300199635337</v>
      </c>
      <c r="V55" s="37">
        <f t="shared" ca="1" si="1"/>
        <v>15.619776962633267</v>
      </c>
      <c r="W55" s="37">
        <f t="shared" ca="1" si="1"/>
        <v>19.84959530162152</v>
      </c>
      <c r="X55" s="37">
        <f t="shared" ca="1" si="1"/>
        <v>21.659245756026451</v>
      </c>
      <c r="Y55" s="37">
        <f t="shared" ref="Y55:AM55" ca="1" si="2">Y54-Y53</f>
        <v>21.569463227965571</v>
      </c>
      <c r="Z55" s="37">
        <f t="shared" ca="1" si="2"/>
        <v>21.480052869020625</v>
      </c>
      <c r="AA55" s="37">
        <f t="shared" ca="1" si="2"/>
        <v>21.391013136465517</v>
      </c>
      <c r="AB55" s="37">
        <f t="shared" ca="1" si="2"/>
        <v>21.302342493969064</v>
      </c>
      <c r="AC55" s="37">
        <f t="shared" ca="1" si="2"/>
        <v>21.214039411568535</v>
      </c>
      <c r="AD55" s="37">
        <f t="shared" ca="1" si="2"/>
        <v>21.126102365643305</v>
      </c>
      <c r="AE55" s="37">
        <f t="shared" ca="1" si="2"/>
        <v>21.038529838888394</v>
      </c>
      <c r="AF55" s="37">
        <f t="shared" ca="1" si="2"/>
        <v>20.951320320288517</v>
      </c>
      <c r="AG55" s="37">
        <f t="shared" ca="1" si="2"/>
        <v>20.864472305091795</v>
      </c>
      <c r="AH55" s="37">
        <f t="shared" ca="1" si="2"/>
        <v>20.777984294783948</v>
      </c>
      <c r="AI55" s="37">
        <f t="shared" ca="1" si="2"/>
        <v>20.691854797062348</v>
      </c>
      <c r="AJ55" s="37">
        <f t="shared" ca="1" si="2"/>
        <v>20.606082325810348</v>
      </c>
      <c r="AK55" s="37">
        <f t="shared" ca="1" si="2"/>
        <v>0</v>
      </c>
      <c r="AL55" s="37">
        <f t="shared" ca="1" si="2"/>
        <v>0</v>
      </c>
      <c r="AM55" s="37">
        <f t="shared" ca="1" si="2"/>
        <v>0</v>
      </c>
    </row>
    <row r="56" spans="2:39" x14ac:dyDescent="0.25">
      <c r="B56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Button 2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" name="Button 3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Button 17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" name="Button 18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8"/>
  <dimension ref="A1:BT57"/>
  <sheetViews>
    <sheetView tabSelected="1" zoomScale="85" zoomScaleNormal="85" workbookViewId="0"/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31.7109375" style="105" customWidth="1"/>
    <col min="41" max="52" width="5.28515625" style="105" bestFit="1" customWidth="1"/>
    <col min="53" max="71" width="4.7109375" style="105" bestFit="1" customWidth="1"/>
    <col min="72" max="72" width="4.28515625" style="105" customWidth="1"/>
    <col min="73" max="16384" width="9.140625" style="105"/>
  </cols>
  <sheetData>
    <row r="1" spans="1:72" x14ac:dyDescent="0.25">
      <c r="A1" s="54"/>
      <c r="B1" s="46"/>
      <c r="I1" s="105" t="s">
        <v>232</v>
      </c>
      <c r="J1" s="105">
        <v>3</v>
      </c>
      <c r="L1" s="105" t="s">
        <v>233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-1377.3696822350448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53"/>
      <c r="AO3" s="154">
        <v>2017</v>
      </c>
      <c r="AP3" s="154">
        <v>2018</v>
      </c>
      <c r="AQ3" s="154">
        <v>2019</v>
      </c>
      <c r="AR3" s="154">
        <v>2020</v>
      </c>
      <c r="AS3" s="154">
        <v>2021</v>
      </c>
      <c r="AT3" s="154">
        <v>2022</v>
      </c>
      <c r="AU3" s="154">
        <v>2023</v>
      </c>
      <c r="AV3" s="154">
        <v>2024</v>
      </c>
      <c r="AW3" s="154">
        <v>2025</v>
      </c>
      <c r="AX3" s="154">
        <v>2026</v>
      </c>
      <c r="AY3" s="154">
        <v>2027</v>
      </c>
      <c r="AZ3" s="154">
        <v>2028</v>
      </c>
      <c r="BA3" s="154">
        <v>2029</v>
      </c>
      <c r="BB3" s="154">
        <v>2030</v>
      </c>
      <c r="BC3" s="154">
        <v>2031</v>
      </c>
      <c r="BD3" s="154">
        <v>2032</v>
      </c>
      <c r="BE3" s="154">
        <v>2033</v>
      </c>
      <c r="BF3" s="154">
        <v>2034</v>
      </c>
      <c r="BG3" s="154">
        <v>2035</v>
      </c>
      <c r="BH3" s="154">
        <v>2036</v>
      </c>
      <c r="BI3" s="154">
        <v>2037</v>
      </c>
      <c r="BJ3" s="154">
        <v>2038</v>
      </c>
      <c r="BK3" s="154">
        <v>2039</v>
      </c>
      <c r="BL3" s="154">
        <v>2040</v>
      </c>
      <c r="BM3" s="154">
        <v>2041</v>
      </c>
      <c r="BN3" s="154">
        <v>2042</v>
      </c>
      <c r="BO3" s="154">
        <v>2043</v>
      </c>
      <c r="BP3" s="154">
        <v>2044</v>
      </c>
      <c r="BQ3" s="154">
        <v>2045</v>
      </c>
      <c r="BR3" s="154">
        <v>2046</v>
      </c>
      <c r="BS3" s="154">
        <v>2047</v>
      </c>
      <c r="BT3" s="154">
        <v>2048</v>
      </c>
    </row>
    <row r="4" spans="1:72" ht="30" x14ac:dyDescent="0.25">
      <c r="C4" s="124"/>
      <c r="D4" s="32"/>
      <c r="I4" s="105" t="s">
        <v>237</v>
      </c>
      <c r="J4" s="166">
        <v>-13.025</v>
      </c>
      <c r="K4" s="59">
        <f>'Impact Model'!F5</f>
        <v>-12.233699999999988</v>
      </c>
      <c r="L4" s="59">
        <f>'Impact Model'!G5</f>
        <v>-12.387373999999975</v>
      </c>
      <c r="M4" s="59">
        <f>'Impact Model'!H5</f>
        <v>-19.474921479999942</v>
      </c>
      <c r="N4" s="59">
        <f>'Impact Model'!I5</f>
        <v>-13.515219909599933</v>
      </c>
      <c r="AN4" s="130" t="s">
        <v>221</v>
      </c>
      <c r="AO4" s="152">
        <f>'New Option 3 35B Max'!F55/1.13</f>
        <v>-13.025000000000011</v>
      </c>
      <c r="AP4" s="152">
        <f>'New Option 3 35B Max'!G55/1.13</f>
        <v>-12.233700000000008</v>
      </c>
      <c r="AQ4" s="152">
        <f>'New Option 3 35B Max'!H55/1.13</f>
        <v>-12.387373999999971</v>
      </c>
      <c r="AR4" s="152">
        <f>'New Option 3 35B Max'!I55/1.13</f>
        <v>-19.474921479999935</v>
      </c>
      <c r="AS4" s="152">
        <f>'New Option 3 35B Max'!J55/1.13</f>
        <v>-13.515219909599921</v>
      </c>
      <c r="AT4" s="152">
        <f>'New Option 3 35B Max'!K55/1.13</f>
        <v>-11.366353802624362</v>
      </c>
      <c r="AU4" s="152">
        <f>'New Option 3 35B Max'!L55/1.13</f>
        <v>-8.1765392807664892</v>
      </c>
      <c r="AV4" s="152">
        <f>'New Option 3 35B Max'!M55/1.13</f>
        <v>-12.19338540801918</v>
      </c>
      <c r="AW4" s="152">
        <f>'New Option 3 35B Max'!N55/1.13</f>
        <v>-7.7686013805782652</v>
      </c>
      <c r="AX4" s="152">
        <f>'New Option 3 35B Max'!O55/1.13</f>
        <v>-3.9599415240311973</v>
      </c>
      <c r="AY4" s="152">
        <f>'New Option 3 35B Max'!P55/1.13</f>
        <v>-8.5956171027800821</v>
      </c>
      <c r="AZ4" s="152">
        <f>'New Option 3 35B Max'!Q55/1.13</f>
        <v>-6.2474479329940067</v>
      </c>
      <c r="BA4" s="152">
        <f>'New Option 3 35B Max'!R55/1.13</f>
        <v>-0.55240639617680354</v>
      </c>
      <c r="BB4" s="152">
        <f>'New Option 3 35B Max'!S55/1.13</f>
        <v>2.1839824085748005</v>
      </c>
      <c r="BC4" s="152">
        <f>'New Option 3 35B Max'!T55/1.13</f>
        <v>9.3273741347354306</v>
      </c>
      <c r="BD4" s="152">
        <f>'New Option 3 35B Max'!U55/1.13</f>
        <v>9.490531150119768</v>
      </c>
      <c r="BE4" s="152">
        <f>'New Option 3 35B Max'!V55/1.13</f>
        <v>13.822811471356875</v>
      </c>
      <c r="BF4" s="152">
        <f>'New Option 3 35B Max'!W55/1.13</f>
        <v>17.566013541257984</v>
      </c>
      <c r="BG4" s="152">
        <f>'New Option 3 35B Max'!X55/1.13</f>
        <v>19.167474120377392</v>
      </c>
      <c r="BH4" s="152">
        <f>'New Option 3 35B Max'!Y55/1.13</f>
        <v>19.088020555721744</v>
      </c>
      <c r="BI4" s="152">
        <f>'New Option 3 35B Max'!Z55/1.13</f>
        <v>19.008896344266041</v>
      </c>
      <c r="BJ4" s="152">
        <f>'New Option 3 35B Max'!AA55/1.13</f>
        <v>18.930100120765946</v>
      </c>
      <c r="BK4" s="152">
        <f>'New Option 3 35B Max'!AB55/1.13</f>
        <v>18.851630525636342</v>
      </c>
      <c r="BL4" s="152">
        <f>'New Option 3 35B Max'!AC55/1.13</f>
        <v>18.773486204927909</v>
      </c>
      <c r="BM4" s="152">
        <f>'New Option 3 35B Max'!AD55/1.13</f>
        <v>18.695665810303812</v>
      </c>
      <c r="BN4" s="152">
        <f>'New Option 3 35B Max'!AE55/1.13</f>
        <v>18.618167999016279</v>
      </c>
      <c r="BO4" s="152">
        <f>'New Option 3 35B Max'!AF55/1.13</f>
        <v>18.540991433883644</v>
      </c>
      <c r="BP4" s="152">
        <f>'New Option 3 35B Max'!AG55/1.13</f>
        <v>18.464134783267077</v>
      </c>
      <c r="BQ4" s="152">
        <f>'New Option 3 35B Max'!AH55/1.13</f>
        <v>18.387596721047743</v>
      </c>
      <c r="BR4" s="152">
        <f>'New Option 3 35B Max'!AI55/1.13</f>
        <v>18.311375926603848</v>
      </c>
      <c r="BS4" s="152">
        <f>'New Option 3 35B Max'!AJ55/1.13</f>
        <v>18.235471084787921</v>
      </c>
      <c r="BT4" s="152">
        <f>'New Option 3 35B Max'!AK55/1.13</f>
        <v>0</v>
      </c>
    </row>
    <row r="5" spans="1:72" x14ac:dyDescent="0.25">
      <c r="B5" s="25"/>
      <c r="C5" s="45" t="s">
        <v>209</v>
      </c>
      <c r="I5" s="148"/>
      <c r="J5" s="146"/>
      <c r="K5" s="121"/>
      <c r="L5" s="54"/>
      <c r="AN5" s="130" t="s">
        <v>213</v>
      </c>
      <c r="AO5" s="152">
        <f>'New Option 3 35B Max'!F46/1000</f>
        <v>2.3141083333333352</v>
      </c>
      <c r="AP5" s="152">
        <f>'New Option 3 35B Max'!G46/1000</f>
        <v>4.6060188156666682</v>
      </c>
      <c r="AQ5" s="152">
        <f>'New Option 3 35B Max'!H46/1000</f>
        <v>7.0270958118519289</v>
      </c>
      <c r="AR5" s="152">
        <f>'New Option 3 35B Max'!I46/1000</f>
        <v>10.822450301966869</v>
      </c>
      <c r="AS5" s="152">
        <f>'New Option 3 35B Max'!J46/1000</f>
        <v>13.760539293163701</v>
      </c>
      <c r="AT5" s="152">
        <f>'New Option 3 35B Max'!K46/1000</f>
        <v>16.469828842155867</v>
      </c>
      <c r="AU5" s="152">
        <f>'New Option 3 35B Max'!L46/1000</f>
        <v>18.754965033981854</v>
      </c>
      <c r="AV5" s="152">
        <f>'New Option 3 35B Max'!M46/1000</f>
        <v>21.865677828316961</v>
      </c>
      <c r="AW5" s="152">
        <f>'New Option 3 35B Max'!N46/1000</f>
        <v>24.354895519278099</v>
      </c>
      <c r="AX5" s="152">
        <f>'New Option 3 35B Max'!O46/1000</f>
        <v>26.294601730117837</v>
      </c>
      <c r="AY5" s="152">
        <f>'New Option 3 35B Max'!P46/1000</f>
        <v>29.156308790157507</v>
      </c>
      <c r="AZ5" s="152">
        <f>'New Option 3 35B Max'!Q46/1000</f>
        <v>31.750146816525334</v>
      </c>
      <c r="BA5" s="152">
        <f>'New Option 3 35B Max'!R46/1000</f>
        <v>33.471942207614568</v>
      </c>
      <c r="BB5" s="152">
        <f>'New Option 3 35B Max'!S46/1000</f>
        <v>34.796345896366006</v>
      </c>
      <c r="BC5" s="152">
        <f>'New Option 3 35B Max'!T46/1000</f>
        <v>34.919363481152764</v>
      </c>
      <c r="BD5" s="152">
        <f>'New Option 3 35B Max'!U46/1000</f>
        <v>35.007895816536205</v>
      </c>
      <c r="BE5" s="152">
        <f>'New Option 3 35B Max'!V46/1000</f>
        <v>34.308699336291511</v>
      </c>
      <c r="BF5" s="152">
        <f>'New Option 3 35B Max'!W46/1000</f>
        <v>32.87756399864012</v>
      </c>
      <c r="BG5" s="152">
        <f>'New Option 3 35B Max'!X46/1000</f>
        <v>31.035088264857521</v>
      </c>
      <c r="BH5" s="152">
        <f>'New Option 3 35B Max'!Y46/1000</f>
        <v>29.098351472534603</v>
      </c>
      <c r="BI5" s="152">
        <f>'New Option 3 35B Max'!Z46/1000</f>
        <v>27.062531225916445</v>
      </c>
      <c r="BJ5" s="152">
        <f>'New Option 3 35B Max'!AA46/1000</f>
        <v>24.922558415481305</v>
      </c>
      <c r="BK5" s="152">
        <f>'New Option 3 35B Max'!AB46/1000</f>
        <v>22.673104596064299</v>
      </c>
      <c r="BL5" s="152">
        <f>'New Option 3 35B Max'!AC46/1000</f>
        <v>20.308568719245919</v>
      </c>
      <c r="BM5" s="152">
        <f>'New Option 3 35B Max'!AD46/1000</f>
        <v>17.823063186969513</v>
      </c>
      <c r="BN5" s="152">
        <f>'New Option 3 35B Max'!AE46/1000</f>
        <v>15.210399191661846</v>
      </c>
      <c r="BO5" s="152">
        <f>'New Option 3 35B Max'!AF46/1000</f>
        <v>12.464071306354239</v>
      </c>
      <c r="BP5" s="152">
        <f>'New Option 3 35B Max'!AG46/1000</f>
        <v>9.5772412864342922</v>
      </c>
      <c r="BQ5" s="152">
        <f>'New Option 3 35B Max'!AH46/1000</f>
        <v>6.5427210426952396</v>
      </c>
      <c r="BR5" s="152">
        <f>'New Option 3 35B Max'!AI46/1000</f>
        <v>3.3529547432864986</v>
      </c>
      <c r="BS5" s="152">
        <f>'New Option 3 35B Max'!AJ46/1000</f>
        <v>5.002220859751105E-15</v>
      </c>
      <c r="BT5" s="152">
        <f>'New Option 3 35B Max'!AK46/1000</f>
        <v>0</v>
      </c>
    </row>
    <row r="6" spans="1:72" ht="30" x14ac:dyDescent="0.25">
      <c r="B6" s="24" t="s">
        <v>210</v>
      </c>
      <c r="C6" s="128">
        <v>-27.02</v>
      </c>
      <c r="I6" s="145"/>
      <c r="J6" s="146"/>
      <c r="K6" s="55"/>
      <c r="L6" s="55"/>
      <c r="AN6" s="130" t="s">
        <v>214</v>
      </c>
      <c r="AO6" s="152">
        <f>AO5</f>
        <v>2.3141083333333352</v>
      </c>
      <c r="AP6" s="152">
        <f t="shared" ref="AP6:BT6" si="0">AP5-AO5</f>
        <v>2.2919104823333329</v>
      </c>
      <c r="AQ6" s="152">
        <f t="shared" si="0"/>
        <v>2.4210769961852607</v>
      </c>
      <c r="AR6" s="152">
        <f t="shared" si="0"/>
        <v>3.7953544901149403</v>
      </c>
      <c r="AS6" s="152">
        <f t="shared" si="0"/>
        <v>2.9380889911968318</v>
      </c>
      <c r="AT6" s="152">
        <f t="shared" si="0"/>
        <v>2.7092895489921656</v>
      </c>
      <c r="AU6" s="152">
        <f t="shared" si="0"/>
        <v>2.2851361918259876</v>
      </c>
      <c r="AV6" s="152">
        <f t="shared" si="0"/>
        <v>3.1107127943351074</v>
      </c>
      <c r="AW6" s="152">
        <f t="shared" si="0"/>
        <v>2.4892176909611372</v>
      </c>
      <c r="AX6" s="152">
        <f t="shared" si="0"/>
        <v>1.9397062108397378</v>
      </c>
      <c r="AY6" s="152">
        <f t="shared" si="0"/>
        <v>2.8617070600396701</v>
      </c>
      <c r="AZ6" s="152">
        <f t="shared" si="0"/>
        <v>2.5938380263678269</v>
      </c>
      <c r="BA6" s="152">
        <f t="shared" si="0"/>
        <v>1.7217953910892341</v>
      </c>
      <c r="BB6" s="152">
        <f t="shared" si="0"/>
        <v>1.3244036887514383</v>
      </c>
      <c r="BC6" s="152">
        <f t="shared" si="0"/>
        <v>0.1230175847867585</v>
      </c>
      <c r="BD6" s="152">
        <f t="shared" si="0"/>
        <v>8.8532335383440852E-2</v>
      </c>
      <c r="BE6" s="152">
        <f t="shared" si="0"/>
        <v>-0.69919648024469438</v>
      </c>
      <c r="BF6" s="152">
        <f t="shared" si="0"/>
        <v>-1.4311353376513907</v>
      </c>
      <c r="BG6" s="152">
        <f t="shared" si="0"/>
        <v>-1.8424757337825994</v>
      </c>
      <c r="BH6" s="152">
        <f t="shared" si="0"/>
        <v>-1.9367367923229182</v>
      </c>
      <c r="BI6" s="152">
        <f t="shared" si="0"/>
        <v>-2.0358202466181581</v>
      </c>
      <c r="BJ6" s="152">
        <f t="shared" si="0"/>
        <v>-2.1399728104351396</v>
      </c>
      <c r="BK6" s="152">
        <f t="shared" si="0"/>
        <v>-2.2494538194170062</v>
      </c>
      <c r="BL6" s="152">
        <f t="shared" si="0"/>
        <v>-2.3645358768183797</v>
      </c>
      <c r="BM6" s="152">
        <f t="shared" si="0"/>
        <v>-2.4855055322764059</v>
      </c>
      <c r="BN6" s="152">
        <f t="shared" si="0"/>
        <v>-2.6126639953076669</v>
      </c>
      <c r="BO6" s="152">
        <f t="shared" si="0"/>
        <v>-2.7463278853076076</v>
      </c>
      <c r="BP6" s="152">
        <f t="shared" si="0"/>
        <v>-2.8868300199199464</v>
      </c>
      <c r="BQ6" s="152">
        <f t="shared" si="0"/>
        <v>-3.0345202437390526</v>
      </c>
      <c r="BR6" s="152">
        <f t="shared" si="0"/>
        <v>-3.189766299408741</v>
      </c>
      <c r="BS6" s="152">
        <f t="shared" si="0"/>
        <v>-3.3529547432864937</v>
      </c>
      <c r="BT6" s="152">
        <f t="shared" si="0"/>
        <v>-5.002220859751105E-15</v>
      </c>
    </row>
    <row r="7" spans="1:72" x14ac:dyDescent="0.25">
      <c r="B7" s="24" t="s">
        <v>87</v>
      </c>
      <c r="C7" s="32">
        <v>10718</v>
      </c>
      <c r="D7" s="105" t="s">
        <v>234</v>
      </c>
      <c r="E7" s="50" t="s">
        <v>111</v>
      </c>
      <c r="I7" s="145"/>
      <c r="J7" s="146"/>
      <c r="K7" s="55"/>
      <c r="L7" s="55"/>
    </row>
    <row r="8" spans="1:72" x14ac:dyDescent="0.25">
      <c r="B8" s="24" t="s">
        <v>88</v>
      </c>
      <c r="C8" s="42">
        <f>C7/C3-1</f>
        <v>-0.11387578209023597</v>
      </c>
      <c r="I8" s="145" t="s">
        <v>257</v>
      </c>
      <c r="J8" s="146">
        <f>MAX(F46:AM46)</f>
        <v>35007.895816536206</v>
      </c>
    </row>
    <row r="9" spans="1:72" x14ac:dyDescent="0.25">
      <c r="B9" s="24" t="s">
        <v>187</v>
      </c>
      <c r="C9" s="126">
        <v>0</v>
      </c>
      <c r="I9" s="145"/>
      <c r="J9" s="146"/>
    </row>
    <row r="10" spans="1:72" x14ac:dyDescent="0.25">
      <c r="B10" s="24" t="s">
        <v>188</v>
      </c>
      <c r="C10" s="127">
        <v>0</v>
      </c>
      <c r="I10" s="145"/>
      <c r="J10" s="146"/>
      <c r="N10" s="129"/>
    </row>
    <row r="11" spans="1:72" x14ac:dyDescent="0.25">
      <c r="B11" s="24" t="s">
        <v>189</v>
      </c>
      <c r="C11" s="144">
        <v>0</v>
      </c>
      <c r="D11" s="105" t="s">
        <v>235</v>
      </c>
      <c r="I11" s="145"/>
      <c r="J11" s="146"/>
    </row>
    <row r="12" spans="1:72" x14ac:dyDescent="0.25">
      <c r="B12" s="24" t="s">
        <v>90</v>
      </c>
      <c r="C12" s="164">
        <v>5.1159999999999997E-2</v>
      </c>
    </row>
    <row r="13" spans="1:72" x14ac:dyDescent="0.25">
      <c r="B13" s="24" t="s">
        <v>106</v>
      </c>
      <c r="C13" s="60">
        <v>3524.4919079530305</v>
      </c>
      <c r="D13" s="105" t="s">
        <v>236</v>
      </c>
      <c r="E13" s="50" t="s">
        <v>111</v>
      </c>
    </row>
    <row r="14" spans="1:72" x14ac:dyDescent="0.25">
      <c r="B14" s="24" t="s">
        <v>107</v>
      </c>
      <c r="C14" s="164">
        <v>2020</v>
      </c>
    </row>
    <row r="15" spans="1:72" x14ac:dyDescent="0.25">
      <c r="B15" s="24" t="s">
        <v>108</v>
      </c>
      <c r="C15" s="164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'New Option 3 35B Max'!C15-Calcs!D15)</f>
        <v>5.0022208597511053E-12</v>
      </c>
    </row>
    <row r="18" spans="2:4" x14ac:dyDescent="0.25">
      <c r="B18" s="24" t="s">
        <v>223</v>
      </c>
      <c r="C18" s="41" t="s">
        <v>224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9781.2613489017094</v>
      </c>
      <c r="G45" s="32">
        <v>9661.1602683873571</v>
      </c>
      <c r="H45" s="32">
        <v>9366.6720792042688</v>
      </c>
      <c r="I45" s="32">
        <v>8732.5795364766345</v>
      </c>
      <c r="J45" s="32">
        <v>8459.1430424360988</v>
      </c>
      <c r="K45" s="32">
        <v>8628.3259032848218</v>
      </c>
      <c r="L45" s="32">
        <v>8800.8924213505161</v>
      </c>
      <c r="M45" s="32">
        <v>8976.910269777527</v>
      </c>
      <c r="N45" s="32">
        <v>9156.4484751730779</v>
      </c>
      <c r="O45" s="32">
        <v>9339.577444676539</v>
      </c>
      <c r="P45" s="32">
        <v>9526.3689935700677</v>
      </c>
      <c r="Q45" s="32">
        <v>9716.896373441472</v>
      </c>
      <c r="R45" s="32">
        <v>9911.2343009103006</v>
      </c>
      <c r="S45" s="32">
        <v>10109.458986928508</v>
      </c>
      <c r="T45" s="32">
        <v>10311.648166667075</v>
      </c>
      <c r="U45" s="32">
        <v>10517.881130000418</v>
      </c>
      <c r="V45" s="32">
        <v>10728.238752600428</v>
      </c>
      <c r="W45" s="32">
        <v>10942.803527652435</v>
      </c>
      <c r="X45" s="32">
        <v>9186.8130996110285</v>
      </c>
      <c r="Y45" s="32">
        <v>8913.336418810235</v>
      </c>
      <c r="Z45" s="32">
        <v>8653.0680129218563</v>
      </c>
      <c r="AA45" s="32">
        <v>8405.3699536016884</v>
      </c>
      <c r="AB45" s="32">
        <v>8169.6351229311913</v>
      </c>
      <c r="AC45" s="32">
        <v>7945.2857253470193</v>
      </c>
      <c r="AD45" s="32">
        <v>7731.7718714408311</v>
      </c>
      <c r="AE45" s="32">
        <v>7528.5702301581996</v>
      </c>
      <c r="AF45" s="32">
        <v>7335.1827460931254</v>
      </c>
      <c r="AG45" s="32">
        <v>7151.1354187341858</v>
      </c>
      <c r="AH45" s="32">
        <v>6975.9771406701748</v>
      </c>
      <c r="AI45" s="32">
        <v>6809.2785919076905</v>
      </c>
      <c r="AJ45" s="32">
        <v>6650.631187590534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2314.1083333333354</v>
      </c>
      <c r="G46" s="32">
        <v>4606.0188156666682</v>
      </c>
      <c r="H46" s="32">
        <v>7027.0958118519293</v>
      </c>
      <c r="I46" s="32">
        <v>10822.45030196687</v>
      </c>
      <c r="J46" s="32">
        <v>13760.539293163702</v>
      </c>
      <c r="K46" s="32">
        <v>16469.828842155868</v>
      </c>
      <c r="L46" s="32">
        <v>18754.965033981855</v>
      </c>
      <c r="M46" s="32">
        <v>21865.677828316962</v>
      </c>
      <c r="N46" s="32">
        <v>24354.8955192781</v>
      </c>
      <c r="O46" s="32">
        <v>26294.601730117836</v>
      </c>
      <c r="P46" s="32">
        <v>29156.308790157505</v>
      </c>
      <c r="Q46" s="32">
        <v>31750.146816525332</v>
      </c>
      <c r="R46" s="32">
        <v>33471.942207614571</v>
      </c>
      <c r="S46" s="32">
        <v>34796.345896366009</v>
      </c>
      <c r="T46" s="32">
        <v>34919.363481152766</v>
      </c>
      <c r="U46" s="32">
        <v>35007.895816536206</v>
      </c>
      <c r="V46" s="32">
        <v>34308.699336291509</v>
      </c>
      <c r="W46" s="32">
        <v>32877.563998640122</v>
      </c>
      <c r="X46" s="32">
        <v>31035.088264857521</v>
      </c>
      <c r="Y46" s="32">
        <v>29098.351472534603</v>
      </c>
      <c r="Z46" s="32">
        <v>27062.531225916446</v>
      </c>
      <c r="AA46" s="32">
        <v>24922.558415481304</v>
      </c>
      <c r="AB46" s="32">
        <v>22673.104596064299</v>
      </c>
      <c r="AC46" s="32">
        <v>20308.568719245919</v>
      </c>
      <c r="AD46" s="32">
        <v>17823.063186969513</v>
      </c>
      <c r="AE46" s="32">
        <v>15210.399191661847</v>
      </c>
      <c r="AF46" s="32">
        <v>12464.071306354239</v>
      </c>
      <c r="AG46" s="32">
        <v>9577.2412864342914</v>
      </c>
      <c r="AH46" s="32">
        <v>6542.7210426952397</v>
      </c>
      <c r="AI46" s="32">
        <v>3352.9547432864983</v>
      </c>
      <c r="AJ46" s="32">
        <v>5.0022208597511053E-12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145.49988261808912</v>
      </c>
      <c r="G54" s="32">
        <v>148.94542198964928</v>
      </c>
      <c r="H54" s="32">
        <v>151.41646744702138</v>
      </c>
      <c r="I54" s="32">
        <v>153.93366241631554</v>
      </c>
      <c r="J54" s="32">
        <v>158.32373930689167</v>
      </c>
      <c r="K54" s="32">
        <v>164.06963441460653</v>
      </c>
      <c r="L54" s="32">
        <v>172.50682151606964</v>
      </c>
      <c r="M54" s="32">
        <v>170.67333135823205</v>
      </c>
      <c r="N54" s="32">
        <v>184.72006898927575</v>
      </c>
      <c r="O54" s="32">
        <v>183.98015941301378</v>
      </c>
      <c r="P54" s="32">
        <v>188.73033569296368</v>
      </c>
      <c r="Q54" s="32">
        <v>191.79786518389741</v>
      </c>
      <c r="R54" s="32">
        <v>197.09201585228311</v>
      </c>
      <c r="S54" s="32">
        <v>202.3233506587645</v>
      </c>
      <c r="T54" s="32">
        <v>212.96291834382126</v>
      </c>
      <c r="U54" s="32">
        <v>215.47394479562001</v>
      </c>
      <c r="V54" s="32">
        <v>222.32565545674038</v>
      </c>
      <c r="W54" s="32">
        <v>227.97148822063778</v>
      </c>
      <c r="X54" s="32">
        <v>226.25367705302531</v>
      </c>
      <c r="Y54" s="32">
        <v>227.00791238690246</v>
      </c>
      <c r="Z54" s="32">
        <v>227.76600173515769</v>
      </c>
      <c r="AA54" s="32">
        <v>228.52795791879694</v>
      </c>
      <c r="AB54" s="32">
        <v>229.29379382447615</v>
      </c>
      <c r="AC54" s="32">
        <v>230.06352240471912</v>
      </c>
      <c r="AD54" s="32">
        <v>230.83715667813669</v>
      </c>
      <c r="AE54" s="32">
        <v>231.61470972964671</v>
      </c>
      <c r="AF54" s="32">
        <v>232.39619471069562</v>
      </c>
      <c r="AG54" s="32">
        <v>233.18162483948066</v>
      </c>
      <c r="AH54" s="32">
        <v>233.97101340117351</v>
      </c>
      <c r="AI54" s="32">
        <v>234.764373748145</v>
      </c>
      <c r="AJ54" s="32">
        <v>235.56171930019099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-14.718250000000012</v>
      </c>
      <c r="G55" s="37">
        <v>-13.824081000000007</v>
      </c>
      <c r="H55" s="37">
        <v>-13.997732619999965</v>
      </c>
      <c r="I55" s="37">
        <v>-22.006661272399924</v>
      </c>
      <c r="J55" s="37">
        <v>-15.27219849784791</v>
      </c>
      <c r="K55" s="37">
        <v>-12.843979796965527</v>
      </c>
      <c r="L55" s="37">
        <v>-9.2394893872661328</v>
      </c>
      <c r="M55" s="37">
        <v>-13.778525511061673</v>
      </c>
      <c r="N55" s="37">
        <v>-8.7785195600534394</v>
      </c>
      <c r="O55" s="37">
        <v>-4.4747339221552522</v>
      </c>
      <c r="P55" s="37">
        <v>-9.713047326141492</v>
      </c>
      <c r="Q55" s="37">
        <v>-7.0596161642832271</v>
      </c>
      <c r="R55" s="37">
        <v>-0.62421922767978799</v>
      </c>
      <c r="S55" s="37">
        <v>2.4679001216895244</v>
      </c>
      <c r="T55" s="37">
        <v>10.539932772251035</v>
      </c>
      <c r="U55" s="37">
        <v>10.724300199635337</v>
      </c>
      <c r="V55" s="37">
        <v>15.619776962633267</v>
      </c>
      <c r="W55" s="37">
        <v>19.84959530162152</v>
      </c>
      <c r="X55" s="37">
        <v>21.659245756026451</v>
      </c>
      <c r="Y55" s="37">
        <v>21.569463227965571</v>
      </c>
      <c r="Z55" s="37">
        <v>21.480052869020625</v>
      </c>
      <c r="AA55" s="37">
        <v>21.391013136465517</v>
      </c>
      <c r="AB55" s="37">
        <v>21.302342493969064</v>
      </c>
      <c r="AC55" s="37">
        <v>21.214039411568535</v>
      </c>
      <c r="AD55" s="37">
        <v>21.126102365643305</v>
      </c>
      <c r="AE55" s="37">
        <v>21.038529838888394</v>
      </c>
      <c r="AF55" s="37">
        <v>20.951320320288517</v>
      </c>
      <c r="AG55" s="37">
        <v>20.864472305091795</v>
      </c>
      <c r="AH55" s="37">
        <v>20.777984294783948</v>
      </c>
      <c r="AI55" s="37">
        <v>20.691854797062348</v>
      </c>
      <c r="AJ55" s="37">
        <v>20.606082325810348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8417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418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419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420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/>
  <dimension ref="A1:BT57"/>
  <sheetViews>
    <sheetView zoomScale="85" zoomScaleNormal="85" workbookViewId="0">
      <selection activeCell="I11" sqref="I11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31.7109375" style="105" customWidth="1"/>
    <col min="41" max="52" width="5.28515625" style="105" bestFit="1" customWidth="1"/>
    <col min="53" max="71" width="4.7109375" style="105" bestFit="1" customWidth="1"/>
    <col min="72" max="72" width="4.28515625" style="105" customWidth="1"/>
    <col min="73" max="16384" width="9.140625" style="105"/>
  </cols>
  <sheetData>
    <row r="1" spans="1:72" x14ac:dyDescent="0.25">
      <c r="A1" s="54"/>
      <c r="B1" s="46"/>
      <c r="I1" s="105" t="s">
        <v>232</v>
      </c>
      <c r="J1" s="105">
        <v>3</v>
      </c>
      <c r="L1" s="105" t="s">
        <v>233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-1377.3696822350448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53"/>
      <c r="AO3" s="154">
        <v>2017</v>
      </c>
      <c r="AP3" s="154">
        <v>2018</v>
      </c>
      <c r="AQ3" s="154">
        <v>2019</v>
      </c>
      <c r="AR3" s="154">
        <v>2020</v>
      </c>
      <c r="AS3" s="154">
        <v>2021</v>
      </c>
      <c r="AT3" s="154">
        <v>2022</v>
      </c>
      <c r="AU3" s="154">
        <v>2023</v>
      </c>
      <c r="AV3" s="154">
        <v>2024</v>
      </c>
      <c r="AW3" s="154">
        <v>2025</v>
      </c>
      <c r="AX3" s="154">
        <v>2026</v>
      </c>
      <c r="AY3" s="154">
        <v>2027</v>
      </c>
      <c r="AZ3" s="154">
        <v>2028</v>
      </c>
      <c r="BA3" s="154">
        <v>2029</v>
      </c>
      <c r="BB3" s="154">
        <v>2030</v>
      </c>
      <c r="BC3" s="154">
        <v>2031</v>
      </c>
      <c r="BD3" s="154">
        <v>2032</v>
      </c>
      <c r="BE3" s="154">
        <v>2033</v>
      </c>
      <c r="BF3" s="154">
        <v>2034</v>
      </c>
      <c r="BG3" s="154">
        <v>2035</v>
      </c>
      <c r="BH3" s="154">
        <v>2036</v>
      </c>
      <c r="BI3" s="154">
        <v>2037</v>
      </c>
      <c r="BJ3" s="154">
        <v>2038</v>
      </c>
      <c r="BK3" s="154">
        <v>2039</v>
      </c>
      <c r="BL3" s="154">
        <v>2040</v>
      </c>
      <c r="BM3" s="154">
        <v>2041</v>
      </c>
      <c r="BN3" s="154">
        <v>2042</v>
      </c>
      <c r="BO3" s="154">
        <v>2043</v>
      </c>
      <c r="BP3" s="154">
        <v>2044</v>
      </c>
      <c r="BQ3" s="154">
        <v>2045</v>
      </c>
      <c r="BR3" s="154">
        <v>2046</v>
      </c>
      <c r="BS3" s="154">
        <v>2047</v>
      </c>
      <c r="BT3" s="154">
        <v>2048</v>
      </c>
    </row>
    <row r="4" spans="1:72" ht="30" x14ac:dyDescent="0.25">
      <c r="C4" s="124"/>
      <c r="D4" s="32"/>
      <c r="I4" s="105" t="s">
        <v>237</v>
      </c>
      <c r="J4" s="165">
        <f ca="1">OFFSET('Impact Summary'!U$2, 'Original Option 3 35B Max'!$J$1, 0)</f>
        <v>-7.75</v>
      </c>
      <c r="K4" s="165">
        <f ca="1">OFFSET('Impact Summary'!V$2, 'Original Option 3 35B Max'!$J$1, 0)</f>
        <v>-7.2913025897127293</v>
      </c>
      <c r="L4" s="165">
        <f ca="1">OFFSET('Impact Summary'!W$2, 'Original Option 3 35B Max'!$J$1, 0)</f>
        <v>-6.8645162772965378</v>
      </c>
      <c r="M4" s="165">
        <f ca="1">OFFSET('Impact Summary'!X$2, 'Original Option 3 35B Max'!$J$1, 0)</f>
        <v>-13.875739574607909</v>
      </c>
      <c r="N4" s="165">
        <f ca="1">OFFSET('Impact Summary'!Y$2, 'Original Option 3 35B Max'!$J$1, 0)</f>
        <v>-8.5800616444331776</v>
      </c>
      <c r="AN4" s="130" t="s">
        <v>221</v>
      </c>
      <c r="AO4" s="152">
        <f>'Original Option 3 35B Max'!F55/1.13</f>
        <v>-7.7499999999998685</v>
      </c>
      <c r="AP4" s="152">
        <f>'Original Option 3 35B Max'!G55/1.13</f>
        <v>-7.2913025897127239</v>
      </c>
      <c r="AQ4" s="152">
        <f>'Original Option 3 35B Max'!H55/1.13</f>
        <v>-6.8645162772965351</v>
      </c>
      <c r="AR4" s="152">
        <f>'Original Option 3 35B Max'!I55/1.13</f>
        <v>-13.875739574607914</v>
      </c>
      <c r="AS4" s="152">
        <f>'Original Option 3 35B Max'!J55/1.13</f>
        <v>-8.5800616444331901</v>
      </c>
      <c r="AT4" s="152">
        <f>'Original Option 3 35B Max'!K55/1.13</f>
        <v>-7.7503553307560429</v>
      </c>
      <c r="AU4" s="152">
        <f>'Original Option 3 35B Max'!L55/1.13</f>
        <v>-5.8964262059653239</v>
      </c>
      <c r="AV4" s="152">
        <f>'Original Option 3 35B Max'!M55/1.13</f>
        <v>-11.266283627581926</v>
      </c>
      <c r="AW4" s="152">
        <f>'Original Option 3 35B Max'!N55/1.13</f>
        <v>-8.2120446431384106</v>
      </c>
      <c r="AX4" s="152">
        <f>'Original Option 3 35B Max'!O55/1.13</f>
        <v>-5.8048716069482102</v>
      </c>
      <c r="AY4" s="152">
        <f>'Original Option 3 35B Max'!P55/1.13</f>
        <v>-11.834421819937051</v>
      </c>
      <c r="AZ4" s="152">
        <f>'Original Option 3 35B Max'!Q55/1.13</f>
        <v>-10.911923956717855</v>
      </c>
      <c r="BA4" s="152">
        <f>'Original Option 3 35B Max'!R55/1.13</f>
        <v>-6.6617975890158787</v>
      </c>
      <c r="BB4" s="152">
        <f>'Original Option 3 35B Max'!S55/1.13</f>
        <v>-5.3370508089662376</v>
      </c>
      <c r="BC4" s="152">
        <f>'Original Option 3 35B Max'!T55/1.13</f>
        <v>0.3319683510322704</v>
      </c>
      <c r="BD4" s="152">
        <f>'Original Option 3 35B Max'!U55/1.13</f>
        <v>-0.92686777855978064</v>
      </c>
      <c r="BE4" s="152">
        <f>'Original Option 3 35B Max'!V55/1.13</f>
        <v>1.9823815912028986</v>
      </c>
      <c r="BF4" s="152">
        <f>'Original Option 3 35B Max'!W55/1.13</f>
        <v>4.30106627426043</v>
      </c>
      <c r="BG4" s="152">
        <f>'Original Option 3 35B Max'!X55/1.13</f>
        <v>15.315280333512838</v>
      </c>
      <c r="BH4" s="152">
        <f>'Original Option 3 35B Max'!Y55/1.13</f>
        <v>16.420131973537</v>
      </c>
      <c r="BI4" s="152">
        <f>'Original Option 3 35B Max'!Z55/1.13</f>
        <v>17.446445106600901</v>
      </c>
      <c r="BJ4" s="152">
        <f>'Original Option 3 35B Max'!AA55/1.13</f>
        <v>18.398550300689152</v>
      </c>
      <c r="BK4" s="152">
        <f>'Original Option 3 35B Max'!AB55/1.13</f>
        <v>19.280549397139335</v>
      </c>
      <c r="BL4" s="152">
        <f>'Original Option 3 35B Max'!AC55/1.13</f>
        <v>20.096327487099778</v>
      </c>
      <c r="BM4" s="152">
        <f>'Original Option 3 35B Max'!AD55/1.13</f>
        <v>20.849564262008233</v>
      </c>
      <c r="BN4" s="152">
        <f>'Original Option 3 35B Max'!AE55/1.13</f>
        <v>21.543744770798035</v>
      </c>
      <c r="BO4" s="152">
        <f>'Original Option 3 35B Max'!AF55/1.13</f>
        <v>22.18216961482857</v>
      </c>
      <c r="BP4" s="152">
        <f>'Original Option 3 35B Max'!AG55/1.13</f>
        <v>22.767964609918444</v>
      </c>
      <c r="BQ4" s="152">
        <f>'Original Option 3 35B Max'!AH55/1.13</f>
        <v>23.30408994332408</v>
      </c>
      <c r="BR4" s="152">
        <f>'Original Option 3 35B Max'!AI55/1.13</f>
        <v>23.793348852052407</v>
      </c>
      <c r="BS4" s="152">
        <f>'Original Option 3 35B Max'!AJ55/1.13</f>
        <v>24.23839584751769</v>
      </c>
      <c r="BT4" s="152">
        <f>'Original Option 3 35B Max'!AK55/1.13</f>
        <v>0</v>
      </c>
    </row>
    <row r="5" spans="1:72" x14ac:dyDescent="0.25">
      <c r="B5" s="25"/>
      <c r="C5" s="45" t="s">
        <v>209</v>
      </c>
      <c r="I5" s="148"/>
      <c r="J5" s="146"/>
      <c r="K5" s="121"/>
      <c r="L5" s="54"/>
      <c r="AN5" s="130" t="s">
        <v>213</v>
      </c>
      <c r="AO5" s="152">
        <f>'Original Option 3 35B Max'!F46/1000</f>
        <v>1.3769166666666424</v>
      </c>
      <c r="AP5" s="152">
        <f>'Original Option 3 35B Max'!G46/1000</f>
        <v>2.7427811501056025</v>
      </c>
      <c r="AQ5" s="152">
        <f>'Original Option 3 35B Max'!H46/1000</f>
        <v>4.0941689175759288</v>
      </c>
      <c r="AR5" s="152">
        <f>'Original Option 3 35B Max'!I46/1000</f>
        <v>6.7516434419253937</v>
      </c>
      <c r="AS5" s="152">
        <f>'Original Option 3 35B Max'!J46/1000</f>
        <v>8.610788395986722</v>
      </c>
      <c r="AT5" s="152">
        <f>'Original Option 3 35B Max'!K46/1000</f>
        <v>10.418666898072724</v>
      </c>
      <c r="AU5" s="152">
        <f>'Original Option 3 35B Max'!L46/1000</f>
        <v>11.991958422976008</v>
      </c>
      <c r="AV5" s="152">
        <f>'Original Option 3 35B Max'!M46/1000</f>
        <v>14.59311256982825</v>
      </c>
      <c r="AW5" s="152">
        <f>'Original Option 3 35B Max'!N46/1000</f>
        <v>16.788499963820417</v>
      </c>
      <c r="AX5" s="152">
        <f>'Original Option 3 35B Max'!O46/1000</f>
        <v>18.664307584386673</v>
      </c>
      <c r="AY5" s="152">
        <f>'Original Option 3 35B Max'!P46/1000</f>
        <v>21.707052464515211</v>
      </c>
      <c r="AZ5" s="152">
        <f>'Original Option 3 35B Max'!Q46/1000</f>
        <v>24.742713186054701</v>
      </c>
      <c r="BA5" s="152">
        <f>'Original Option 3 35B Max'!R46/1000</f>
        <v>27.183852985479032</v>
      </c>
      <c r="BB5" s="152">
        <f>'Original Option 3 35B Max'!S46/1000</f>
        <v>29.522794931275808</v>
      </c>
      <c r="BC5" s="152">
        <f>'Original Option 3 35B Max'!T46/1000</f>
        <v>30.974201409593146</v>
      </c>
      <c r="BD5" s="152">
        <f>'Original Option 3 35B Max'!U46/1000</f>
        <v>32.724666625362985</v>
      </c>
      <c r="BE5" s="152">
        <f>'Original Option 3 35B Max'!V46/1000</f>
        <v>34.041731522652888</v>
      </c>
      <c r="BF5" s="152">
        <f>'Original Option 3 35B Max'!W46/1000</f>
        <v>35.003119152269299</v>
      </c>
      <c r="BG5" s="152">
        <f>'Original Option 3 35B Max'!X46/1000</f>
        <v>33.977723544349224</v>
      </c>
      <c r="BH5" s="152">
        <f>'Original Option 3 35B Max'!Y46/1000</f>
        <v>32.684142073159506</v>
      </c>
      <c r="BI5" s="152">
        <f>'Original Option 3 35B Max'!Z46/1000</f>
        <v>31.121469267725899</v>
      </c>
      <c r="BJ5" s="152">
        <f>'Original Option 3 35B Max'!AA46/1000</f>
        <v>29.288118084136624</v>
      </c>
      <c r="BK5" s="152">
        <f>'Original Option 3 35B Max'!AB46/1000</f>
        <v>27.181815828446787</v>
      </c>
      <c r="BL5" s="152">
        <f>'Original Option 3 35B Max'!AC46/1000</f>
        <v>24.799598383052501</v>
      </c>
      <c r="BM5" s="152">
        <f>'Original Option 3 35B Max'!AD46/1000</f>
        <v>22.137802721609521</v>
      </c>
      <c r="BN5" s="152">
        <f>'Original Option 3 35B Max'!AE46/1000</f>
        <v>19.192057693336679</v>
      </c>
      <c r="BO5" s="152">
        <f>'Original Option 3 35B Max'!AF46/1000</f>
        <v>15.957273053260554</v>
      </c>
      <c r="BP5" s="152">
        <f>'Original Option 3 35B Max'!AG46/1000</f>
        <v>12.427626710614565</v>
      </c>
      <c r="BQ5" s="152">
        <f>'Original Option 3 35B Max'!AH46/1000</f>
        <v>8.5965501631919494</v>
      </c>
      <c r="BR5" s="152">
        <f>'Original Option 3 35B Max'!AI46/1000</f>
        <v>4.4567120809571206</v>
      </c>
      <c r="BS5" s="152">
        <f>'Original Option 3 35B Max'!AJ46/1000</f>
        <v>0</v>
      </c>
      <c r="BT5" s="152">
        <f>'Original Option 3 35B Max'!AK46/1000</f>
        <v>0</v>
      </c>
    </row>
    <row r="6" spans="1:72" ht="30" x14ac:dyDescent="0.25">
      <c r="B6" s="24" t="s">
        <v>210</v>
      </c>
      <c r="C6" s="128">
        <v>-27.02</v>
      </c>
      <c r="I6" s="145"/>
      <c r="J6" s="146"/>
      <c r="K6" s="55"/>
      <c r="L6" s="55"/>
      <c r="AN6" s="130" t="s">
        <v>214</v>
      </c>
      <c r="AO6" s="152">
        <f>AO5</f>
        <v>1.3769166666666424</v>
      </c>
      <c r="AP6" s="152">
        <f t="shared" ref="AP6:BT6" si="0">AP5-AO5</f>
        <v>1.3658644834389602</v>
      </c>
      <c r="AQ6" s="152">
        <f t="shared" si="0"/>
        <v>1.3513877674703263</v>
      </c>
      <c r="AR6" s="152">
        <f t="shared" si="0"/>
        <v>2.6574745243494649</v>
      </c>
      <c r="AS6" s="152">
        <f t="shared" si="0"/>
        <v>1.8591449540613283</v>
      </c>
      <c r="AT6" s="152">
        <f t="shared" si="0"/>
        <v>1.8078785020860018</v>
      </c>
      <c r="AU6" s="152">
        <f t="shared" si="0"/>
        <v>1.5732915249032846</v>
      </c>
      <c r="AV6" s="152">
        <f t="shared" si="0"/>
        <v>2.6011541468522417</v>
      </c>
      <c r="AW6" s="152">
        <f t="shared" si="0"/>
        <v>2.1953873939921671</v>
      </c>
      <c r="AX6" s="152">
        <f t="shared" si="0"/>
        <v>1.8758076205662562</v>
      </c>
      <c r="AY6" s="152">
        <f t="shared" si="0"/>
        <v>3.0427448801285379</v>
      </c>
      <c r="AZ6" s="152">
        <f t="shared" si="0"/>
        <v>3.0356607215394895</v>
      </c>
      <c r="BA6" s="152">
        <f t="shared" si="0"/>
        <v>2.4411397994243309</v>
      </c>
      <c r="BB6" s="152">
        <f t="shared" si="0"/>
        <v>2.3389419457967762</v>
      </c>
      <c r="BC6" s="152">
        <f t="shared" si="0"/>
        <v>1.4514064783173382</v>
      </c>
      <c r="BD6" s="152">
        <f t="shared" si="0"/>
        <v>1.7504652157698395</v>
      </c>
      <c r="BE6" s="152">
        <f t="shared" si="0"/>
        <v>1.3170648972899031</v>
      </c>
      <c r="BF6" s="152">
        <f t="shared" si="0"/>
        <v>0.96138762961641078</v>
      </c>
      <c r="BG6" s="152">
        <f t="shared" si="0"/>
        <v>-1.0253956079200748</v>
      </c>
      <c r="BH6" s="152">
        <f t="shared" si="0"/>
        <v>-1.293581471189718</v>
      </c>
      <c r="BI6" s="152">
        <f t="shared" si="0"/>
        <v>-1.562672805433607</v>
      </c>
      <c r="BJ6" s="152">
        <f t="shared" si="0"/>
        <v>-1.8333511835892757</v>
      </c>
      <c r="BK6" s="152">
        <f t="shared" si="0"/>
        <v>-2.1063022556898368</v>
      </c>
      <c r="BL6" s="152">
        <f t="shared" si="0"/>
        <v>-2.3822174453942857</v>
      </c>
      <c r="BM6" s="152">
        <f t="shared" si="0"/>
        <v>-2.6617956614429801</v>
      </c>
      <c r="BN6" s="152">
        <f t="shared" si="0"/>
        <v>-2.9457450282728423</v>
      </c>
      <c r="BO6" s="152">
        <f t="shared" si="0"/>
        <v>-3.2347846400761249</v>
      </c>
      <c r="BP6" s="152">
        <f t="shared" si="0"/>
        <v>-3.5296463426459894</v>
      </c>
      <c r="BQ6" s="152">
        <f t="shared" si="0"/>
        <v>-3.8310765474226152</v>
      </c>
      <c r="BR6" s="152">
        <f t="shared" si="0"/>
        <v>-4.1398380822348289</v>
      </c>
      <c r="BS6" s="152">
        <f t="shared" si="0"/>
        <v>-4.4567120809571206</v>
      </c>
      <c r="BT6" s="152">
        <f t="shared" si="0"/>
        <v>0</v>
      </c>
    </row>
    <row r="7" spans="1:72" x14ac:dyDescent="0.25">
      <c r="B7" s="24" t="s">
        <v>87</v>
      </c>
      <c r="C7" s="32">
        <v>10718</v>
      </c>
      <c r="D7" s="105" t="s">
        <v>234</v>
      </c>
      <c r="E7" s="50" t="s">
        <v>111</v>
      </c>
      <c r="I7" s="145"/>
      <c r="J7" s="146"/>
      <c r="K7" s="55"/>
      <c r="L7" s="55"/>
    </row>
    <row r="8" spans="1:72" x14ac:dyDescent="0.25">
      <c r="B8" s="24" t="s">
        <v>88</v>
      </c>
      <c r="C8" s="42">
        <f>C7/C3-1</f>
        <v>-0.11387578209023597</v>
      </c>
      <c r="I8" s="145"/>
      <c r="J8" s="146"/>
    </row>
    <row r="9" spans="1:72" x14ac:dyDescent="0.25">
      <c r="B9" s="24" t="s">
        <v>187</v>
      </c>
      <c r="C9" s="126">
        <v>0</v>
      </c>
      <c r="I9" s="145"/>
      <c r="J9" s="146"/>
    </row>
    <row r="10" spans="1:72" x14ac:dyDescent="0.25">
      <c r="B10" s="24" t="s">
        <v>188</v>
      </c>
      <c r="C10" s="127">
        <v>0</v>
      </c>
      <c r="I10" s="145"/>
      <c r="J10" s="146"/>
      <c r="N10" s="129"/>
    </row>
    <row r="11" spans="1:72" x14ac:dyDescent="0.25">
      <c r="B11" s="24" t="s">
        <v>189</v>
      </c>
      <c r="C11" s="144">
        <v>-2.6285658852001459E-2</v>
      </c>
      <c r="D11" s="105" t="s">
        <v>235</v>
      </c>
      <c r="I11" s="145"/>
      <c r="J11" s="146"/>
    </row>
    <row r="12" spans="1:72" x14ac:dyDescent="0.25">
      <c r="B12" s="24" t="s">
        <v>90</v>
      </c>
      <c r="C12" s="162">
        <v>5.1159999999999997E-2</v>
      </c>
    </row>
    <row r="13" spans="1:72" x14ac:dyDescent="0.25">
      <c r="B13" s="24" t="s">
        <v>106</v>
      </c>
      <c r="C13" s="60">
        <v>10000000000</v>
      </c>
      <c r="D13" s="105" t="s">
        <v>236</v>
      </c>
      <c r="E13" s="50" t="s">
        <v>111</v>
      </c>
    </row>
    <row r="14" spans="1:72" x14ac:dyDescent="0.25">
      <c r="B14" s="24" t="s">
        <v>107</v>
      </c>
      <c r="C14" s="162">
        <v>2020</v>
      </c>
    </row>
    <row r="15" spans="1:72" x14ac:dyDescent="0.25">
      <c r="B15" s="24" t="s">
        <v>108</v>
      </c>
      <c r="C15" s="162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'Original Option 3 35B Max'!C15-Calcs!D15)</f>
        <v>5.0022208597511053E-12</v>
      </c>
    </row>
    <row r="18" spans="2:4" x14ac:dyDescent="0.25">
      <c r="B18" s="24" t="s">
        <v>223</v>
      </c>
      <c r="C18" s="41" t="s">
        <v>224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10718.453015568402</v>
      </c>
      <c r="G45" s="32">
        <v>10539.259541615062</v>
      </c>
      <c r="H45" s="32">
        <v>10341.038068949099</v>
      </c>
      <c r="I45" s="32">
        <v>9720.4109623309505</v>
      </c>
      <c r="J45" s="32">
        <v>9329.8246006118807</v>
      </c>
      <c r="K45" s="32">
        <v>9266.2756942914111</v>
      </c>
      <c r="L45" s="32">
        <v>9203.1596432139249</v>
      </c>
      <c r="M45" s="32">
        <v>9140.4734990413344</v>
      </c>
      <c r="N45" s="32">
        <v>9078.214333517768</v>
      </c>
      <c r="O45" s="32">
        <v>9016.3792383328018</v>
      </c>
      <c r="P45" s="32">
        <v>8954.9653249855892</v>
      </c>
      <c r="Q45" s="32">
        <v>8893.9697246499472</v>
      </c>
      <c r="R45" s="32">
        <v>8833.3895880403252</v>
      </c>
      <c r="S45" s="32">
        <v>8773.2220852787195</v>
      </c>
      <c r="T45" s="32">
        <v>8713.464405762481</v>
      </c>
      <c r="U45" s="32">
        <v>8654.1137580330233</v>
      </c>
      <c r="V45" s="32">
        <v>8595.1673696454145</v>
      </c>
      <c r="W45" s="32">
        <v>8536.6224870388796</v>
      </c>
      <c r="X45" s="32">
        <v>8478.476375408176</v>
      </c>
      <c r="Y45" s="32">
        <v>8420.7263185758329</v>
      </c>
      <c r="Z45" s="32">
        <v>8363.3696188652702</v>
      </c>
      <c r="AA45" s="32">
        <v>8306.4035969747965</v>
      </c>
      <c r="AB45" s="32">
        <v>8249.8255918524301</v>
      </c>
      <c r="AC45" s="32">
        <v>8193.6329605716164</v>
      </c>
      <c r="AD45" s="32">
        <v>8137.8230782077462</v>
      </c>
      <c r="AE45" s="32">
        <v>8082.3933377155545</v>
      </c>
      <c r="AF45" s="32">
        <v>8027.3411498073256</v>
      </c>
      <c r="AG45" s="32">
        <v>7972.6639428319559</v>
      </c>
      <c r="AH45" s="32">
        <v>7918.3591626548014</v>
      </c>
      <c r="AI45" s="32">
        <v>7864.4242725383901</v>
      </c>
      <c r="AJ45" s="32">
        <v>7810.8567530239043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1376.9166666666424</v>
      </c>
      <c r="G46" s="32">
        <v>2742.7811501056026</v>
      </c>
      <c r="H46" s="32">
        <v>4094.1689175759288</v>
      </c>
      <c r="I46" s="32">
        <v>6751.6434419253937</v>
      </c>
      <c r="J46" s="32">
        <v>8610.7883959867213</v>
      </c>
      <c r="K46" s="32">
        <v>10418.666898072725</v>
      </c>
      <c r="L46" s="32">
        <v>11991.958422976008</v>
      </c>
      <c r="M46" s="32">
        <v>14593.11256982825</v>
      </c>
      <c r="N46" s="32">
        <v>16788.499963820417</v>
      </c>
      <c r="O46" s="32">
        <v>18664.307584386672</v>
      </c>
      <c r="P46" s="32">
        <v>21707.052464515211</v>
      </c>
      <c r="Q46" s="32">
        <v>24742.713186054702</v>
      </c>
      <c r="R46" s="32">
        <v>27183.852985479032</v>
      </c>
      <c r="S46" s="32">
        <v>29522.794931275806</v>
      </c>
      <c r="T46" s="32">
        <v>30974.201409593144</v>
      </c>
      <c r="U46" s="32">
        <v>32724.666625362988</v>
      </c>
      <c r="V46" s="32">
        <v>34041.731522652888</v>
      </c>
      <c r="W46" s="32">
        <v>35003.119152269297</v>
      </c>
      <c r="X46" s="32">
        <v>33977.723544349225</v>
      </c>
      <c r="Y46" s="32">
        <v>32684.142073159506</v>
      </c>
      <c r="Z46" s="32">
        <v>31121.469267725901</v>
      </c>
      <c r="AA46" s="32">
        <v>29288.118084136622</v>
      </c>
      <c r="AB46" s="32">
        <v>27181.815828446786</v>
      </c>
      <c r="AC46" s="32">
        <v>24799.5983830525</v>
      </c>
      <c r="AD46" s="32">
        <v>22137.802721609522</v>
      </c>
      <c r="AE46" s="32">
        <v>19192.057693336679</v>
      </c>
      <c r="AF46" s="32">
        <v>15957.273053260555</v>
      </c>
      <c r="AG46" s="32">
        <v>12427.626710614564</v>
      </c>
      <c r="AH46" s="32">
        <v>8596.5501631919487</v>
      </c>
      <c r="AI46" s="32">
        <v>4456.7120809571206</v>
      </c>
      <c r="AJ46" s="32">
        <v>0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151.46063261808928</v>
      </c>
      <c r="G54" s="32">
        <v>154.53033106327391</v>
      </c>
      <c r="H54" s="32">
        <v>157.65729667367626</v>
      </c>
      <c r="I54" s="32">
        <v>160.26073796940852</v>
      </c>
      <c r="J54" s="32">
        <v>163.90046814653007</v>
      </c>
      <c r="K54" s="32">
        <v>168.15571268781773</v>
      </c>
      <c r="L54" s="32">
        <v>175.08334929059495</v>
      </c>
      <c r="M54" s="32">
        <v>171.72095637012615</v>
      </c>
      <c r="N54" s="32">
        <v>184.21897810258278</v>
      </c>
      <c r="O54" s="32">
        <v>181.89538841931756</v>
      </c>
      <c r="P54" s="32">
        <v>185.0704863625763</v>
      </c>
      <c r="Q54" s="32">
        <v>186.52700727708947</v>
      </c>
      <c r="R54" s="32">
        <v>190.18840380437496</v>
      </c>
      <c r="S54" s="32">
        <v>193.82458312294312</v>
      </c>
      <c r="T54" s="32">
        <v>202.79810980823669</v>
      </c>
      <c r="U54" s="32">
        <v>203.70228400621212</v>
      </c>
      <c r="V54" s="32">
        <v>208.94596969216639</v>
      </c>
      <c r="W54" s="32">
        <v>212.98209780893055</v>
      </c>
      <c r="X54" s="32">
        <v>221.90069807386837</v>
      </c>
      <c r="Y54" s="32">
        <v>223.9931982890337</v>
      </c>
      <c r="Z54" s="32">
        <v>226.00043183659608</v>
      </c>
      <c r="AA54" s="32">
        <v>227.92730662211017</v>
      </c>
      <c r="AB54" s="32">
        <v>229.77847214927453</v>
      </c>
      <c r="AC54" s="32">
        <v>231.55833305357334</v>
      </c>
      <c r="AD54" s="32">
        <v>233.27106192856269</v>
      </c>
      <c r="AE54" s="32">
        <v>234.92061148176009</v>
      </c>
      <c r="AF54" s="32">
        <v>236.51072605516339</v>
      </c>
      <c r="AG54" s="32">
        <v>238.04495254359671</v>
      </c>
      <c r="AH54" s="32">
        <v>239.52665074234577</v>
      </c>
      <c r="AI54" s="32">
        <v>240.95900315390188</v>
      </c>
      <c r="AJ54" s="32">
        <v>242.34502428207563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-8.7574999999998511</v>
      </c>
      <c r="G55" s="37">
        <v>-8.2391719263753771</v>
      </c>
      <c r="H55" s="37">
        <v>-7.7569033933450839</v>
      </c>
      <c r="I55" s="37">
        <v>-15.679585719306942</v>
      </c>
      <c r="J55" s="37">
        <v>-9.6954696582095039</v>
      </c>
      <c r="K55" s="37">
        <v>-8.7579015237543274</v>
      </c>
      <c r="L55" s="37">
        <v>-6.6629616127408156</v>
      </c>
      <c r="M55" s="37">
        <v>-12.730900499167575</v>
      </c>
      <c r="N55" s="37">
        <v>-9.2796104467464033</v>
      </c>
      <c r="O55" s="37">
        <v>-6.5595049158514769</v>
      </c>
      <c r="P55" s="37">
        <v>-13.372896656528866</v>
      </c>
      <c r="Q55" s="37">
        <v>-12.330474071091174</v>
      </c>
      <c r="R55" s="37">
        <v>-7.5278312755879426</v>
      </c>
      <c r="S55" s="37">
        <v>-6.0308674141318477</v>
      </c>
      <c r="T55" s="37">
        <v>0.37512423666646555</v>
      </c>
      <c r="U55" s="37">
        <v>-1.047360589772552</v>
      </c>
      <c r="V55" s="37">
        <v>2.2400911980592753</v>
      </c>
      <c r="W55" s="37">
        <v>4.8602048899142858</v>
      </c>
      <c r="X55" s="37">
        <v>17.306266776869506</v>
      </c>
      <c r="Y55" s="37">
        <v>18.554749130096809</v>
      </c>
      <c r="Z55" s="37">
        <v>19.714482970459017</v>
      </c>
      <c r="AA55" s="37">
        <v>20.79036183977874</v>
      </c>
      <c r="AB55" s="37">
        <v>21.787020818767445</v>
      </c>
      <c r="AC55" s="37">
        <v>22.708850060422748</v>
      </c>
      <c r="AD55" s="37">
        <v>23.560007616069299</v>
      </c>
      <c r="AE55" s="37">
        <v>24.344431591001779</v>
      </c>
      <c r="AF55" s="37">
        <v>25.065851664756281</v>
      </c>
      <c r="AG55" s="37">
        <v>25.72780000920784</v>
      </c>
      <c r="AH55" s="37">
        <v>26.333621635956206</v>
      </c>
      <c r="AI55" s="37">
        <v>26.886484202819219</v>
      </c>
      <c r="AJ55" s="37">
        <v>27.389387307694989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1793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94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95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96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/>
  <dimension ref="A1:BT57"/>
  <sheetViews>
    <sheetView zoomScale="85" zoomScaleNormal="85" workbookViewId="0">
      <selection activeCell="I45" sqref="I45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31.7109375" style="105" customWidth="1"/>
    <col min="41" max="52" width="5.28515625" style="105" bestFit="1" customWidth="1"/>
    <col min="53" max="67" width="4.7109375" style="105" bestFit="1" customWidth="1"/>
    <col min="68" max="71" width="5.28515625" style="105" bestFit="1" customWidth="1"/>
    <col min="72" max="72" width="4.28515625" style="105" customWidth="1"/>
    <col min="73" max="16384" width="9.140625" style="105"/>
  </cols>
  <sheetData>
    <row r="1" spans="1:72" x14ac:dyDescent="0.25">
      <c r="A1" s="54"/>
      <c r="B1" s="46"/>
      <c r="I1" s="105" t="s">
        <v>232</v>
      </c>
      <c r="J1" s="105">
        <v>2</v>
      </c>
      <c r="L1" s="105" t="s">
        <v>233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53"/>
      <c r="AO3" s="154">
        <v>2017</v>
      </c>
      <c r="AP3" s="154">
        <v>2018</v>
      </c>
      <c r="AQ3" s="154">
        <v>2019</v>
      </c>
      <c r="AR3" s="154">
        <v>2020</v>
      </c>
      <c r="AS3" s="154">
        <v>2021</v>
      </c>
      <c r="AT3" s="154">
        <v>2022</v>
      </c>
      <c r="AU3" s="154">
        <v>2023</v>
      </c>
      <c r="AV3" s="154">
        <v>2024</v>
      </c>
      <c r="AW3" s="154">
        <v>2025</v>
      </c>
      <c r="AX3" s="154">
        <v>2026</v>
      </c>
      <c r="AY3" s="154">
        <v>2027</v>
      </c>
      <c r="AZ3" s="154">
        <v>2028</v>
      </c>
      <c r="BA3" s="154">
        <v>2029</v>
      </c>
      <c r="BB3" s="154">
        <v>2030</v>
      </c>
      <c r="BC3" s="154">
        <v>2031</v>
      </c>
      <c r="BD3" s="154">
        <v>2032</v>
      </c>
      <c r="BE3" s="154">
        <v>2033</v>
      </c>
      <c r="BF3" s="154">
        <v>2034</v>
      </c>
      <c r="BG3" s="154">
        <v>2035</v>
      </c>
      <c r="BH3" s="154">
        <v>2036</v>
      </c>
      <c r="BI3" s="154">
        <v>2037</v>
      </c>
      <c r="BJ3" s="154">
        <v>2038</v>
      </c>
      <c r="BK3" s="154">
        <v>2039</v>
      </c>
      <c r="BL3" s="154">
        <v>2040</v>
      </c>
      <c r="BM3" s="154">
        <v>2041</v>
      </c>
      <c r="BN3" s="154">
        <v>2042</v>
      </c>
      <c r="BO3" s="154">
        <v>2043</v>
      </c>
      <c r="BP3" s="154">
        <v>2044</v>
      </c>
      <c r="BQ3" s="154">
        <v>2045</v>
      </c>
      <c r="BR3" s="154">
        <v>2046</v>
      </c>
      <c r="BS3" s="154">
        <v>2047</v>
      </c>
      <c r="BT3" s="154">
        <v>2048</v>
      </c>
    </row>
    <row r="4" spans="1:72" ht="30" x14ac:dyDescent="0.25">
      <c r="C4" s="124"/>
      <c r="D4" s="32"/>
      <c r="I4" s="105" t="s">
        <v>237</v>
      </c>
      <c r="J4" s="59">
        <f ca="1">OFFSET('Impact Summary'!U$2, '1'!$J$1, 0)</f>
        <v>-26.31</v>
      </c>
      <c r="K4" s="59">
        <f ca="1">OFFSET('Impact Summary'!V$2, '1'!$J$1, 0)</f>
        <v>-26.060000000000002</v>
      </c>
      <c r="L4" s="59">
        <f ca="1">OFFSET('Impact Summary'!W$2, '1'!$J$1, 0)</f>
        <v>-25.830000000000002</v>
      </c>
      <c r="M4" s="59">
        <f ca="1">OFFSET('Impact Summary'!X$2, '1'!$J$1, 0)</f>
        <v>-33.1</v>
      </c>
      <c r="N4" s="59">
        <f ca="1">OFFSET('Impact Summary'!Y$2, '1'!$J$1, 0)</f>
        <v>-28.080000000000002</v>
      </c>
      <c r="AN4" s="130" t="s">
        <v>221</v>
      </c>
      <c r="AO4" s="152">
        <f>'1'!F55/1.13</f>
        <v>-26.310000000000027</v>
      </c>
      <c r="AP4" s="152">
        <f>'1'!G55/1.13</f>
        <v>-26.049999999999997</v>
      </c>
      <c r="AQ4" s="152">
        <f>'1'!H55/1.13</f>
        <v>-25.829999999999988</v>
      </c>
      <c r="AR4" s="152">
        <f>'1'!I55/1.13</f>
        <v>-33.099999999999994</v>
      </c>
      <c r="AS4" s="152">
        <f>'1'!J55/1.13</f>
        <v>-28.090000000000035</v>
      </c>
      <c r="AT4" s="152">
        <f>'1'!K55/1.13</f>
        <v>-25.392141511506516</v>
      </c>
      <c r="AU4" s="152">
        <f>'1'!L55/1.13</f>
        <v>-21.604377560739213</v>
      </c>
      <c r="AV4" s="152">
        <f>'1'!M55/1.13</f>
        <v>-24.971622082257579</v>
      </c>
      <c r="AW4" s="152">
        <f>'1'!N55/1.13</f>
        <v>-19.842757703805518</v>
      </c>
      <c r="AX4" s="152">
        <f>'1'!O55/1.13</f>
        <v>-15.3528060515942</v>
      </c>
      <c r="AY4" s="152">
        <f>'1'!P55/1.13</f>
        <v>-19.086175944861715</v>
      </c>
      <c r="AZ4" s="152">
        <f>'1'!Q55/1.13</f>
        <v>-15.852122705266801</v>
      </c>
      <c r="BA4" s="152">
        <f>'1'!R55/1.13</f>
        <v>-9.203970753129445</v>
      </c>
      <c r="BB4" s="152">
        <f>'1'!S55/1.13</f>
        <v>-5.3903234442979775</v>
      </c>
      <c r="BC4" s="152">
        <f>'1'!T55/1.13</f>
        <v>2.8438671008917629</v>
      </c>
      <c r="BD4" s="152">
        <f>'1'!U55/1.13</f>
        <v>4.2126792426534427</v>
      </c>
      <c r="BE4" s="152">
        <f>'1'!V55/1.13</f>
        <v>9.8148968666775129</v>
      </c>
      <c r="BF4" s="152">
        <f>'1'!W55/1.13</f>
        <v>14.895201155408072</v>
      </c>
      <c r="BG4" s="152">
        <f>'1'!X55/1.13</f>
        <v>28.652407090250481</v>
      </c>
      <c r="BH4" s="152">
        <f>'1'!Y55/1.13</f>
        <v>32.689660857316426</v>
      </c>
      <c r="BI4" s="152">
        <f>'1'!Z55/1.13</f>
        <v>36.742079079906048</v>
      </c>
      <c r="BJ4" s="152">
        <f>'1'!AA55/1.13</f>
        <v>40.818105438984908</v>
      </c>
      <c r="BK4" s="152">
        <f>'1'!AB55/1.13</f>
        <v>44.926119802324564</v>
      </c>
      <c r="BL4" s="152">
        <f>'1'!AC55/1.13</f>
        <v>49.074456972087638</v>
      </c>
      <c r="BM4" s="152">
        <f>'1'!AD55/1.13</f>
        <v>53.271425082677219</v>
      </c>
      <c r="BN4" s="152">
        <f>'1'!AE55/1.13</f>
        <v>57.525323692845411</v>
      </c>
      <c r="BO4" s="152">
        <f>'1'!AF55/1.13</f>
        <v>61.844461614809703</v>
      </c>
      <c r="BP4" s="152">
        <f>'1'!AG55/1.13</f>
        <v>66.237174521984144</v>
      </c>
      <c r="BQ4" s="152">
        <f>'1'!AH55/1.13</f>
        <v>70.711842375899494</v>
      </c>
      <c r="BR4" s="152">
        <f>'1'!AI55/1.13</f>
        <v>75.276906711949891</v>
      </c>
      <c r="BS4" s="152">
        <f>'1'!AJ55/1.13</f>
        <v>79.940887822767991</v>
      </c>
      <c r="BT4" s="152">
        <f>'1'!AK55/1.13</f>
        <v>0</v>
      </c>
    </row>
    <row r="5" spans="1:72" x14ac:dyDescent="0.25">
      <c r="B5" s="25"/>
      <c r="C5" s="45" t="s">
        <v>209</v>
      </c>
      <c r="I5" s="148"/>
      <c r="J5" s="146"/>
      <c r="K5" s="121"/>
      <c r="L5" s="54"/>
      <c r="AN5" s="130" t="s">
        <v>213</v>
      </c>
      <c r="AO5" s="152">
        <f>'1'!F46/1000</f>
        <v>4.6744100000000035</v>
      </c>
      <c r="AP5" s="152">
        <f>'1'!G46/1000</f>
        <v>9.5417694822666714</v>
      </c>
      <c r="AQ5" s="152">
        <f>'1'!H46/1000</f>
        <v>14.586964590797612</v>
      </c>
      <c r="AR5" s="152">
        <f>'1'!I46/1000</f>
        <v>21.172876123505244</v>
      </c>
      <c r="AS5" s="152">
        <f>'1'!J46/1000</f>
        <v>27.211837435680753</v>
      </c>
      <c r="AT5" s="152">
        <f>'1'!K46/1000</f>
        <v>33.083784368586876</v>
      </c>
      <c r="AU5" s="152">
        <f>'1'!L46/1000</f>
        <v>38.587886721084509</v>
      </c>
      <c r="AV5" s="152">
        <f>'1'!M46/1000</f>
        <v>44.967642513701968</v>
      </c>
      <c r="AW5" s="152">
        <f>'1'!N46/1000</f>
        <v>50.768930600204648</v>
      </c>
      <c r="AX5" s="152">
        <f>'1'!O46/1000</f>
        <v>56.055801568022218</v>
      </c>
      <c r="AY5" s="152">
        <f>'1'!P46/1000</f>
        <v>62.290880508090261</v>
      </c>
      <c r="AZ5" s="152">
        <f>'1'!Q46/1000</f>
        <v>68.274380693976994</v>
      </c>
      <c r="BA5" s="152">
        <f>'1'!R46/1000</f>
        <v>73.391101577696602</v>
      </c>
      <c r="BB5" s="152">
        <f>'1'!S46/1000</f>
        <v>78.103471133015177</v>
      </c>
      <c r="BC5" s="152">
        <f>'1'!T46/1000</f>
        <v>81.593984327921802</v>
      </c>
      <c r="BD5" s="152">
        <f>'1'!U46/1000</f>
        <v>85.01464595254356</v>
      </c>
      <c r="BE5" s="152">
        <f>'1'!V46/1000</f>
        <v>87.595826697887887</v>
      </c>
      <c r="BF5" s="152">
        <f>'1'!W46/1000</f>
        <v>89.375329976107196</v>
      </c>
      <c r="BG5" s="152">
        <f>'1'!X46/1000</f>
        <v>88.679201972120012</v>
      </c>
      <c r="BH5" s="152">
        <f>'1'!Y46/1000</f>
        <v>87.180074313626591</v>
      </c>
      <c r="BI5" s="152">
        <f>'1'!Z46/1000</f>
        <v>84.827756678885478</v>
      </c>
      <c r="BJ5" s="152">
        <f>'1'!AA46/1000</f>
        <v>81.567844687867861</v>
      </c>
      <c r="BK5" s="152">
        <f>'1'!AB46/1000</f>
        <v>77.341489557519651</v>
      </c>
      <c r="BL5" s="152">
        <f>'1'!AC46/1000</f>
        <v>72.085152425722853</v>
      </c>
      <c r="BM5" s="152">
        <f>'1'!AD46/1000</f>
        <v>65.730342538451609</v>
      </c>
      <c r="BN5" s="152">
        <f>'1'!AE46/1000</f>
        <v>58.203338445733586</v>
      </c>
      <c r="BO5" s="152">
        <f>'1'!AF46/1000</f>
        <v>49.42489130062026</v>
      </c>
      <c r="BP5" s="152">
        <f>'1'!AG46/1000</f>
        <v>39.309909301293246</v>
      </c>
      <c r="BQ5" s="152">
        <f>'1'!AH46/1000</f>
        <v>27.767122259535451</v>
      </c>
      <c r="BR5" s="152">
        <f>'1'!AI46/1000</f>
        <v>14.698725218913982</v>
      </c>
      <c r="BS5" s="152">
        <f>'1'!AJ46/1000</f>
        <v>0</v>
      </c>
      <c r="BT5" s="152">
        <f>'1'!AK46/1000</f>
        <v>0</v>
      </c>
    </row>
    <row r="6" spans="1:72" ht="30" x14ac:dyDescent="0.25">
      <c r="B6" s="24" t="s">
        <v>210</v>
      </c>
      <c r="C6" s="128">
        <v>-27.02</v>
      </c>
      <c r="I6" s="145"/>
      <c r="J6" s="146"/>
      <c r="K6" s="55"/>
      <c r="L6" s="55"/>
      <c r="AN6" s="130" t="s">
        <v>214</v>
      </c>
      <c r="AO6" s="152">
        <f>AO5</f>
        <v>4.6744100000000035</v>
      </c>
      <c r="AP6" s="152">
        <f t="shared" ref="AP6:BT6" si="0">AP5-AO5</f>
        <v>4.8673594822666679</v>
      </c>
      <c r="AQ6" s="152">
        <f t="shared" si="0"/>
        <v>5.0451951085309403</v>
      </c>
      <c r="AR6" s="152">
        <f t="shared" si="0"/>
        <v>6.5859115327076321</v>
      </c>
      <c r="AS6" s="152">
        <f t="shared" si="0"/>
        <v>6.038961312175509</v>
      </c>
      <c r="AT6" s="152">
        <f t="shared" si="0"/>
        <v>5.8719469329061234</v>
      </c>
      <c r="AU6" s="152">
        <f t="shared" si="0"/>
        <v>5.5041023524976325</v>
      </c>
      <c r="AV6" s="152">
        <f t="shared" si="0"/>
        <v>6.3797557926174591</v>
      </c>
      <c r="AW6" s="152">
        <f t="shared" si="0"/>
        <v>5.8012880865026801</v>
      </c>
      <c r="AX6" s="152">
        <f t="shared" si="0"/>
        <v>5.2868709678175705</v>
      </c>
      <c r="AY6" s="152">
        <f t="shared" si="0"/>
        <v>6.2350789400680426</v>
      </c>
      <c r="AZ6" s="152">
        <f t="shared" si="0"/>
        <v>5.9835001858867329</v>
      </c>
      <c r="BA6" s="152">
        <f t="shared" si="0"/>
        <v>5.1167208837196085</v>
      </c>
      <c r="BB6" s="152">
        <f t="shared" si="0"/>
        <v>4.712369555318574</v>
      </c>
      <c r="BC6" s="152">
        <f t="shared" si="0"/>
        <v>3.4905131949066259</v>
      </c>
      <c r="BD6" s="152">
        <f t="shared" si="0"/>
        <v>3.4206616246217578</v>
      </c>
      <c r="BE6" s="152">
        <f t="shared" si="0"/>
        <v>2.5811807453443265</v>
      </c>
      <c r="BF6" s="152">
        <f t="shared" si="0"/>
        <v>1.779503278219309</v>
      </c>
      <c r="BG6" s="152">
        <f t="shared" si="0"/>
        <v>-0.69612800398718377</v>
      </c>
      <c r="BH6" s="152">
        <f t="shared" si="0"/>
        <v>-1.4991276584934212</v>
      </c>
      <c r="BI6" s="152">
        <f t="shared" si="0"/>
        <v>-2.3523176347411123</v>
      </c>
      <c r="BJ6" s="152">
        <f t="shared" si="0"/>
        <v>-3.2599119910176171</v>
      </c>
      <c r="BK6" s="152">
        <f t="shared" si="0"/>
        <v>-4.2263551303482103</v>
      </c>
      <c r="BL6" s="152">
        <f t="shared" si="0"/>
        <v>-5.2563371317967977</v>
      </c>
      <c r="BM6" s="152">
        <f t="shared" si="0"/>
        <v>-6.3548098872712444</v>
      </c>
      <c r="BN6" s="152">
        <f t="shared" si="0"/>
        <v>-7.5270040927180233</v>
      </c>
      <c r="BO6" s="152">
        <f t="shared" si="0"/>
        <v>-8.7784471451133257</v>
      </c>
      <c r="BP6" s="152">
        <f t="shared" si="0"/>
        <v>-10.114981999327014</v>
      </c>
      <c r="BQ6" s="152">
        <f t="shared" si="0"/>
        <v>-11.542787041757794</v>
      </c>
      <c r="BR6" s="152">
        <f t="shared" si="0"/>
        <v>-13.06839704062147</v>
      </c>
      <c r="BS6" s="152">
        <f t="shared" si="0"/>
        <v>-14.698725218913982</v>
      </c>
      <c r="BT6" s="152">
        <f t="shared" si="0"/>
        <v>0</v>
      </c>
    </row>
    <row r="7" spans="1:72" x14ac:dyDescent="0.25">
      <c r="B7" s="24" t="s">
        <v>87</v>
      </c>
      <c r="C7" s="32">
        <v>9856.3916075683792</v>
      </c>
      <c r="D7" s="105" t="s">
        <v>234</v>
      </c>
      <c r="E7" s="50" t="s">
        <v>111</v>
      </c>
      <c r="I7" s="145"/>
      <c r="J7" s="146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5"/>
      <c r="J8" s="146"/>
    </row>
    <row r="9" spans="1:72" x14ac:dyDescent="0.25">
      <c r="B9" s="24" t="s">
        <v>187</v>
      </c>
      <c r="C9" s="126">
        <v>0</v>
      </c>
      <c r="I9" s="145"/>
      <c r="J9" s="146"/>
    </row>
    <row r="10" spans="1:72" x14ac:dyDescent="0.25">
      <c r="B10" s="24" t="s">
        <v>188</v>
      </c>
      <c r="C10" s="127">
        <v>0</v>
      </c>
      <c r="I10" s="145"/>
      <c r="J10" s="146"/>
      <c r="N10" s="129"/>
    </row>
    <row r="11" spans="1:72" x14ac:dyDescent="0.25">
      <c r="B11" s="24" t="s">
        <v>189</v>
      </c>
      <c r="C11" s="144">
        <v>2.4690885130142899E-2</v>
      </c>
      <c r="D11" s="105" t="s">
        <v>235</v>
      </c>
      <c r="I11" s="145"/>
      <c r="J11" s="146"/>
    </row>
    <row r="12" spans="1:72" x14ac:dyDescent="0.25">
      <c r="B12" s="24" t="s">
        <v>90</v>
      </c>
      <c r="C12" s="155">
        <v>5.1159999999999997E-2</v>
      </c>
    </row>
    <row r="13" spans="1:72" x14ac:dyDescent="0.25">
      <c r="B13" s="24" t="s">
        <v>106</v>
      </c>
      <c r="C13" s="60">
        <v>1000000000000</v>
      </c>
      <c r="D13" s="105" t="s">
        <v>236</v>
      </c>
      <c r="E13" s="50" t="s">
        <v>111</v>
      </c>
    </row>
    <row r="14" spans="1:72" x14ac:dyDescent="0.25">
      <c r="B14" s="24" t="s">
        <v>107</v>
      </c>
      <c r="C14" s="155">
        <v>2020</v>
      </c>
    </row>
    <row r="15" spans="1:72" x14ac:dyDescent="0.25">
      <c r="B15" s="24" t="s">
        <v>108</v>
      </c>
      <c r="C15" s="155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'1'!C15-Calcs!D15)</f>
        <v>5.0022208597511053E-12</v>
      </c>
    </row>
    <row r="18" spans="2:4" x14ac:dyDescent="0.25">
      <c r="B18" s="24" t="s">
        <v>223</v>
      </c>
      <c r="C18" s="41" t="s">
        <v>224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7420.9596822350413</v>
      </c>
      <c r="G45" s="32">
        <v>7206.464301720689</v>
      </c>
      <c r="H45" s="32">
        <v>6995.0669709618442</v>
      </c>
      <c r="I45" s="32">
        <v>6328.7853806148069</v>
      </c>
      <c r="J45" s="32">
        <v>5887.7985064873264</v>
      </c>
      <c r="K45" s="32">
        <v>6153.8369323420402</v>
      </c>
      <c r="L45" s="32">
        <v>6431.8962254110893</v>
      </c>
      <c r="M45" s="32">
        <v>6722.5195450073488</v>
      </c>
      <c r="N45" s="32">
        <v>7026.2745929358307</v>
      </c>
      <c r="O45" s="32">
        <v>7343.7547224389082</v>
      </c>
      <c r="P45" s="32">
        <v>7675.5800972488814</v>
      </c>
      <c r="Q45" s="32">
        <v>8022.3989030120101</v>
      </c>
      <c r="R45" s="32">
        <v>8384.8886134503518</v>
      </c>
      <c r="S45" s="32">
        <v>8763.7573137347808</v>
      </c>
      <c r="T45" s="32">
        <v>9159.7450836541848</v>
      </c>
      <c r="U45" s="32">
        <v>9573.6254432828046</v>
      </c>
      <c r="V45" s="32">
        <v>10006.206863969552</v>
      </c>
      <c r="W45" s="32">
        <v>10458.334347600994</v>
      </c>
      <c r="X45" s="32">
        <v>10930.891077222843</v>
      </c>
      <c r="Y45" s="32">
        <v>11424.800142244268</v>
      </c>
      <c r="Z45" s="32">
        <v>11941.026341595087</v>
      </c>
      <c r="AA45" s="32">
        <v>12480.578068358049</v>
      </c>
      <c r="AB45" s="32">
        <v>13044.509279557687</v>
      </c>
      <c r="AC45" s="32">
        <v>13633.921554953497</v>
      </c>
      <c r="AD45" s="32">
        <v>14249.966248859037</v>
      </c>
      <c r="AE45" s="32">
        <v>14893.846739190391</v>
      </c>
      <c r="AF45" s="32">
        <v>15566.820778137162</v>
      </c>
      <c r="AG45" s="32">
        <v>16270.202949047905</v>
      </c>
      <c r="AH45" s="32">
        <v>17005.367234329096</v>
      </c>
      <c r="AI45" s="32">
        <v>17773.749699373966</v>
      </c>
      <c r="AJ45" s="32">
        <v>18576.851297763777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4674.4100000000035</v>
      </c>
      <c r="G46" s="32">
        <v>9541.7694822666708</v>
      </c>
      <c r="H46" s="32">
        <v>14586.964590797612</v>
      </c>
      <c r="I46" s="32">
        <v>21172.876123505244</v>
      </c>
      <c r="J46" s="32">
        <v>27211.837435680754</v>
      </c>
      <c r="K46" s="32">
        <v>33083.784368586879</v>
      </c>
      <c r="L46" s="32">
        <v>38587.886721084506</v>
      </c>
      <c r="M46" s="32">
        <v>44967.642513701969</v>
      </c>
      <c r="N46" s="32">
        <v>50768.930600204651</v>
      </c>
      <c r="O46" s="32">
        <v>56055.801568022216</v>
      </c>
      <c r="P46" s="32">
        <v>62290.88050809026</v>
      </c>
      <c r="Q46" s="32">
        <v>68274.380693977</v>
      </c>
      <c r="R46" s="32">
        <v>73391.101577696609</v>
      </c>
      <c r="S46" s="32">
        <v>78103.471133015177</v>
      </c>
      <c r="T46" s="32">
        <v>81593.984327921804</v>
      </c>
      <c r="U46" s="32">
        <v>85014.645952543564</v>
      </c>
      <c r="V46" s="32">
        <v>87595.826697887882</v>
      </c>
      <c r="W46" s="32">
        <v>89375.329976107198</v>
      </c>
      <c r="X46" s="32">
        <v>88679.201972120005</v>
      </c>
      <c r="Y46" s="32">
        <v>87180.074313626596</v>
      </c>
      <c r="Z46" s="32">
        <v>84827.756678885475</v>
      </c>
      <c r="AA46" s="32">
        <v>81567.844687867866</v>
      </c>
      <c r="AB46" s="32">
        <v>77341.489557519657</v>
      </c>
      <c r="AC46" s="32">
        <v>72085.152425722859</v>
      </c>
      <c r="AD46" s="32">
        <v>65730.342538451616</v>
      </c>
      <c r="AE46" s="32">
        <v>58203.338445733585</v>
      </c>
      <c r="AF46" s="32">
        <v>49424.891300620257</v>
      </c>
      <c r="AG46" s="32">
        <v>39309.909301293243</v>
      </c>
      <c r="AH46" s="32">
        <v>27767.122259535452</v>
      </c>
      <c r="AI46" s="32">
        <v>14698.725218913982</v>
      </c>
      <c r="AJ46" s="32">
        <v>0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130.4878326180891</v>
      </c>
      <c r="G54" s="32">
        <v>133.33300298964929</v>
      </c>
      <c r="H54" s="32">
        <v>136.22630006702136</v>
      </c>
      <c r="I54" s="32">
        <v>138.53732368871547</v>
      </c>
      <c r="J54" s="32">
        <v>141.85423780473954</v>
      </c>
      <c r="K54" s="32">
        <v>148.22049430356969</v>
      </c>
      <c r="L54" s="32">
        <v>157.33336425970046</v>
      </c>
      <c r="M54" s="32">
        <v>156.23392391634266</v>
      </c>
      <c r="N54" s="32">
        <v>171.07627234402895</v>
      </c>
      <c r="O54" s="32">
        <v>171.10622249686759</v>
      </c>
      <c r="P54" s="32">
        <v>176.87600420141143</v>
      </c>
      <c r="Q54" s="32">
        <v>180.94458269122916</v>
      </c>
      <c r="R54" s="32">
        <v>187.31574812892663</v>
      </c>
      <c r="S54" s="32">
        <v>193.76438504501826</v>
      </c>
      <c r="T54" s="32">
        <v>205.63655539557791</v>
      </c>
      <c r="U54" s="32">
        <v>209.50997214018307</v>
      </c>
      <c r="V54" s="32">
        <v>217.7967119534527</v>
      </c>
      <c r="W54" s="32">
        <v>224.95347022462738</v>
      </c>
      <c r="X54" s="32">
        <v>236.9716513089819</v>
      </c>
      <c r="Y54" s="32">
        <v>242.37776592770444</v>
      </c>
      <c r="Z54" s="32">
        <v>247.80449822643089</v>
      </c>
      <c r="AA54" s="32">
        <v>253.26140392838437</v>
      </c>
      <c r="AB54" s="32">
        <v>258.75796670713385</v>
      </c>
      <c r="AC54" s="32">
        <v>264.30361937160961</v>
      </c>
      <c r="AD54" s="32">
        <v>269.90776465591864</v>
      </c>
      <c r="AE54" s="32">
        <v>275.57979566367362</v>
      </c>
      <c r="AF54" s="32">
        <v>281.32911601514206</v>
      </c>
      <c r="AG54" s="32">
        <v>287.16515974423095</v>
      </c>
      <c r="AH54" s="32">
        <v>293.09741099115598</v>
      </c>
      <c r="AI54" s="32">
        <v>299.13542353558603</v>
      </c>
      <c r="AJ54" s="32">
        <v>305.28884021410846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-29.730300000000028</v>
      </c>
      <c r="G55" s="37">
        <v>-29.436499999999995</v>
      </c>
      <c r="H55" s="37">
        <v>-29.187899999999985</v>
      </c>
      <c r="I55" s="37">
        <v>-37.402999999999992</v>
      </c>
      <c r="J55" s="37">
        <v>-31.741700000000037</v>
      </c>
      <c r="K55" s="37">
        <v>-28.693119908002359</v>
      </c>
      <c r="L55" s="37">
        <v>-24.412946643635308</v>
      </c>
      <c r="M55" s="37">
        <v>-28.21793295295106</v>
      </c>
      <c r="N55" s="37">
        <v>-22.422316205300234</v>
      </c>
      <c r="O55" s="37">
        <v>-17.348670838301445</v>
      </c>
      <c r="P55" s="37">
        <v>-21.567378817693736</v>
      </c>
      <c r="Q55" s="37">
        <v>-17.912898656951484</v>
      </c>
      <c r="R55" s="37">
        <v>-10.400486951036271</v>
      </c>
      <c r="S55" s="37">
        <v>-6.091065492056714</v>
      </c>
      <c r="T55" s="37">
        <v>3.213569824007692</v>
      </c>
      <c r="U55" s="37">
        <v>4.7603275441983897</v>
      </c>
      <c r="V55" s="37">
        <v>11.090833459345589</v>
      </c>
      <c r="W55" s="37">
        <v>16.83157730561112</v>
      </c>
      <c r="X55" s="37">
        <v>32.377220011983042</v>
      </c>
      <c r="Y55" s="37">
        <v>36.939316768767554</v>
      </c>
      <c r="Z55" s="37">
        <v>41.518549360293832</v>
      </c>
      <c r="AA55" s="37">
        <v>46.124459146052942</v>
      </c>
      <c r="AB55" s="37">
        <v>50.766515376626757</v>
      </c>
      <c r="AC55" s="37">
        <v>55.454136378459026</v>
      </c>
      <c r="AD55" s="37">
        <v>60.196710343425252</v>
      </c>
      <c r="AE55" s="37">
        <v>65.00361577291531</v>
      </c>
      <c r="AF55" s="37">
        <v>69.884241624734955</v>
      </c>
      <c r="AG55" s="37">
        <v>74.848007209842081</v>
      </c>
      <c r="AH55" s="37">
        <v>79.904381884766423</v>
      </c>
      <c r="AI55" s="37">
        <v>85.062904584503372</v>
      </c>
      <c r="AJ55" s="37">
        <v>90.333203239727823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5233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34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35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36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5"/>
  <dimension ref="A1:BT57"/>
  <sheetViews>
    <sheetView zoomScale="85" zoomScaleNormal="85" workbookViewId="0">
      <selection activeCell="AN3" sqref="AN3:BT6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31.7109375" style="105" customWidth="1"/>
    <col min="41" max="52" width="5.28515625" style="105" bestFit="1" customWidth="1"/>
    <col min="53" max="67" width="4.7109375" style="105" bestFit="1" customWidth="1"/>
    <col min="68" max="71" width="5.28515625" style="105" bestFit="1" customWidth="1"/>
    <col min="72" max="72" width="4.28515625" style="105" customWidth="1"/>
    <col min="73" max="16384" width="9.140625" style="105"/>
  </cols>
  <sheetData>
    <row r="1" spans="1:72" x14ac:dyDescent="0.25">
      <c r="A1" s="54"/>
      <c r="B1" s="46"/>
      <c r="I1" s="105" t="s">
        <v>232</v>
      </c>
      <c r="J1" s="105">
        <v>2</v>
      </c>
      <c r="L1" s="105" t="s">
        <v>233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53"/>
      <c r="AO3" s="154">
        <v>2017</v>
      </c>
      <c r="AP3" s="154">
        <v>2018</v>
      </c>
      <c r="AQ3" s="154">
        <v>2019</v>
      </c>
      <c r="AR3" s="154">
        <v>2020</v>
      </c>
      <c r="AS3" s="154">
        <v>2021</v>
      </c>
      <c r="AT3" s="154">
        <v>2022</v>
      </c>
      <c r="AU3" s="154">
        <v>2023</v>
      </c>
      <c r="AV3" s="154">
        <v>2024</v>
      </c>
      <c r="AW3" s="154">
        <v>2025</v>
      </c>
      <c r="AX3" s="154">
        <v>2026</v>
      </c>
      <c r="AY3" s="154">
        <v>2027</v>
      </c>
      <c r="AZ3" s="154">
        <v>2028</v>
      </c>
      <c r="BA3" s="154">
        <v>2029</v>
      </c>
      <c r="BB3" s="154">
        <v>2030</v>
      </c>
      <c r="BC3" s="154">
        <v>2031</v>
      </c>
      <c r="BD3" s="154">
        <v>2032</v>
      </c>
      <c r="BE3" s="154">
        <v>2033</v>
      </c>
      <c r="BF3" s="154">
        <v>2034</v>
      </c>
      <c r="BG3" s="154">
        <v>2035</v>
      </c>
      <c r="BH3" s="154">
        <v>2036</v>
      </c>
      <c r="BI3" s="154">
        <v>2037</v>
      </c>
      <c r="BJ3" s="154">
        <v>2038</v>
      </c>
      <c r="BK3" s="154">
        <v>2039</v>
      </c>
      <c r="BL3" s="154">
        <v>2040</v>
      </c>
      <c r="BM3" s="154">
        <v>2041</v>
      </c>
      <c r="BN3" s="154">
        <v>2042</v>
      </c>
      <c r="BO3" s="154">
        <v>2043</v>
      </c>
      <c r="BP3" s="154">
        <v>2044</v>
      </c>
      <c r="BQ3" s="154">
        <v>2045</v>
      </c>
      <c r="BR3" s="154">
        <v>2046</v>
      </c>
      <c r="BS3" s="154">
        <v>2047</v>
      </c>
      <c r="BT3" s="154">
        <v>2048</v>
      </c>
    </row>
    <row r="4" spans="1:72" ht="30" x14ac:dyDescent="0.25">
      <c r="C4" s="124"/>
      <c r="D4" s="32"/>
      <c r="I4" s="105" t="s">
        <v>237</v>
      </c>
      <c r="J4" s="59">
        <f ca="1">OFFSET('Impact Summary'!U$2, '2'!$J$1, 0)</f>
        <v>-26.31</v>
      </c>
      <c r="K4" s="59">
        <f ca="1">OFFSET('Impact Summary'!V$2, '2'!$J$1, 0)</f>
        <v>-26.060000000000002</v>
      </c>
      <c r="L4" s="59">
        <f ca="1">OFFSET('Impact Summary'!W$2, '2'!$J$1, 0)</f>
        <v>-25.830000000000002</v>
      </c>
      <c r="M4" s="59">
        <f ca="1">OFFSET('Impact Summary'!X$2, '2'!$J$1, 0)</f>
        <v>-33.1</v>
      </c>
      <c r="N4" s="59">
        <f ca="1">OFFSET('Impact Summary'!Y$2, '2'!$J$1, 0)</f>
        <v>-28.080000000000002</v>
      </c>
      <c r="AN4" s="130" t="s">
        <v>221</v>
      </c>
      <c r="AO4" s="152">
        <f>'2'!F55/1.13</f>
        <v>-26.310000000000002</v>
      </c>
      <c r="AP4" s="152">
        <f>'2'!G55/1.13</f>
        <v>-26.060000000000002</v>
      </c>
      <c r="AQ4" s="152">
        <f>'2'!H55/1.13</f>
        <v>-25.829999999999988</v>
      </c>
      <c r="AR4" s="152">
        <f>'2'!I55/1.13</f>
        <v>-33.100000000000023</v>
      </c>
      <c r="AS4" s="152">
        <f>'2'!J55/1.13</f>
        <v>-28.080000000000005</v>
      </c>
      <c r="AT4" s="152">
        <f>'2'!K55/1.13</f>
        <v>-25.382477268535133</v>
      </c>
      <c r="AU4" s="152">
        <f>'2'!L55/1.13</f>
        <v>-21.595099814951368</v>
      </c>
      <c r="AV4" s="152">
        <f>'2'!M55/1.13</f>
        <v>-24.962785472825825</v>
      </c>
      <c r="AW4" s="152">
        <f>'2'!N55/1.13</f>
        <v>-19.834421017640025</v>
      </c>
      <c r="AX4" s="152">
        <f>'2'!O55/1.13</f>
        <v>-15.344977354910515</v>
      </c>
      <c r="AY4" s="152">
        <f>'2'!P55/1.13</f>
        <v>-19.079033388400688</v>
      </c>
      <c r="AZ4" s="152">
        <f>'2'!Q55/1.13</f>
        <v>-15.845684029011787</v>
      </c>
      <c r="BA4" s="152">
        <f>'2'!R55/1.13</f>
        <v>-9.1983141247484355</v>
      </c>
      <c r="BB4" s="152">
        <f>'2'!S55/1.13</f>
        <v>-5.3855661592559754</v>
      </c>
      <c r="BC4" s="152">
        <f>'2'!T55/1.13</f>
        <v>2.847675459179325</v>
      </c>
      <c r="BD4" s="152">
        <f>'2'!U55/1.13</f>
        <v>4.2154240405621666</v>
      </c>
      <c r="BE4" s="152">
        <f>'2'!V55/1.13</f>
        <v>9.8164920572351324</v>
      </c>
      <c r="BF4" s="152">
        <f>'2'!W55/1.13</f>
        <v>14.895555510050491</v>
      </c>
      <c r="BG4" s="152">
        <f>'2'!X55/1.13</f>
        <v>28.651430561989081</v>
      </c>
      <c r="BH4" s="152">
        <f>'2'!Y55/1.13</f>
        <v>32.687247758818245</v>
      </c>
      <c r="BI4" s="152">
        <f>'2'!Z55/1.13</f>
        <v>36.738113699682195</v>
      </c>
      <c r="BJ4" s="152">
        <f>'2'!AA55/1.13</f>
        <v>40.812465010246903</v>
      </c>
      <c r="BK4" s="152">
        <f>'2'!AB55/1.13</f>
        <v>44.918674119701294</v>
      </c>
      <c r="BL4" s="152">
        <f>'2'!AC55/1.13</f>
        <v>49.065067988803186</v>
      </c>
      <c r="BM4" s="152">
        <f>'2'!AD55/1.13</f>
        <v>53.259946487233158</v>
      </c>
      <c r="BN4" s="152">
        <f>'2'!AE55/1.13</f>
        <v>57.511600464204875</v>
      </c>
      <c r="BO4" s="152">
        <f>'2'!AF55/1.13</f>
        <v>61.828329555033783</v>
      </c>
      <c r="BP4" s="152">
        <f>'2'!AG55/1.13</f>
        <v>66.218459765220501</v>
      </c>
      <c r="BQ4" s="152">
        <f>'2'!AH55/1.13</f>
        <v>70.690360872571333</v>
      </c>
      <c r="BR4" s="152">
        <f>'2'!AI55/1.13</f>
        <v>75.252463686938668</v>
      </c>
      <c r="BS4" s="152">
        <f>'2'!AJ55/1.13</f>
        <v>79.913277206325333</v>
      </c>
      <c r="BT4" s="152">
        <f>'2'!AK55/1.13</f>
        <v>0</v>
      </c>
    </row>
    <row r="5" spans="1:72" x14ac:dyDescent="0.25">
      <c r="B5" s="25"/>
      <c r="C5" s="45" t="s">
        <v>209</v>
      </c>
      <c r="I5" s="148"/>
      <c r="J5" s="146"/>
      <c r="K5" s="121"/>
      <c r="L5" s="54"/>
      <c r="AN5" s="130" t="s">
        <v>213</v>
      </c>
      <c r="AO5" s="152">
        <f>'2'!F46/1000</f>
        <v>4.6744099999999982</v>
      </c>
      <c r="AP5" s="152">
        <f>'2'!G46/1000</f>
        <v>9.5435461489333324</v>
      </c>
      <c r="AQ5" s="152">
        <f>'2'!H46/1000</f>
        <v>14.588832151730942</v>
      </c>
      <c r="AR5" s="152">
        <f>'2'!I46/1000</f>
        <v>21.174839228855923</v>
      </c>
      <c r="AS5" s="152">
        <f>'2'!J46/1000</f>
        <v>27.212136731076924</v>
      </c>
      <c r="AT5" s="152">
        <f>'2'!K46/1000</f>
        <v>33.082393969190683</v>
      </c>
      <c r="AU5" s="152">
        <f>'2'!L46/1000</f>
        <v>38.58478836958318</v>
      </c>
      <c r="AV5" s="152">
        <f>'2'!M46/1000</f>
        <v>44.962826658413235</v>
      </c>
      <c r="AW5" s="152">
        <f>'2'!N46/1000</f>
        <v>50.762397572218283</v>
      </c>
      <c r="AX5" s="152">
        <f>'2'!O46/1000</f>
        <v>56.04756286500502</v>
      </c>
      <c r="AY5" s="152">
        <f>'2'!P46/1000</f>
        <v>62.280960192914101</v>
      </c>
      <c r="AZ5" s="152">
        <f>'2'!Q46/1000</f>
        <v>68.262816916895915</v>
      </c>
      <c r="BA5" s="152">
        <f>'2'!R46/1000</f>
        <v>73.377948231403266</v>
      </c>
      <c r="BB5" s="152">
        <f>'2'!S46/1000</f>
        <v>78.088799650549674</v>
      </c>
      <c r="BC5" s="152">
        <f>'2'!T46/1000</f>
        <v>81.577885634090947</v>
      </c>
      <c r="BD5" s="152">
        <f>'2'!U46/1000</f>
        <v>84.997232580237736</v>
      </c>
      <c r="BE5" s="152">
        <f>'2'!V46/1000</f>
        <v>87.577235081458994</v>
      </c>
      <c r="BF5" s="152">
        <f>'2'!W46/1000</f>
        <v>89.355722934797285</v>
      </c>
      <c r="BG5" s="152">
        <f>'2'!X46/1000</f>
        <v>88.658771397409708</v>
      </c>
      <c r="BH5" s="152">
        <f>'2'!Y46/1000</f>
        <v>87.159044075308174</v>
      </c>
      <c r="BI5" s="152">
        <f>'2'!Z46/1000</f>
        <v>84.80638576566065</v>
      </c>
      <c r="BJ5" s="152">
        <f>'2'!AA46/1000</f>
        <v>81.546430599330051</v>
      </c>
      <c r="BK5" s="152">
        <f>'2'!AB46/1000</f>
        <v>77.320371965506482</v>
      </c>
      <c r="BL5" s="152">
        <f>'2'!AC46/1000</f>
        <v>72.06471712422298</v>
      </c>
      <c r="BM5" s="152">
        <f>'2'!AD46/1000</f>
        <v>65.71102570252404</v>
      </c>
      <c r="BN5" s="152">
        <f>'2'!AE46/1000</f>
        <v>58.185631221252144</v>
      </c>
      <c r="BO5" s="152">
        <f>'2'!AF46/1000</f>
        <v>49.409344748096046</v>
      </c>
      <c r="BP5" s="152">
        <f>'2'!AG46/1000</f>
        <v>39.297139718558832</v>
      </c>
      <c r="BQ5" s="152">
        <f>'2'!AH46/1000</f>
        <v>27.757816909701543</v>
      </c>
      <c r="BR5" s="152">
        <f>'2'!AI46/1000</f>
        <v>14.693648491738534</v>
      </c>
      <c r="BS5" s="152">
        <f>'2'!AJ46/1000</f>
        <v>1.9634517229860649E-8</v>
      </c>
      <c r="BT5" s="152">
        <f>'2'!AK46/1000</f>
        <v>0</v>
      </c>
    </row>
    <row r="6" spans="1:72" ht="30" x14ac:dyDescent="0.25">
      <c r="B6" s="24" t="s">
        <v>210</v>
      </c>
      <c r="C6" s="128">
        <v>-27.02</v>
      </c>
      <c r="I6" s="145"/>
      <c r="J6" s="146"/>
      <c r="K6" s="55"/>
      <c r="L6" s="55"/>
      <c r="AN6" s="130" t="s">
        <v>214</v>
      </c>
      <c r="AO6" s="152">
        <f>AO5</f>
        <v>4.6744099999999982</v>
      </c>
      <c r="AP6" s="152">
        <f t="shared" ref="AP6:BT6" si="0">AP5-AO5</f>
        <v>4.8691361489333342</v>
      </c>
      <c r="AQ6" s="152">
        <f t="shared" si="0"/>
        <v>5.0452860027976101</v>
      </c>
      <c r="AR6" s="152">
        <f t="shared" si="0"/>
        <v>6.5860070771249806</v>
      </c>
      <c r="AS6" s="152">
        <f t="shared" si="0"/>
        <v>6.0372975022210014</v>
      </c>
      <c r="AT6" s="152">
        <f t="shared" si="0"/>
        <v>5.8702572381137585</v>
      </c>
      <c r="AU6" s="152">
        <f t="shared" si="0"/>
        <v>5.5023944003924967</v>
      </c>
      <c r="AV6" s="152">
        <f t="shared" si="0"/>
        <v>6.3780382888300551</v>
      </c>
      <c r="AW6" s="152">
        <f t="shared" si="0"/>
        <v>5.7995709138050486</v>
      </c>
      <c r="AX6" s="152">
        <f t="shared" si="0"/>
        <v>5.2851652927867363</v>
      </c>
      <c r="AY6" s="152">
        <f t="shared" si="0"/>
        <v>6.2333973279090813</v>
      </c>
      <c r="AZ6" s="152">
        <f t="shared" si="0"/>
        <v>5.9818567239818137</v>
      </c>
      <c r="BA6" s="152">
        <f t="shared" si="0"/>
        <v>5.1151313145073516</v>
      </c>
      <c r="BB6" s="152">
        <f t="shared" si="0"/>
        <v>4.7108514191464081</v>
      </c>
      <c r="BC6" s="152">
        <f t="shared" si="0"/>
        <v>3.4890859835412726</v>
      </c>
      <c r="BD6" s="152">
        <f t="shared" si="0"/>
        <v>3.4193469461467885</v>
      </c>
      <c r="BE6" s="152">
        <f t="shared" si="0"/>
        <v>2.5800025012212586</v>
      </c>
      <c r="BF6" s="152">
        <f t="shared" si="0"/>
        <v>1.7784878533382908</v>
      </c>
      <c r="BG6" s="152">
        <f t="shared" si="0"/>
        <v>-0.69695153738757654</v>
      </c>
      <c r="BH6" s="152">
        <f t="shared" si="0"/>
        <v>-1.4997273221015348</v>
      </c>
      <c r="BI6" s="152">
        <f t="shared" si="0"/>
        <v>-2.3526583096475235</v>
      </c>
      <c r="BJ6" s="152">
        <f t="shared" si="0"/>
        <v>-3.2599551663305988</v>
      </c>
      <c r="BK6" s="152">
        <f t="shared" si="0"/>
        <v>-4.2260586338235697</v>
      </c>
      <c r="BL6" s="152">
        <f t="shared" si="0"/>
        <v>-5.2556548412835014</v>
      </c>
      <c r="BM6" s="152">
        <f t="shared" si="0"/>
        <v>-6.3536914216989402</v>
      </c>
      <c r="BN6" s="152">
        <f t="shared" si="0"/>
        <v>-7.5253944812718956</v>
      </c>
      <c r="BO6" s="152">
        <f t="shared" si="0"/>
        <v>-8.7762864731560981</v>
      </c>
      <c r="BP6" s="152">
        <f t="shared" si="0"/>
        <v>-10.112205029537215</v>
      </c>
      <c r="BQ6" s="152">
        <f t="shared" si="0"/>
        <v>-11.539322808857289</v>
      </c>
      <c r="BR6" s="152">
        <f t="shared" si="0"/>
        <v>-13.064168417963009</v>
      </c>
      <c r="BS6" s="152">
        <f t="shared" si="0"/>
        <v>-14.693648472104016</v>
      </c>
      <c r="BT6" s="152">
        <f t="shared" si="0"/>
        <v>-1.9634517229860649E-8</v>
      </c>
    </row>
    <row r="7" spans="1:72" x14ac:dyDescent="0.25">
      <c r="B7" s="24" t="s">
        <v>87</v>
      </c>
      <c r="C7" s="32">
        <v>9856.3916075683792</v>
      </c>
      <c r="D7" s="105" t="s">
        <v>234</v>
      </c>
      <c r="E7" s="50" t="s">
        <v>111</v>
      </c>
      <c r="I7" s="145"/>
      <c r="J7" s="146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5"/>
      <c r="J8" s="146"/>
    </row>
    <row r="9" spans="1:72" x14ac:dyDescent="0.25">
      <c r="B9" s="24" t="s">
        <v>187</v>
      </c>
      <c r="C9" s="126">
        <v>0</v>
      </c>
      <c r="I9" s="145"/>
      <c r="J9" s="146"/>
    </row>
    <row r="10" spans="1:72" x14ac:dyDescent="0.25">
      <c r="B10" s="24" t="s">
        <v>188</v>
      </c>
      <c r="C10" s="127">
        <v>0</v>
      </c>
      <c r="I10" s="145"/>
      <c r="J10" s="146"/>
      <c r="N10" s="129"/>
    </row>
    <row r="11" spans="1:72" x14ac:dyDescent="0.25">
      <c r="B11" s="24" t="s">
        <v>189</v>
      </c>
      <c r="C11" s="144">
        <v>2.4667754739460444E-2</v>
      </c>
      <c r="D11" s="105" t="s">
        <v>235</v>
      </c>
      <c r="I11" s="145"/>
      <c r="J11" s="146"/>
    </row>
    <row r="12" spans="1:72" x14ac:dyDescent="0.25">
      <c r="B12" s="24" t="s">
        <v>90</v>
      </c>
      <c r="C12" s="157">
        <v>5.1159999999999997E-2</v>
      </c>
    </row>
    <row r="13" spans="1:72" x14ac:dyDescent="0.25">
      <c r="B13" s="24" t="s">
        <v>106</v>
      </c>
      <c r="C13" s="60">
        <v>1000000000</v>
      </c>
      <c r="D13" s="105" t="s">
        <v>236</v>
      </c>
      <c r="E13" s="50" t="s">
        <v>111</v>
      </c>
    </row>
    <row r="14" spans="1:72" x14ac:dyDescent="0.25">
      <c r="B14" s="24" t="s">
        <v>107</v>
      </c>
      <c r="C14" s="157">
        <v>2020</v>
      </c>
    </row>
    <row r="15" spans="1:72" x14ac:dyDescent="0.25">
      <c r="B15" s="24" t="s">
        <v>108</v>
      </c>
      <c r="C15" s="157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'2'!C15-Calcs!D15)</f>
        <v>5.0022208597511053E-12</v>
      </c>
    </row>
    <row r="18" spans="2:4" x14ac:dyDescent="0.25">
      <c r="B18" s="24" t="s">
        <v>223</v>
      </c>
      <c r="C18" s="41" t="s">
        <v>224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7420.9596822350468</v>
      </c>
      <c r="G45" s="32">
        <v>7204.6876350540224</v>
      </c>
      <c r="H45" s="32">
        <v>6995.0669709618414</v>
      </c>
      <c r="I45" s="32">
        <v>6328.7853806148059</v>
      </c>
      <c r="J45" s="32">
        <v>5889.562748911575</v>
      </c>
      <c r="K45" s="32">
        <v>6155.5419390868692</v>
      </c>
      <c r="L45" s="32">
        <v>6433.5330446831131</v>
      </c>
      <c r="M45" s="32">
        <v>6724.0785371319444</v>
      </c>
      <c r="N45" s="32">
        <v>7027.7453864769068</v>
      </c>
      <c r="O45" s="32">
        <v>7345.1261677579505</v>
      </c>
      <c r="P45" s="32">
        <v>7676.8402173614904</v>
      </c>
      <c r="Q45" s="32">
        <v>8023.5348415925164</v>
      </c>
      <c r="R45" s="32">
        <v>8385.8865798271454</v>
      </c>
      <c r="S45" s="32">
        <v>8764.6025247105754</v>
      </c>
      <c r="T45" s="32">
        <v>9160.4217019766056</v>
      </c>
      <c r="U45" s="32">
        <v>9574.1165125813841</v>
      </c>
      <c r="V45" s="32">
        <v>10006.494239965463</v>
      </c>
      <c r="W45" s="32">
        <v>10458.398625385522</v>
      </c>
      <c r="X45" s="32">
        <v>10930.711514389806</v>
      </c>
      <c r="Y45" s="32">
        <v>11424.354577650227</v>
      </c>
      <c r="Z45" s="32">
        <v>11940.291109509128</v>
      </c>
      <c r="AA45" s="32">
        <v>12479.527907750462</v>
      </c>
      <c r="AB45" s="32">
        <v>13043.117238263474</v>
      </c>
      <c r="AC45" s="32">
        <v>13632.158888432812</v>
      </c>
      <c r="AD45" s="32">
        <v>14247.802313261995</v>
      </c>
      <c r="AE45" s="32">
        <v>14891.248878418204</v>
      </c>
      <c r="AF45" s="32">
        <v>15563.754204575462</v>
      </c>
      <c r="AG45" s="32">
        <v>16266.630617630974</v>
      </c>
      <c r="AH45" s="32">
        <v>17001.249709575906</v>
      </c>
      <c r="AI45" s="32">
        <v>17769.045015018004</v>
      </c>
      <c r="AJ45" s="32">
        <v>18571.514808578864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4674.409999999998</v>
      </c>
      <c r="G46" s="32">
        <v>9543.546148933332</v>
      </c>
      <c r="H46" s="32">
        <v>14588.832151730943</v>
      </c>
      <c r="I46" s="32">
        <v>21174.839228855923</v>
      </c>
      <c r="J46" s="32">
        <v>27212.136731076924</v>
      </c>
      <c r="K46" s="32">
        <v>33082.393969190685</v>
      </c>
      <c r="L46" s="32">
        <v>38584.788369583177</v>
      </c>
      <c r="M46" s="32">
        <v>44962.826658413236</v>
      </c>
      <c r="N46" s="32">
        <v>50762.39757221828</v>
      </c>
      <c r="O46" s="32">
        <v>56047.56286500502</v>
      </c>
      <c r="P46" s="32">
        <v>62280.960192914099</v>
      </c>
      <c r="Q46" s="32">
        <v>68262.816916895914</v>
      </c>
      <c r="R46" s="32">
        <v>73377.948231403265</v>
      </c>
      <c r="S46" s="32">
        <v>78088.79965054967</v>
      </c>
      <c r="T46" s="32">
        <v>81577.885634090941</v>
      </c>
      <c r="U46" s="32">
        <v>84997.232580237731</v>
      </c>
      <c r="V46" s="32">
        <v>87577.235081458988</v>
      </c>
      <c r="W46" s="32">
        <v>89355.72293479729</v>
      </c>
      <c r="X46" s="32">
        <v>88658.771397409713</v>
      </c>
      <c r="Y46" s="32">
        <v>87159.044075308178</v>
      </c>
      <c r="Z46" s="32">
        <v>84806.385765660656</v>
      </c>
      <c r="AA46" s="32">
        <v>81546.430599330051</v>
      </c>
      <c r="AB46" s="32">
        <v>77320.371965506478</v>
      </c>
      <c r="AC46" s="32">
        <v>72064.717124222982</v>
      </c>
      <c r="AD46" s="32">
        <v>65711.025702524043</v>
      </c>
      <c r="AE46" s="32">
        <v>58185.631221252144</v>
      </c>
      <c r="AF46" s="32">
        <v>49409.344748096046</v>
      </c>
      <c r="AG46" s="32">
        <v>39297.139718558828</v>
      </c>
      <c r="AH46" s="32">
        <v>27757.816909701542</v>
      </c>
      <c r="AI46" s="32">
        <v>14693.648491738533</v>
      </c>
      <c r="AJ46" s="32">
        <v>1.9634517229860649E-5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130.48783261808913</v>
      </c>
      <c r="G54" s="32">
        <v>133.32170298964928</v>
      </c>
      <c r="H54" s="32">
        <v>136.22630006702136</v>
      </c>
      <c r="I54" s="32">
        <v>138.53732368871545</v>
      </c>
      <c r="J54" s="32">
        <v>141.86553780473957</v>
      </c>
      <c r="K54" s="32">
        <v>148.23141489812735</v>
      </c>
      <c r="L54" s="32">
        <v>157.34384811244072</v>
      </c>
      <c r="M54" s="32">
        <v>156.24390928500054</v>
      </c>
      <c r="N54" s="32">
        <v>171.08569279939596</v>
      </c>
      <c r="O54" s="32">
        <v>171.11506892412015</v>
      </c>
      <c r="P54" s="32">
        <v>176.88407529021239</v>
      </c>
      <c r="Q54" s="32">
        <v>180.95185839539732</v>
      </c>
      <c r="R54" s="32">
        <v>187.32214011899717</v>
      </c>
      <c r="S54" s="32">
        <v>193.76976077711572</v>
      </c>
      <c r="T54" s="32">
        <v>205.64085884044286</v>
      </c>
      <c r="U54" s="32">
        <v>209.51307376181992</v>
      </c>
      <c r="V54" s="32">
        <v>217.79851451878281</v>
      </c>
      <c r="W54" s="32">
        <v>224.95387064537331</v>
      </c>
      <c r="X54" s="32">
        <v>236.97054783204652</v>
      </c>
      <c r="Y54" s="32">
        <v>242.3750391264015</v>
      </c>
      <c r="Z54" s="32">
        <v>247.80001734677793</v>
      </c>
      <c r="AA54" s="32">
        <v>253.25503024391043</v>
      </c>
      <c r="AB54" s="32">
        <v>258.74955308576955</v>
      </c>
      <c r="AC54" s="32">
        <v>264.29300982049818</v>
      </c>
      <c r="AD54" s="32">
        <v>269.89479384306685</v>
      </c>
      <c r="AE54" s="32">
        <v>275.56428841530982</v>
      </c>
      <c r="AF54" s="32">
        <v>281.31088678759528</v>
      </c>
      <c r="AG54" s="32">
        <v>287.14401206908803</v>
      </c>
      <c r="AH54" s="32">
        <v>293.07313689239515</v>
      </c>
      <c r="AI54" s="32">
        <v>299.10780291732334</v>
      </c>
      <c r="AJ54" s="32">
        <v>305.25764021752826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-29.7303</v>
      </c>
      <c r="G55" s="37">
        <v>-29.447800000000001</v>
      </c>
      <c r="H55" s="37">
        <v>-29.187899999999985</v>
      </c>
      <c r="I55" s="37">
        <v>-37.40300000000002</v>
      </c>
      <c r="J55" s="37">
        <v>-31.730400000000003</v>
      </c>
      <c r="K55" s="37">
        <v>-28.682199313444698</v>
      </c>
      <c r="L55" s="37">
        <v>-24.402462790895044</v>
      </c>
      <c r="M55" s="37">
        <v>-28.20794758429318</v>
      </c>
      <c r="N55" s="37">
        <v>-22.412895749933227</v>
      </c>
      <c r="O55" s="37">
        <v>-17.33982441104888</v>
      </c>
      <c r="P55" s="37">
        <v>-21.559307728892776</v>
      </c>
      <c r="Q55" s="37">
        <v>-17.905622952783318</v>
      </c>
      <c r="R55" s="37">
        <v>-10.394094960965731</v>
      </c>
      <c r="S55" s="37">
        <v>-6.0856897599592514</v>
      </c>
      <c r="T55" s="37">
        <v>3.217873268872637</v>
      </c>
      <c r="U55" s="37">
        <v>4.7634291658352481</v>
      </c>
      <c r="V55" s="37">
        <v>11.092636024675699</v>
      </c>
      <c r="W55" s="37">
        <v>16.831977726357053</v>
      </c>
      <c r="X55" s="37">
        <v>32.376116535047657</v>
      </c>
      <c r="Y55" s="37">
        <v>36.936589967464613</v>
      </c>
      <c r="Z55" s="37">
        <v>41.514068480640873</v>
      </c>
      <c r="AA55" s="37">
        <v>46.118085461579</v>
      </c>
      <c r="AB55" s="37">
        <v>50.758101755262459</v>
      </c>
      <c r="AC55" s="37">
        <v>55.443526827347597</v>
      </c>
      <c r="AD55" s="37">
        <v>60.183739530573462</v>
      </c>
      <c r="AE55" s="37">
        <v>64.988108524551507</v>
      </c>
      <c r="AF55" s="37">
        <v>69.866012397188172</v>
      </c>
      <c r="AG55" s="37">
        <v>74.826859534699167</v>
      </c>
      <c r="AH55" s="37">
        <v>79.880107786005595</v>
      </c>
      <c r="AI55" s="37">
        <v>85.035283966240684</v>
      </c>
      <c r="AJ55" s="37">
        <v>90.302003243147624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713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14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15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16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/>
  <dimension ref="A1:BT57"/>
  <sheetViews>
    <sheetView zoomScale="85" zoomScaleNormal="85" workbookViewId="0">
      <selection activeCell="AN3" sqref="AN3:BT6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31.7109375" style="105" customWidth="1"/>
    <col min="41" max="52" width="5.28515625" style="105" bestFit="1" customWidth="1"/>
    <col min="53" max="69" width="4.7109375" style="105" bestFit="1" customWidth="1"/>
    <col min="70" max="71" width="5.28515625" style="105" bestFit="1" customWidth="1"/>
    <col min="72" max="72" width="4.28515625" style="105" customWidth="1"/>
    <col min="73" max="16384" width="9.140625" style="105"/>
  </cols>
  <sheetData>
    <row r="1" spans="1:72" x14ac:dyDescent="0.25">
      <c r="A1" s="54"/>
      <c r="B1" s="46"/>
      <c r="I1" s="105" t="s">
        <v>232</v>
      </c>
      <c r="J1" s="105">
        <v>3</v>
      </c>
      <c r="L1" s="105" t="s">
        <v>233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53"/>
      <c r="AO3" s="154">
        <v>2017</v>
      </c>
      <c r="AP3" s="154">
        <v>2018</v>
      </c>
      <c r="AQ3" s="154">
        <v>2019</v>
      </c>
      <c r="AR3" s="154">
        <v>2020</v>
      </c>
      <c r="AS3" s="154">
        <v>2021</v>
      </c>
      <c r="AT3" s="154">
        <v>2022</v>
      </c>
      <c r="AU3" s="154">
        <v>2023</v>
      </c>
      <c r="AV3" s="154">
        <v>2024</v>
      </c>
      <c r="AW3" s="154">
        <v>2025</v>
      </c>
      <c r="AX3" s="154">
        <v>2026</v>
      </c>
      <c r="AY3" s="154">
        <v>2027</v>
      </c>
      <c r="AZ3" s="154">
        <v>2028</v>
      </c>
      <c r="BA3" s="154">
        <v>2029</v>
      </c>
      <c r="BB3" s="154">
        <v>2030</v>
      </c>
      <c r="BC3" s="154">
        <v>2031</v>
      </c>
      <c r="BD3" s="154">
        <v>2032</v>
      </c>
      <c r="BE3" s="154">
        <v>2033</v>
      </c>
      <c r="BF3" s="154">
        <v>2034</v>
      </c>
      <c r="BG3" s="154">
        <v>2035</v>
      </c>
      <c r="BH3" s="154">
        <v>2036</v>
      </c>
      <c r="BI3" s="154">
        <v>2037</v>
      </c>
      <c r="BJ3" s="154">
        <v>2038</v>
      </c>
      <c r="BK3" s="154">
        <v>2039</v>
      </c>
      <c r="BL3" s="154">
        <v>2040</v>
      </c>
      <c r="BM3" s="154">
        <v>2041</v>
      </c>
      <c r="BN3" s="154">
        <v>2042</v>
      </c>
      <c r="BO3" s="154">
        <v>2043</v>
      </c>
      <c r="BP3" s="154">
        <v>2044</v>
      </c>
      <c r="BQ3" s="154">
        <v>2045</v>
      </c>
      <c r="BR3" s="154">
        <v>2046</v>
      </c>
      <c r="BS3" s="154">
        <v>2047</v>
      </c>
      <c r="BT3" s="154">
        <v>2048</v>
      </c>
    </row>
    <row r="4" spans="1:72" ht="30" x14ac:dyDescent="0.25">
      <c r="C4" s="124"/>
      <c r="D4" s="32"/>
      <c r="I4" s="105" t="s">
        <v>237</v>
      </c>
      <c r="J4" s="59">
        <f ca="1">OFFSET('Impact Summary'!U$2, '3'!$J$1, 0)</f>
        <v>-7.75</v>
      </c>
      <c r="K4" s="59">
        <f ca="1">OFFSET('Impact Summary'!V$2, '3'!$J$1, 0)</f>
        <v>-7.2913025897127293</v>
      </c>
      <c r="L4" s="59">
        <f ca="1">OFFSET('Impact Summary'!W$2, '3'!$J$1, 0)</f>
        <v>-6.8645162772965378</v>
      </c>
      <c r="M4" s="59">
        <f ca="1">OFFSET('Impact Summary'!X$2, '3'!$J$1, 0)</f>
        <v>-13.875739574607909</v>
      </c>
      <c r="N4" s="59">
        <f ca="1">OFFSET('Impact Summary'!Y$2, '3'!$J$1, 0)</f>
        <v>-8.5800616444331776</v>
      </c>
      <c r="AN4" s="130" t="s">
        <v>221</v>
      </c>
      <c r="AO4" s="152">
        <f>'3'!F55/1.13</f>
        <v>-26.310000000000002</v>
      </c>
      <c r="AP4" s="152">
        <f>'3'!G55/1.13</f>
        <v>-24.81999999999999</v>
      </c>
      <c r="AQ4" s="152">
        <f>'3'!H55/1.13</f>
        <v>-23.310000000000013</v>
      </c>
      <c r="AR4" s="152">
        <f>'3'!I55/1.13</f>
        <v>-29.219999999999995</v>
      </c>
      <c r="AS4" s="152">
        <f>'3'!J55/1.13</f>
        <v>-22.78</v>
      </c>
      <c r="AT4" s="152">
        <f>'3'!K55/1.13</f>
        <v>-20.358409332726826</v>
      </c>
      <c r="AU4" s="152">
        <f>'3'!L55/1.13</f>
        <v>-16.875832232097434</v>
      </c>
      <c r="AV4" s="152">
        <f>'3'!M55/1.13</f>
        <v>-20.57901265696362</v>
      </c>
      <c r="AW4" s="152">
        <f>'3'!N55/1.13</f>
        <v>-15.81876261137212</v>
      </c>
      <c r="AX4" s="152">
        <f>'3'!O55/1.13</f>
        <v>-11.706458969009963</v>
      </c>
      <c r="AY4" s="152">
        <f>'3'!P55/1.13</f>
        <v>-15.905689434124568</v>
      </c>
      <c r="AZ4" s="152">
        <f>'3'!Q55/1.13</f>
        <v>-13.150932363812943</v>
      </c>
      <c r="BA4" s="152">
        <f>'3'!R55/1.13</f>
        <v>-7.0235701561361887</v>
      </c>
      <c r="BB4" s="152">
        <f>'3'!S55/1.13</f>
        <v>-3.7860106277186079</v>
      </c>
      <c r="BC4" s="152">
        <f>'3'!T55/1.13</f>
        <v>3.8410259399730946</v>
      </c>
      <c r="BD4" s="152">
        <f>'3'!U55/1.13</f>
        <v>4.5512423359053562</v>
      </c>
      <c r="BE4" s="152">
        <f>'3'!V55/1.13</f>
        <v>9.4526846410725547</v>
      </c>
      <c r="BF4" s="152">
        <f>'3'!W55/1.13</f>
        <v>13.787903914567149</v>
      </c>
      <c r="BG4" s="152">
        <f>'3'!X55/1.13</f>
        <v>26.766317010670761</v>
      </c>
      <c r="BH4" s="152">
        <f>'3'!Y55/1.13</f>
        <v>29.96160236718962</v>
      </c>
      <c r="BI4" s="152">
        <f>'3'!Z55/1.13</f>
        <v>33.116572405861945</v>
      </c>
      <c r="BJ4" s="152">
        <f>'3'!AA55/1.13</f>
        <v>36.236823209804577</v>
      </c>
      <c r="BK4" s="152">
        <f>'3'!AB55/1.13</f>
        <v>39.327754700648597</v>
      </c>
      <c r="BL4" s="152">
        <f>'3'!AC55/1.13</f>
        <v>42.394583537910435</v>
      </c>
      <c r="BM4" s="152">
        <f>'3'!AD55/1.13</f>
        <v>45.442355417544981</v>
      </c>
      <c r="BN4" s="152">
        <f>'3'!AE55/1.13</f>
        <v>48.475956803084998</v>
      </c>
      <c r="BO4" s="152">
        <f>'3'!AF55/1.13</f>
        <v>51.500126121078395</v>
      </c>
      <c r="BP4" s="152">
        <f>'3'!AG55/1.13</f>
        <v>54.519464450938052</v>
      </c>
      <c r="BQ4" s="152">
        <f>'3'!AH55/1.13</f>
        <v>57.538445737801936</v>
      </c>
      <c r="BR4" s="152">
        <f>'3'!AI55/1.13</f>
        <v>60.561426555568943</v>
      </c>
      <c r="BS4" s="152">
        <f>'3'!AJ55/1.13</f>
        <v>63.592655445918297</v>
      </c>
      <c r="BT4" s="152">
        <f>'3'!AK55/1.13</f>
        <v>0</v>
      </c>
    </row>
    <row r="5" spans="1:72" x14ac:dyDescent="0.25">
      <c r="B5" s="25"/>
      <c r="C5" s="45" t="s">
        <v>209</v>
      </c>
      <c r="I5" s="148"/>
      <c r="J5" s="146"/>
      <c r="K5" s="121"/>
      <c r="L5" s="54"/>
      <c r="AN5" s="130" t="s">
        <v>213</v>
      </c>
      <c r="AO5" s="152">
        <f>'3'!F46/1000</f>
        <v>4.6744099999999982</v>
      </c>
      <c r="AP5" s="152">
        <f>'3'!G46/1000</f>
        <v>9.3232394822666649</v>
      </c>
      <c r="AQ5" s="152">
        <f>'3'!H46/1000</f>
        <v>13.912665505088521</v>
      </c>
      <c r="AR5" s="152">
        <f>'3'!I46/1000</f>
        <v>19.779553835965213</v>
      </c>
      <c r="AS5" s="152">
        <f>'3'!J46/1000</f>
        <v>24.81042005263744</v>
      </c>
      <c r="AT5" s="152">
        <f>'3'!K46/1000</f>
        <v>29.671438086019336</v>
      </c>
      <c r="AU5" s="152">
        <f>'3'!L46/1000</f>
        <v>34.166734775326489</v>
      </c>
      <c r="AV5" s="152">
        <f>'3'!M46/1000</f>
        <v>39.545341644275894</v>
      </c>
      <c r="AW5" s="152">
        <f>'3'!N46/1000</f>
        <v>44.359294532597318</v>
      </c>
      <c r="AX5" s="152">
        <f>'3'!O46/1000</f>
        <v>48.679474807547017</v>
      </c>
      <c r="AY5" s="152">
        <f>'3'!P46/1000</f>
        <v>53.976065947351834</v>
      </c>
      <c r="AZ5" s="152">
        <f>'3'!Q46/1000</f>
        <v>59.057624760676504</v>
      </c>
      <c r="BA5" s="152">
        <f>'3'!R46/1000</f>
        <v>63.318140887342565</v>
      </c>
      <c r="BB5" s="152">
        <f>'3'!S46/1000</f>
        <v>67.230144863330352</v>
      </c>
      <c r="BC5" s="152">
        <f>'3'!T46/1000</f>
        <v>69.987216799203111</v>
      </c>
      <c r="BD5" s="152">
        <f>'3'!U46/1000</f>
        <v>72.753504181826557</v>
      </c>
      <c r="BE5" s="152">
        <f>'3'!V46/1000</f>
        <v>74.772657995430137</v>
      </c>
      <c r="BF5" s="152">
        <f>'3'!W46/1000</f>
        <v>76.096984971427915</v>
      </c>
      <c r="BG5" s="152">
        <f>'3'!X46/1000</f>
        <v>75.068348794664644</v>
      </c>
      <c r="BH5" s="152">
        <f>'3'!Y46/1000</f>
        <v>73.376610011174236</v>
      </c>
      <c r="BI5" s="152">
        <f>'3'!Z46/1000</f>
        <v>70.990322336252049</v>
      </c>
      <c r="BJ5" s="152">
        <f>'3'!AA46/1000</f>
        <v>67.875451110519705</v>
      </c>
      <c r="BK5" s="152">
        <f>'3'!AB46/1000</f>
        <v>63.995260810702852</v>
      </c>
      <c r="BL5" s="152">
        <f>'3'!AC46/1000</f>
        <v>59.310194971017758</v>
      </c>
      <c r="BM5" s="152">
        <f>'3'!AD46/1000</f>
        <v>53.777748187735064</v>
      </c>
      <c r="BN5" s="152">
        <f>'3'!AE46/1000</f>
        <v>47.352329858915326</v>
      </c>
      <c r="BO5" s="152">
        <f>'3'!AF46/1000</f>
        <v>39.985119289841364</v>
      </c>
      <c r="BP5" s="152">
        <f>'3'!AG46/1000</f>
        <v>31.623911772251972</v>
      </c>
      <c r="BQ5" s="152">
        <f>'3'!AH46/1000</f>
        <v>22.212955222054518</v>
      </c>
      <c r="BR5" s="152">
        <f>'3'!AI46/1000</f>
        <v>11.69277693570027</v>
      </c>
      <c r="BS5" s="152">
        <f>'3'!AJ46/1000</f>
        <v>0</v>
      </c>
      <c r="BT5" s="152">
        <f>'3'!AK46/1000</f>
        <v>0</v>
      </c>
    </row>
    <row r="6" spans="1:72" ht="30" x14ac:dyDescent="0.25">
      <c r="B6" s="24" t="s">
        <v>210</v>
      </c>
      <c r="C6" s="128">
        <v>-27.02</v>
      </c>
      <c r="I6" s="145"/>
      <c r="J6" s="146"/>
      <c r="K6" s="55"/>
      <c r="L6" s="55"/>
      <c r="AN6" s="130" t="s">
        <v>214</v>
      </c>
      <c r="AO6" s="152">
        <f>AO5</f>
        <v>4.6744099999999982</v>
      </c>
      <c r="AP6" s="152">
        <f t="shared" ref="AP6:BT6" si="0">AP5-AO5</f>
        <v>4.6488294822666667</v>
      </c>
      <c r="AQ6" s="152">
        <f t="shared" si="0"/>
        <v>4.589426022821856</v>
      </c>
      <c r="AR6" s="152">
        <f t="shared" si="0"/>
        <v>5.8668883308766926</v>
      </c>
      <c r="AS6" s="152">
        <f t="shared" si="0"/>
        <v>5.0308662166722264</v>
      </c>
      <c r="AT6" s="152">
        <f t="shared" si="0"/>
        <v>4.861018033381896</v>
      </c>
      <c r="AU6" s="152">
        <f t="shared" si="0"/>
        <v>4.4952966893071533</v>
      </c>
      <c r="AV6" s="152">
        <f t="shared" si="0"/>
        <v>5.3786068689494044</v>
      </c>
      <c r="AW6" s="152">
        <f t="shared" si="0"/>
        <v>4.813952888321424</v>
      </c>
      <c r="AX6" s="152">
        <f t="shared" si="0"/>
        <v>4.3201802749496991</v>
      </c>
      <c r="AY6" s="152">
        <f t="shared" si="0"/>
        <v>5.2965911398048178</v>
      </c>
      <c r="AZ6" s="152">
        <f t="shared" si="0"/>
        <v>5.0815588133246692</v>
      </c>
      <c r="BA6" s="152">
        <f t="shared" si="0"/>
        <v>4.2605161266660616</v>
      </c>
      <c r="BB6" s="152">
        <f t="shared" si="0"/>
        <v>3.9120039759877869</v>
      </c>
      <c r="BC6" s="152">
        <f t="shared" si="0"/>
        <v>2.7570719358727587</v>
      </c>
      <c r="BD6" s="152">
        <f t="shared" si="0"/>
        <v>2.766287382623446</v>
      </c>
      <c r="BE6" s="152">
        <f t="shared" si="0"/>
        <v>2.0191538136035803</v>
      </c>
      <c r="BF6" s="152">
        <f t="shared" si="0"/>
        <v>1.3243269759977778</v>
      </c>
      <c r="BG6" s="152">
        <f t="shared" si="0"/>
        <v>-1.0286361767632712</v>
      </c>
      <c r="BH6" s="152">
        <f t="shared" si="0"/>
        <v>-1.6917387834904076</v>
      </c>
      <c r="BI6" s="152">
        <f t="shared" si="0"/>
        <v>-2.3862876749221869</v>
      </c>
      <c r="BJ6" s="152">
        <f t="shared" si="0"/>
        <v>-3.1148712257323439</v>
      </c>
      <c r="BK6" s="152">
        <f t="shared" si="0"/>
        <v>-3.8801902998168529</v>
      </c>
      <c r="BL6" s="152">
        <f t="shared" si="0"/>
        <v>-4.6850658396850946</v>
      </c>
      <c r="BM6" s="152">
        <f t="shared" si="0"/>
        <v>-5.532446783282694</v>
      </c>
      <c r="BN6" s="152">
        <f t="shared" si="0"/>
        <v>-6.4254183288197382</v>
      </c>
      <c r="BO6" s="152">
        <f t="shared" si="0"/>
        <v>-7.3672105690739613</v>
      </c>
      <c r="BP6" s="152">
        <f t="shared" si="0"/>
        <v>-8.3612075175893921</v>
      </c>
      <c r="BQ6" s="152">
        <f t="shared" si="0"/>
        <v>-9.4109565501974544</v>
      </c>
      <c r="BR6" s="152">
        <f t="shared" si="0"/>
        <v>-10.520178286354248</v>
      </c>
      <c r="BS6" s="152">
        <f t="shared" si="0"/>
        <v>-11.69277693570027</v>
      </c>
      <c r="BT6" s="152">
        <f t="shared" si="0"/>
        <v>0</v>
      </c>
    </row>
    <row r="7" spans="1:72" x14ac:dyDescent="0.25">
      <c r="B7" s="24" t="s">
        <v>87</v>
      </c>
      <c r="C7" s="32">
        <v>9856.3916075683792</v>
      </c>
      <c r="D7" s="105" t="s">
        <v>234</v>
      </c>
      <c r="E7" s="50" t="s">
        <v>111</v>
      </c>
      <c r="I7" s="145"/>
      <c r="J7" s="146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5"/>
      <c r="J8" s="146"/>
    </row>
    <row r="9" spans="1:72" x14ac:dyDescent="0.25">
      <c r="B9" s="24" t="s">
        <v>187</v>
      </c>
      <c r="C9" s="126">
        <v>0</v>
      </c>
      <c r="I9" s="145"/>
      <c r="J9" s="146"/>
    </row>
    <row r="10" spans="1:72" x14ac:dyDescent="0.25">
      <c r="B10" s="24" t="s">
        <v>188</v>
      </c>
      <c r="C10" s="127">
        <v>0</v>
      </c>
      <c r="I10" s="145"/>
      <c r="J10" s="146"/>
      <c r="N10" s="129"/>
    </row>
    <row r="11" spans="1:72" x14ac:dyDescent="0.25">
      <c r="B11" s="24" t="s">
        <v>189</v>
      </c>
      <c r="C11" s="144">
        <v>1.1608196975810668E-2</v>
      </c>
      <c r="D11" s="105" t="s">
        <v>235</v>
      </c>
      <c r="I11" s="145"/>
      <c r="J11" s="146"/>
    </row>
    <row r="12" spans="1:72" x14ac:dyDescent="0.25">
      <c r="B12" s="24" t="s">
        <v>90</v>
      </c>
      <c r="C12" s="158">
        <v>5.1159999999999997E-2</v>
      </c>
    </row>
    <row r="13" spans="1:72" x14ac:dyDescent="0.25">
      <c r="B13" s="24" t="s">
        <v>106</v>
      </c>
      <c r="C13" s="60">
        <v>10000000000</v>
      </c>
      <c r="D13" s="105" t="s">
        <v>236</v>
      </c>
      <c r="E13" s="50" t="s">
        <v>111</v>
      </c>
    </row>
    <row r="14" spans="1:72" x14ac:dyDescent="0.25">
      <c r="B14" s="24" t="s">
        <v>107</v>
      </c>
      <c r="C14" s="158">
        <v>2020</v>
      </c>
    </row>
    <row r="15" spans="1:72" x14ac:dyDescent="0.25">
      <c r="B15" s="24" t="s">
        <v>108</v>
      </c>
      <c r="C15" s="158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'3'!C15-Calcs!D15)</f>
        <v>5.0022208597511053E-12</v>
      </c>
    </row>
    <row r="18" spans="2:4" x14ac:dyDescent="0.25">
      <c r="B18" s="24" t="s">
        <v>223</v>
      </c>
      <c r="C18" s="41" t="s">
        <v>224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7420.9596822350468</v>
      </c>
      <c r="G45" s="32">
        <v>7424.9943017206897</v>
      </c>
      <c r="H45" s="32">
        <v>7439.6560618709309</v>
      </c>
      <c r="I45" s="32">
        <v>7013.3114412208679</v>
      </c>
      <c r="J45" s="32">
        <v>6824.6112337600625</v>
      </c>
      <c r="K45" s="32">
        <v>7041.9093185497768</v>
      </c>
      <c r="L45" s="32">
        <v>7266.1262527854033</v>
      </c>
      <c r="M45" s="32">
        <v>7497.4823351304221</v>
      </c>
      <c r="N45" s="32">
        <v>7736.2048786372625</v>
      </c>
      <c r="O45" s="32">
        <v>7982.5284340879853</v>
      </c>
      <c r="P45" s="32">
        <v>8236.6950204462046</v>
      </c>
      <c r="Q45" s="32">
        <v>8498.9543626466875</v>
      </c>
      <c r="R45" s="32">
        <v>8769.5641369562509</v>
      </c>
      <c r="S45" s="32">
        <v>9048.7902241470456</v>
      </c>
      <c r="T45" s="32">
        <v>9336.9069707309663</v>
      </c>
      <c r="U45" s="32">
        <v>9634.1974585118733</v>
      </c>
      <c r="V45" s="32">
        <v>9940.9537827204167</v>
      </c>
      <c r="W45" s="32">
        <v>10257.477339004818</v>
      </c>
      <c r="X45" s="32">
        <v>10584.079119559517</v>
      </c>
      <c r="Y45" s="32">
        <v>10921.080018682667</v>
      </c>
      <c r="Z45" s="32">
        <v>11268.811148062687</v>
      </c>
      <c r="AA45" s="32">
        <v>11627.614162103662</v>
      </c>
      <c r="AB45" s="32">
        <v>11997.841593609206</v>
      </c>
      <c r="AC45" s="32">
        <v>12379.857200154644</v>
      </c>
      <c r="AD45" s="32">
        <v>12774.036321487774</v>
      </c>
      <c r="AE45" s="32">
        <v>13180.766248309441</v>
      </c>
      <c r="AF45" s="32">
        <v>13600.44660279617</v>
      </c>
      <c r="AG45" s="32">
        <v>14033.489731238833</v>
      </c>
      <c r="AH45" s="32">
        <v>14480.321109183009</v>
      </c>
      <c r="AI45" s="32">
        <v>14941.379759469221</v>
      </c>
      <c r="AJ45" s="32">
        <v>15417.118683583676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4674.409999999998</v>
      </c>
      <c r="G46" s="32">
        <v>9323.2394822666647</v>
      </c>
      <c r="H46" s="32">
        <v>13912.66550508852</v>
      </c>
      <c r="I46" s="32">
        <v>19779.553835965213</v>
      </c>
      <c r="J46" s="32">
        <v>24810.420052637441</v>
      </c>
      <c r="K46" s="32">
        <v>29671.438086019334</v>
      </c>
      <c r="L46" s="32">
        <v>34166.734775326491</v>
      </c>
      <c r="M46" s="32">
        <v>39545.341644275897</v>
      </c>
      <c r="N46" s="32">
        <v>44359.29453259732</v>
      </c>
      <c r="O46" s="32">
        <v>48679.47480754702</v>
      </c>
      <c r="P46" s="32">
        <v>53976.065947351832</v>
      </c>
      <c r="Q46" s="32">
        <v>59057.624760676503</v>
      </c>
      <c r="R46" s="32">
        <v>63318.140887342568</v>
      </c>
      <c r="S46" s="32">
        <v>67230.144863330352</v>
      </c>
      <c r="T46" s="32">
        <v>69987.216799203117</v>
      </c>
      <c r="U46" s="32">
        <v>72753.50418182656</v>
      </c>
      <c r="V46" s="32">
        <v>74772.657995430141</v>
      </c>
      <c r="W46" s="32">
        <v>76096.984971427912</v>
      </c>
      <c r="X46" s="32">
        <v>75068.348794664649</v>
      </c>
      <c r="Y46" s="32">
        <v>73376.610011174242</v>
      </c>
      <c r="Z46" s="32">
        <v>70990.322336252051</v>
      </c>
      <c r="AA46" s="32">
        <v>67875.451110519702</v>
      </c>
      <c r="AB46" s="32">
        <v>63995.26081070285</v>
      </c>
      <c r="AC46" s="32">
        <v>59310.194971017758</v>
      </c>
      <c r="AD46" s="32">
        <v>53777.748187735066</v>
      </c>
      <c r="AE46" s="32">
        <v>47352.329858915327</v>
      </c>
      <c r="AF46" s="32">
        <v>39985.119289841365</v>
      </c>
      <c r="AG46" s="32">
        <v>31623.911772251973</v>
      </c>
      <c r="AH46" s="32">
        <v>22212.955222054519</v>
      </c>
      <c r="AI46" s="32">
        <v>11692.776935700269</v>
      </c>
      <c r="AJ46" s="32">
        <v>0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130.48783261808913</v>
      </c>
      <c r="G54" s="32">
        <v>134.7229029896493</v>
      </c>
      <c r="H54" s="32">
        <v>139.07390006702133</v>
      </c>
      <c r="I54" s="32">
        <v>142.92172368871547</v>
      </c>
      <c r="J54" s="32">
        <v>147.85453780473958</v>
      </c>
      <c r="K54" s="32">
        <v>153.90861166559074</v>
      </c>
      <c r="L54" s="32">
        <v>162.67662048106567</v>
      </c>
      <c r="M54" s="32">
        <v>161.19757256692483</v>
      </c>
      <c r="N54" s="32">
        <v>175.62338679847869</v>
      </c>
      <c r="O54" s="32">
        <v>175.22659470018777</v>
      </c>
      <c r="P54" s="32">
        <v>180.46995395854441</v>
      </c>
      <c r="Q54" s="32">
        <v>183.99692777707202</v>
      </c>
      <c r="R54" s="32">
        <v>189.77960080352901</v>
      </c>
      <c r="S54" s="32">
        <v>195.57725852775295</v>
      </c>
      <c r="T54" s="32">
        <v>206.76334488373982</v>
      </c>
      <c r="U54" s="32">
        <v>209.89254843555773</v>
      </c>
      <c r="V54" s="32">
        <v>217.3874121385191</v>
      </c>
      <c r="W54" s="32">
        <v>223.70222434247714</v>
      </c>
      <c r="X54" s="32">
        <v>234.84036951905682</v>
      </c>
      <c r="Y54" s="32">
        <v>239.29505983386116</v>
      </c>
      <c r="Z54" s="32">
        <v>243.70767568476106</v>
      </c>
      <c r="AA54" s="32">
        <v>248.08455500941059</v>
      </c>
      <c r="AB54" s="32">
        <v>252.43181414224</v>
      </c>
      <c r="AC54" s="32">
        <v>256.75536239098938</v>
      </c>
      <c r="AD54" s="32">
        <v>261.06091593431921</v>
      </c>
      <c r="AE54" s="32">
        <v>265.35401107824435</v>
      </c>
      <c r="AF54" s="32">
        <v>269.64001690722569</v>
      </c>
      <c r="AG54" s="32">
        <v>273.92414736394886</v>
      </c>
      <c r="AH54" s="32">
        <v>278.21147279010574</v>
      </c>
      <c r="AI54" s="32">
        <v>282.50693095887556</v>
      </c>
      <c r="AJ54" s="32">
        <v>286.81533762826831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-29.7303</v>
      </c>
      <c r="G55" s="37">
        <v>-28.046599999999984</v>
      </c>
      <c r="H55" s="37">
        <v>-26.340300000000013</v>
      </c>
      <c r="I55" s="37">
        <v>-33.018599999999992</v>
      </c>
      <c r="J55" s="37">
        <v>-25.741399999999999</v>
      </c>
      <c r="K55" s="37">
        <v>-23.005002545981313</v>
      </c>
      <c r="L55" s="37">
        <v>-19.069690422270099</v>
      </c>
      <c r="M55" s="37">
        <v>-23.254284302368887</v>
      </c>
      <c r="N55" s="37">
        <v>-17.875201750850493</v>
      </c>
      <c r="O55" s="37">
        <v>-13.228298634981257</v>
      </c>
      <c r="P55" s="37">
        <v>-17.973429060560761</v>
      </c>
      <c r="Q55" s="37">
        <v>-14.860553571108625</v>
      </c>
      <c r="R55" s="37">
        <v>-7.9366342764338924</v>
      </c>
      <c r="S55" s="37">
        <v>-4.2781920093220265</v>
      </c>
      <c r="T55" s="37">
        <v>4.3403593121695963</v>
      </c>
      <c r="U55" s="37">
        <v>5.1429038395730515</v>
      </c>
      <c r="V55" s="37">
        <v>10.681533644411985</v>
      </c>
      <c r="W55" s="37">
        <v>15.580331423460876</v>
      </c>
      <c r="X55" s="37">
        <v>30.245938222057958</v>
      </c>
      <c r="Y55" s="37">
        <v>33.856610674924269</v>
      </c>
      <c r="Z55" s="37">
        <v>37.421726818623995</v>
      </c>
      <c r="AA55" s="37">
        <v>40.947610227079167</v>
      </c>
      <c r="AB55" s="37">
        <v>44.440362811732911</v>
      </c>
      <c r="AC55" s="37">
        <v>47.905879397838788</v>
      </c>
      <c r="AD55" s="37">
        <v>51.349861621825823</v>
      </c>
      <c r="AE55" s="37">
        <v>54.777831187486044</v>
      </c>
      <c r="AF55" s="37">
        <v>58.195142516818578</v>
      </c>
      <c r="AG55" s="37">
        <v>61.606994829559994</v>
      </c>
      <c r="AH55" s="37">
        <v>65.018443683716185</v>
      </c>
      <c r="AI55" s="37">
        <v>68.434412007792901</v>
      </c>
      <c r="AJ55" s="37">
        <v>71.859700653887671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9265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66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67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68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Impact Model</vt:lpstr>
      <vt:lpstr>Impact Summary</vt:lpstr>
      <vt:lpstr>Ratepayer GA Payments</vt:lpstr>
      <vt:lpstr>Summary</vt:lpstr>
      <vt:lpstr>New Option 3 35B Max</vt:lpstr>
      <vt:lpstr>Original Option 3 35B Max</vt:lpstr>
      <vt:lpstr>1</vt:lpstr>
      <vt:lpstr>2</vt:lpstr>
      <vt:lpstr>3</vt:lpstr>
      <vt:lpstr>4</vt:lpstr>
      <vt:lpstr>1a GA RPP</vt:lpstr>
      <vt:lpstr>1b GA Class B</vt:lpstr>
      <vt:lpstr>1c GA All</vt:lpstr>
      <vt:lpstr>2a GA RPP</vt:lpstr>
      <vt:lpstr>2b GA Class B</vt:lpstr>
      <vt:lpstr>4a GA RPP</vt:lpstr>
      <vt:lpstr>4b GA Class B</vt:lpstr>
      <vt:lpstr>4c GA All</vt:lpstr>
      <vt:lpstr>Calcs</vt:lpstr>
      <vt:lpstr>Indicative graph</vt:lpstr>
      <vt:lpstr>Residential Bill</vt:lpstr>
      <vt:lpstr>2013 LTEP</vt:lpstr>
      <vt:lpstr>OPG Costs</vt:lpstr>
      <vt:lpstr>RRRP and OESP</vt:lpstr>
      <vt:lpstr>Historical Data</vt:lpstr>
      <vt:lpstr>IESO Cases</vt:lpstr>
      <vt:lpstr>IESO HOEP-GA</vt:lpstr>
      <vt:lpstr>IESO Res Bill</vt:lpstr>
      <vt:lpstr>HOEP-GA POEM Dynamics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Malecki, Justin (ENERGY)</dc:creator>
  <cp:lastModifiedBy>Larissa Ho</cp:lastModifiedBy>
  <dcterms:created xsi:type="dcterms:W3CDTF">2017-01-03T15:59:43Z</dcterms:created>
  <dcterms:modified xsi:type="dcterms:W3CDTF">2017-02-13T19:12:25Z</dcterms:modified>
</cp:coreProperties>
</file>