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50" windowWidth="21075" windowHeight="8955" activeTab="4"/>
  </bookViews>
  <sheets>
    <sheet name="Impact Summary" sheetId="65" r:id="rId1"/>
    <sheet name="Ratepayer GA Payments" sheetId="74" r:id="rId2"/>
    <sheet name="Summary" sheetId="6" r:id="rId3"/>
    <sheet name="1d" sheetId="92" r:id="rId4"/>
    <sheet name="1e" sheetId="93" r:id="rId5"/>
    <sheet name="Calcs" sheetId="3" r:id="rId6"/>
    <sheet name="Indicative graph" sheetId="9" r:id="rId7"/>
    <sheet name="Residential Bill" sheetId="4" r:id="rId8"/>
    <sheet name="2013 LTEP" sheetId="24" r:id="rId9"/>
    <sheet name="OPG Costs" sheetId="25" r:id="rId10"/>
    <sheet name="RRRP and OESP" sheetId="23" r:id="rId11"/>
    <sheet name="Historical Data" sheetId="22" r:id="rId12"/>
    <sheet name="IESO Cases" sheetId="2" r:id="rId13"/>
    <sheet name="IESO HOEP-GA" sheetId="1" r:id="rId14"/>
    <sheet name="IESO Res Bill" sheetId="5" r:id="rId15"/>
    <sheet name="HOEP-GA POEM Dynamics" sheetId="7" r:id="rId16"/>
  </sheets>
  <definedNames>
    <definedName name="solver_adj" localSheetId="3" hidden="1">'1d'!#REF!</definedName>
    <definedName name="solver_adj" localSheetId="4" hidden="1">'1e'!#REF!</definedName>
    <definedName name="solver_adj" localSheetId="6" hidden="1">'Indicative graph'!$C$13</definedName>
    <definedName name="solver_adj" localSheetId="2" hidden="1">Summary!#REF!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cvg" localSheetId="6" hidden="1">0.0001</definedName>
    <definedName name="solver_cvg" localSheetId="2" hidden="1">0.0001</definedName>
    <definedName name="solver_drv" localSheetId="3" hidden="1">1</definedName>
    <definedName name="solver_drv" localSheetId="4" hidden="1">1</definedName>
    <definedName name="solver_drv" localSheetId="5" hidden="1">1</definedName>
    <definedName name="solver_drv" localSheetId="6" hidden="1">1</definedName>
    <definedName name="solver_drv" localSheetId="2" hidden="1">1</definedName>
    <definedName name="solver_eng" localSheetId="3" hidden="1">1</definedName>
    <definedName name="solver_eng" localSheetId="4" hidden="1">1</definedName>
    <definedName name="solver_eng" localSheetId="5" hidden="1">1</definedName>
    <definedName name="solver_eng" localSheetId="6" hidden="1">1</definedName>
    <definedName name="solver_eng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est" localSheetId="6" hidden="1">1</definedName>
    <definedName name="solver_est" localSheetId="2" hidden="1">1</definedName>
    <definedName name="solver_itr" localSheetId="3" hidden="1">2147483647</definedName>
    <definedName name="solver_itr" localSheetId="4" hidden="1">2147483647</definedName>
    <definedName name="solver_itr" localSheetId="5" hidden="1">2147483647</definedName>
    <definedName name="solver_itr" localSheetId="6" hidden="1">2147483647</definedName>
    <definedName name="solver_itr" localSheetId="2" hidden="1">2147483647</definedName>
    <definedName name="solver_mip" localSheetId="3" hidden="1">2147483647</definedName>
    <definedName name="solver_mip" localSheetId="4" hidden="1">2147483647</definedName>
    <definedName name="solver_mip" localSheetId="5" hidden="1">2147483647</definedName>
    <definedName name="solver_mip" localSheetId="6" hidden="1">2147483647</definedName>
    <definedName name="solver_mip" localSheetId="2" hidden="1">2147483647</definedName>
    <definedName name="solver_mni" localSheetId="3" hidden="1">30</definedName>
    <definedName name="solver_mni" localSheetId="4" hidden="1">30</definedName>
    <definedName name="solver_mni" localSheetId="5" hidden="1">30</definedName>
    <definedName name="solver_mni" localSheetId="6" hidden="1">30</definedName>
    <definedName name="solver_mni" localSheetId="2" hidden="1">30</definedName>
    <definedName name="solver_mrt" localSheetId="3" hidden="1">0.075</definedName>
    <definedName name="solver_mrt" localSheetId="4" hidden="1">0.075</definedName>
    <definedName name="solver_mrt" localSheetId="5" hidden="1">0.075</definedName>
    <definedName name="solver_mrt" localSheetId="6" hidden="1">0.075</definedName>
    <definedName name="solver_mrt" localSheetId="2" hidden="1">0.075</definedName>
    <definedName name="solver_msl" localSheetId="3" hidden="1">2</definedName>
    <definedName name="solver_msl" localSheetId="4" hidden="1">2</definedName>
    <definedName name="solver_msl" localSheetId="5" hidden="1">2</definedName>
    <definedName name="solver_msl" localSheetId="6" hidden="1">2</definedName>
    <definedName name="solver_msl" localSheetId="2" hidden="1">2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eg" localSheetId="6" hidden="1">1</definedName>
    <definedName name="solver_neg" localSheetId="2" hidden="1">1</definedName>
    <definedName name="solver_nod" localSheetId="3" hidden="1">2147483647</definedName>
    <definedName name="solver_nod" localSheetId="4" hidden="1">2147483647</definedName>
    <definedName name="solver_nod" localSheetId="5" hidden="1">2147483647</definedName>
    <definedName name="solver_nod" localSheetId="6" hidden="1">2147483647</definedName>
    <definedName name="solver_nod" localSheetId="2" hidden="1">2147483647</definedName>
    <definedName name="solver_num" localSheetId="3" hidden="1">0</definedName>
    <definedName name="solver_num" localSheetId="4" hidden="1">0</definedName>
    <definedName name="solver_num" localSheetId="5" hidden="1">0</definedName>
    <definedName name="solver_num" localSheetId="6" hidden="1">0</definedName>
    <definedName name="solver_num" localSheetId="2" hidden="1">0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nwt" localSheetId="6" hidden="1">1</definedName>
    <definedName name="solver_nwt" localSheetId="2" hidden="1">1</definedName>
    <definedName name="solver_opt" localSheetId="3" hidden="1">'1d'!#REF!</definedName>
    <definedName name="solver_opt" localSheetId="4" hidden="1">'1e'!#REF!</definedName>
    <definedName name="solver_opt" localSheetId="5" hidden="1">Calcs!#REF!</definedName>
    <definedName name="solver_opt" localSheetId="6" hidden="1">'Indicative graph'!$C$14</definedName>
    <definedName name="solver_opt" localSheetId="2" hidden="1">Summary!#REF!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pre" localSheetId="6" hidden="1">0.000001</definedName>
    <definedName name="solver_pre" localSheetId="2" hidden="1">0.000001</definedName>
    <definedName name="solver_rbv" localSheetId="3" hidden="1">1</definedName>
    <definedName name="solver_rbv" localSheetId="4" hidden="1">1</definedName>
    <definedName name="solver_rbv" localSheetId="5" hidden="1">1</definedName>
    <definedName name="solver_rbv" localSheetId="6" hidden="1">1</definedName>
    <definedName name="solver_rbv" localSheetId="2" hidden="1">1</definedName>
    <definedName name="solver_rlx" localSheetId="3" hidden="1">2</definedName>
    <definedName name="solver_rlx" localSheetId="4" hidden="1">2</definedName>
    <definedName name="solver_rlx" localSheetId="5" hidden="1">2</definedName>
    <definedName name="solver_rlx" localSheetId="6" hidden="1">2</definedName>
    <definedName name="solver_rlx" localSheetId="2" hidden="1">2</definedName>
    <definedName name="solver_rsd" localSheetId="3" hidden="1">0</definedName>
    <definedName name="solver_rsd" localSheetId="4" hidden="1">0</definedName>
    <definedName name="solver_rsd" localSheetId="5" hidden="1">0</definedName>
    <definedName name="solver_rsd" localSheetId="6" hidden="1">0</definedName>
    <definedName name="solver_rsd" localSheetId="2" hidden="1">0</definedName>
    <definedName name="solver_scl" localSheetId="3" hidden="1">1</definedName>
    <definedName name="solver_scl" localSheetId="4" hidden="1">1</definedName>
    <definedName name="solver_scl" localSheetId="5" hidden="1">1</definedName>
    <definedName name="solver_scl" localSheetId="6" hidden="1">1</definedName>
    <definedName name="solver_scl" localSheetId="2" hidden="1">1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ho" localSheetId="6" hidden="1">2</definedName>
    <definedName name="solver_sho" localSheetId="2" hidden="1">2</definedName>
    <definedName name="solver_ssz" localSheetId="3" hidden="1">100</definedName>
    <definedName name="solver_ssz" localSheetId="4" hidden="1">100</definedName>
    <definedName name="solver_ssz" localSheetId="5" hidden="1">100</definedName>
    <definedName name="solver_ssz" localSheetId="6" hidden="1">100</definedName>
    <definedName name="solver_ssz" localSheetId="2" hidden="1">100</definedName>
    <definedName name="solver_tim" localSheetId="3" hidden="1">2147483647</definedName>
    <definedName name="solver_tim" localSheetId="4" hidden="1">2147483647</definedName>
    <definedName name="solver_tim" localSheetId="5" hidden="1">2147483647</definedName>
    <definedName name="solver_tim" localSheetId="6" hidden="1">2147483647</definedName>
    <definedName name="solver_tim" localSheetId="2" hidden="1">2147483647</definedName>
    <definedName name="solver_tol" localSheetId="3" hidden="1">0.01</definedName>
    <definedName name="solver_tol" localSheetId="4" hidden="1">0.01</definedName>
    <definedName name="solver_tol" localSheetId="5" hidden="1">0.01</definedName>
    <definedName name="solver_tol" localSheetId="6" hidden="1">0.01</definedName>
    <definedName name="solver_tol" localSheetId="2" hidden="1">0.01</definedName>
    <definedName name="solver_typ" localSheetId="3" hidden="1">3</definedName>
    <definedName name="solver_typ" localSheetId="4" hidden="1">3</definedName>
    <definedName name="solver_typ" localSheetId="5" hidden="1">3</definedName>
    <definedName name="solver_typ" localSheetId="6" hidden="1">3</definedName>
    <definedName name="solver_typ" localSheetId="2" hidden="1">3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al" localSheetId="2" hidden="1">0</definedName>
    <definedName name="solver_ver" localSheetId="3" hidden="1">3</definedName>
    <definedName name="solver_ver" localSheetId="4" hidden="1">3</definedName>
    <definedName name="solver_ver" localSheetId="5" hidden="1">3</definedName>
    <definedName name="solver_ver" localSheetId="6" hidden="1">3</definedName>
    <definedName name="solver_ver" localSheetId="2" hidden="1">3</definedName>
  </definedNames>
  <calcPr calcId="145621"/>
  <oleSize ref="A1:BT57"/>
</workbook>
</file>

<file path=xl/sharedStrings.xml><?xml version="1.0" encoding="utf-8"?>
<sst xmlns="http://schemas.openxmlformats.org/spreadsheetml/2006/main" count="439" uniqueCount="248">
  <si>
    <t>HOEP (2016$/MWh)</t>
  </si>
  <si>
    <t>Revised Base</t>
  </si>
  <si>
    <t>Case 1</t>
  </si>
  <si>
    <t>Case 2</t>
  </si>
  <si>
    <t>Case 3</t>
  </si>
  <si>
    <t>Case 4</t>
  </si>
  <si>
    <t>Case 5</t>
  </si>
  <si>
    <t>Case 6</t>
  </si>
  <si>
    <t>Class A GA (2016$/MWh)</t>
  </si>
  <si>
    <t>Class B GA (2016$/MWh)</t>
  </si>
  <si>
    <t>Bend the Cost Curve Case Runs - 2016/11/28</t>
  </si>
  <si>
    <t>Directed Items in OPO</t>
  </si>
  <si>
    <r>
      <rPr>
        <b/>
        <sz val="11"/>
        <color theme="1"/>
        <rFont val="Calibri"/>
        <family val="2"/>
        <scheme val="minor"/>
      </rPr>
      <t>Revised Base Case</t>
    </r>
    <r>
      <rPr>
        <sz val="11"/>
        <color theme="1"/>
        <rFont val="Calibri"/>
        <family val="2"/>
        <scheme val="minor"/>
      </rPr>
      <t xml:space="preserve"> = LRP I in Committed, removal of LRP II, EFW and FILLER</t>
    </r>
  </si>
  <si>
    <t>CASE 1</t>
  </si>
  <si>
    <t>CASE 2</t>
  </si>
  <si>
    <t>CASE 3</t>
  </si>
  <si>
    <t>CASE 4</t>
  </si>
  <si>
    <t>CASE 5</t>
  </si>
  <si>
    <t>CASE 6</t>
  </si>
  <si>
    <t>EFW</t>
  </si>
  <si>
    <t>Remove EFW</t>
  </si>
  <si>
    <t>Filler</t>
  </si>
  <si>
    <t>Remove Filler</t>
  </si>
  <si>
    <t>LRP II</t>
  </si>
  <si>
    <t>Remove LRP II</t>
  </si>
  <si>
    <t>FIT 5</t>
  </si>
  <si>
    <t>Remove FIT 5</t>
  </si>
  <si>
    <t xml:space="preserve"> </t>
  </si>
  <si>
    <t>FIT 5 Extension</t>
  </si>
  <si>
    <t>Remove FIT 5 Extension</t>
  </si>
  <si>
    <t>FIT 6</t>
  </si>
  <si>
    <t>Remove FIT 6</t>
  </si>
  <si>
    <t>MicroFIT 4</t>
  </si>
  <si>
    <t>Remove MicoFIT 4</t>
  </si>
  <si>
    <t>MicroFIT 5</t>
  </si>
  <si>
    <t>Remove MicoFIT 5</t>
  </si>
  <si>
    <t>MicroFIT 6</t>
  </si>
  <si>
    <t>Remove MicoFIT 6</t>
  </si>
  <si>
    <t>LRP I</t>
  </si>
  <si>
    <t>LRP I -  moved into Committed</t>
  </si>
  <si>
    <t>Remove LRP I</t>
  </si>
  <si>
    <t>Additional DR</t>
  </si>
  <si>
    <t>Highlighted in  yellow is the Revised Base Case</t>
  </si>
  <si>
    <t>Cost Savings Results:</t>
  </si>
  <si>
    <t>Case Comparisons</t>
  </si>
  <si>
    <t>Cost Savings without FIT 
(FIT 5, FIT 5 Ext, FIT 6)</t>
  </si>
  <si>
    <t xml:space="preserve">Revised Base Case vs Case 1 </t>
  </si>
  <si>
    <t>Cost Savings of FIT 5</t>
  </si>
  <si>
    <t xml:space="preserve">Case 1 vs Case 2 </t>
  </si>
  <si>
    <t>Cost Savings of FIT 5 Extension</t>
  </si>
  <si>
    <t>Case 3 vs Case 2</t>
  </si>
  <si>
    <t>Cost Savings of FIT 6</t>
  </si>
  <si>
    <t>Revised Base vs Case 3</t>
  </si>
  <si>
    <t>Cost Savings of Micro FIT</t>
  </si>
  <si>
    <t>Case 5 vs Case 4</t>
  </si>
  <si>
    <t>Cost Savings of LRP I</t>
  </si>
  <si>
    <t>Case 4 vs Revised Base</t>
  </si>
  <si>
    <t>FIT. Micro FiT, LRP I</t>
  </si>
  <si>
    <t>Case 6 vs Revised Base</t>
  </si>
  <si>
    <t>Note:</t>
  </si>
  <si>
    <t>Case scenarios are as indicated above</t>
  </si>
  <si>
    <t>Includes throne speech assumptions for ICI, RRRP, and 8% Rebate for Residential Customers</t>
  </si>
  <si>
    <t>Includes current Hydro Quebec deal of 2TWh for 2017 to 2022 and Capacity sale to HQ</t>
  </si>
  <si>
    <t>Residential Monthly Bill is re-based to the 2016 Toronto Hydro Rates and OEB established 2016 TOU rates</t>
  </si>
  <si>
    <t>Typical Residential Monthly Bill, assume 750KWh/Mth</t>
  </si>
  <si>
    <t>(2016 Actual used as the Base)</t>
  </si>
  <si>
    <t>($Nominal/Mth)</t>
  </si>
  <si>
    <t>Difference Case</t>
  </si>
  <si>
    <t>Remove</t>
  </si>
  <si>
    <t>Every thing</t>
  </si>
  <si>
    <t>Case 1 vs Revised Base</t>
  </si>
  <si>
    <t>FIT 5, FIT 5 Ext, FIT 6</t>
  </si>
  <si>
    <t>Case 2vs Revised Base</t>
  </si>
  <si>
    <t xml:space="preserve">FIT 5 ext and FIT 6 </t>
  </si>
  <si>
    <t>CASE 1 vs Case 2</t>
  </si>
  <si>
    <t>Case 3 vs. Revised Base</t>
  </si>
  <si>
    <t>Case 2 vs. Case 3</t>
  </si>
  <si>
    <t>FIT 5 extension</t>
  </si>
  <si>
    <t>Case 5 vs. Revised Base</t>
  </si>
  <si>
    <t>LRP 1 and MicroFIT</t>
  </si>
  <si>
    <t>MicroFIT</t>
  </si>
  <si>
    <t>Average monthly residential consumtion (MW)</t>
  </si>
  <si>
    <t>Average Increase Rate</t>
  </si>
  <si>
    <t>Change in GA Cost - high interest rate</t>
  </si>
  <si>
    <t>Total GA (2016$ million)</t>
  </si>
  <si>
    <t>Method 1 : Reduce/escalate GA</t>
  </si>
  <si>
    <t>Total GA (nominal $ million)</t>
  </si>
  <si>
    <t>Proposed GA paid by ratepayer - 2017 ($ million)</t>
  </si>
  <si>
    <t>Percent change from forecast</t>
  </si>
  <si>
    <t>Rate of increase (real) in GA paid by ratepayers</t>
  </si>
  <si>
    <t>Interest rate (nominal)</t>
  </si>
  <si>
    <t>nominal $ million</t>
  </si>
  <si>
    <t>nominal $/month</t>
  </si>
  <si>
    <t>IESO Forecast (Case 2)</t>
  </si>
  <si>
    <t>Global Impacts</t>
  </si>
  <si>
    <t>Residential Bills (assuming 750 kWh/month)</t>
  </si>
  <si>
    <t>IESO Forecast GA in 2017 ($ million)</t>
  </si>
  <si>
    <t>DOUBLE CHECK BEHAVIOUR WHEN NEGATIVE DEBT SERVICE PAYMENTS ARE INCLUDED</t>
  </si>
  <si>
    <t>Scenario 1</t>
  </si>
  <si>
    <t>Scenario 2</t>
  </si>
  <si>
    <t>Total GA Ratepayer Payment - Scenario 2</t>
  </si>
  <si>
    <t>Accumulated Debt - Scenario 2</t>
  </si>
  <si>
    <t>With impact of refinanced GA - Scenario 1</t>
  </si>
  <si>
    <t>With impact of refinanced GA - Scenario 2</t>
  </si>
  <si>
    <t>Change in monthly Bill</t>
  </si>
  <si>
    <t>Scneario 2</t>
  </si>
  <si>
    <t>Maximum increase in GA ($ million)</t>
  </si>
  <si>
    <t>Year to start additional payments</t>
  </si>
  <si>
    <t>Year to pay off debt</t>
  </si>
  <si>
    <t>Amount of debt in Final Year (should be zero)</t>
  </si>
  <si>
    <t>Fraction of debt paid additionally</t>
  </si>
  <si>
    <t>&lt;-----------</t>
  </si>
  <si>
    <t>Change in HOEP</t>
  </si>
  <si>
    <t>2017-2022 Average</t>
  </si>
  <si>
    <t>The relative change in total GA cost due to the indicated change in HOEP</t>
  </si>
  <si>
    <t>&lt;--- Outlier</t>
  </si>
  <si>
    <t>Relevant years</t>
  </si>
  <si>
    <t>Change in GA</t>
  </si>
  <si>
    <t>Change in GA/Change in HOEP</t>
  </si>
  <si>
    <t>Average Change in GA/Change in HOEP</t>
  </si>
  <si>
    <t>Relative change in HOEP Forecast</t>
  </si>
  <si>
    <t>Relative change in GA</t>
  </si>
  <si>
    <t>Overall Bill Impact - Scenario 2</t>
  </si>
  <si>
    <t>OPO 2016</t>
  </si>
  <si>
    <t>Status Quo (Case 2)</t>
  </si>
  <si>
    <t>Debt Financed GA</t>
  </si>
  <si>
    <t>Accumulated Debt</t>
  </si>
  <si>
    <t>IESO Forecast GA Cost</t>
  </si>
  <si>
    <t>Amount Paid by Ratepayer</t>
  </si>
  <si>
    <t>Growth Rate</t>
  </si>
  <si>
    <t>Average Growth Rate</t>
  </si>
  <si>
    <t>GA Cost Extrapolated</t>
  </si>
  <si>
    <t>Relative change in Status Quo</t>
  </si>
  <si>
    <t>Status Quo Extrapolated</t>
  </si>
  <si>
    <t>IESO Forecast Extrapolated</t>
  </si>
  <si>
    <t>IESO Forecast</t>
  </si>
  <si>
    <t>OPO Demand - Outlook B + Extrapolation</t>
  </si>
  <si>
    <t>750 kWh/month</t>
  </si>
  <si>
    <t>Electricity</t>
  </si>
  <si>
    <t>Distribution</t>
  </si>
  <si>
    <t>Transmission</t>
  </si>
  <si>
    <t>Regulatory</t>
  </si>
  <si>
    <t>DRC</t>
  </si>
  <si>
    <t>Tax</t>
  </si>
  <si>
    <t>OCEB</t>
  </si>
  <si>
    <t>Total</t>
  </si>
  <si>
    <t>$/MWh</t>
  </si>
  <si>
    <t>2016 (actual)</t>
  </si>
  <si>
    <t>RRRP</t>
  </si>
  <si>
    <t>OESP</t>
  </si>
  <si>
    <t xml:space="preserve">Note: IESO stated that 2% escalation was applied to current rate. </t>
  </si>
  <si>
    <t>Historical Values</t>
  </si>
  <si>
    <t>$/month</t>
  </si>
  <si>
    <t>Commodity</t>
  </si>
  <si>
    <t>Subtotal</t>
  </si>
  <si>
    <t>8% Rebate</t>
  </si>
  <si>
    <t>HST</t>
  </si>
  <si>
    <t>Production</t>
  </si>
  <si>
    <t>Forecast Nuclear Production (TWh)</t>
  </si>
  <si>
    <t>Forecast Hydro Production (TWh)</t>
  </si>
  <si>
    <t>Status Quo Regulated Rates</t>
  </si>
  <si>
    <t>Smoothed Nuclear Rate (nominal $/MWh)</t>
  </si>
  <si>
    <t>Hydro Rate (nominal $/MWh)</t>
  </si>
  <si>
    <t>Nuclear Cost (nominal $ millions)</t>
  </si>
  <si>
    <t>Hydro Cost (nominal $ millions)</t>
  </si>
  <si>
    <t>Reduced Regulated Rates</t>
  </si>
  <si>
    <t>Reduction in Smoothed Nuclear Rate (nominal $/MWh)</t>
  </si>
  <si>
    <t>Total System Cost</t>
  </si>
  <si>
    <t>Change in Regulated Nuclear Cost (nominal $ million)</t>
  </si>
  <si>
    <t>Change in Regulated Hydro Cost (nominal $ million)</t>
  </si>
  <si>
    <t>Total change in system cost (nominal $ million)</t>
  </si>
  <si>
    <t>Residential Customer Bill  - Assumes 800KWh/Mth</t>
  </si>
  <si>
    <t>$ Nominal</t>
  </si>
  <si>
    <t>Regulated Charges (Wholesale Market Service Charge)</t>
  </si>
  <si>
    <t>Debt Retirement Charge (DRC)</t>
  </si>
  <si>
    <t xml:space="preserve"> Total Bill before Taxes</t>
  </si>
  <si>
    <t>Total Residential Bill with Taxes (Before OCEB)</t>
  </si>
  <si>
    <t>Ontario Clean Energy Benefit Credit (OCEB)</t>
  </si>
  <si>
    <t>Total Residential Bill with Taxes: After OCEB</t>
  </si>
  <si>
    <t>Note: Ontario Clearn Energy Benefit (OCEB) is a 10% credit to residential bills, which is in effect from 2011 to 2015.  A 3,000 kWh per month cap was implement on September 2012.</t>
  </si>
  <si>
    <t>Beyond 2015, the OECB program's future would require legislative changes and would need to take into account a number of factors including the province's fiscal position.</t>
  </si>
  <si>
    <t>Extrapolation takes the average system cost change and inflates it at 2%</t>
  </si>
  <si>
    <t>Total change in system cost (2022$ million)</t>
  </si>
  <si>
    <t>Residential impact ($/month)</t>
  </si>
  <si>
    <t>Industrial impact ($/MWh)</t>
  </si>
  <si>
    <t>Residential impact (2022$/month)</t>
  </si>
  <si>
    <t>Industrial impact (2022$/MWh)</t>
  </si>
  <si>
    <t>Number of years payments at growth rate 1</t>
  </si>
  <si>
    <t>Rate of increase (real) in GA paid by ratepayers - growth rate 1</t>
  </si>
  <si>
    <t>Rate of increase (real) in GA paid by ratepayers - growth rate 2</t>
  </si>
  <si>
    <t>Rate of increase (real) in GA ceiling - growth rate 2</t>
  </si>
  <si>
    <t>Number of years to increase at growth rate 1</t>
  </si>
  <si>
    <t>Rate of increase (real) in GA ceiling - growth rate 1</t>
  </si>
  <si>
    <t>Financed GA</t>
  </si>
  <si>
    <t>Difference in Residential Bill</t>
  </si>
  <si>
    <t>GA Payment</t>
  </si>
  <si>
    <t xml:space="preserve">Fractional Discount in GA in 2017 </t>
  </si>
  <si>
    <t>Year to start service debt</t>
  </si>
  <si>
    <t>Fraction of debt serviced annually</t>
  </si>
  <si>
    <t>Annual interest on debt</t>
  </si>
  <si>
    <t>Maximum increase in GA before add'n payments</t>
  </si>
  <si>
    <t>Proposed GA Paid by Ratepayer (2016$ million)</t>
  </si>
  <si>
    <t>Proposed GA Paid by Ratepayer (nominal $ million)</t>
  </si>
  <si>
    <t>Difference from forecast</t>
  </si>
  <si>
    <t>Debt service payment</t>
  </si>
  <si>
    <t>Prelim Accumulated Debt</t>
  </si>
  <si>
    <t>Prelim Total Amount paid by ratepayer</t>
  </si>
  <si>
    <t>Total Amount paid by ratepayer</t>
  </si>
  <si>
    <t>Difference in payment</t>
  </si>
  <si>
    <t>GA Financing</t>
  </si>
  <si>
    <t>Target Change in 2017 Residential Bill ($/month)</t>
  </si>
  <si>
    <t>IESO Class B GA Rate - Revised Base ($2016/MWh)</t>
  </si>
  <si>
    <t>IESO Class B GA Rate - Revised Base Extrapolated ($2016/MWh)</t>
  </si>
  <si>
    <r>
      <t xml:space="preserve">Total Accumulated Debt </t>
    </r>
    <r>
      <rPr>
        <i/>
        <sz val="11"/>
        <color theme="1"/>
        <rFont val="Calibri"/>
        <family val="2"/>
        <scheme val="minor"/>
      </rPr>
      <t>($ billion)</t>
    </r>
  </si>
  <si>
    <r>
      <t xml:space="preserve">Total Change in Accumulated Debt </t>
    </r>
    <r>
      <rPr>
        <i/>
        <sz val="11"/>
        <color theme="1"/>
        <rFont val="Calibri"/>
        <family val="2"/>
        <scheme val="minor"/>
      </rPr>
      <t>($ billion)</t>
    </r>
  </si>
  <si>
    <t>2016 Act</t>
  </si>
  <si>
    <t>Regulated Charges (Wholesale Uplift and DRC)</t>
  </si>
  <si>
    <t>8% Rebate on Bill before Taxes</t>
  </si>
  <si>
    <t xml:space="preserve">  Total Bill After Rebate</t>
  </si>
  <si>
    <t>Change in Average Monthly Residential Bill - pretax(nominal $)</t>
  </si>
  <si>
    <t>Change in Average Monthly Residential Bill - with tax (nominal $)</t>
  </si>
  <si>
    <r>
      <t xml:space="preserve">Average Monthly Residential Bill Impact pre-tax </t>
    </r>
    <r>
      <rPr>
        <i/>
        <sz val="11"/>
        <color theme="1"/>
        <rFont val="Calibri"/>
        <family val="2"/>
        <scheme val="minor"/>
      </rPr>
      <t>($/month)</t>
    </r>
  </si>
  <si>
    <t>Increase in residential bill</t>
  </si>
  <si>
    <t>Class to which savings accrue</t>
  </si>
  <si>
    <t>All</t>
  </si>
  <si>
    <t>"All", "Class B" or "RPP"</t>
  </si>
  <si>
    <t>Share of consumption</t>
  </si>
  <si>
    <t>Class B</t>
  </si>
  <si>
    <t>Share of GA savings</t>
  </si>
  <si>
    <t>RPP</t>
  </si>
  <si>
    <t>RPP Fraction of Class B conumption</t>
  </si>
  <si>
    <t>Impact of Financing</t>
  </si>
  <si>
    <t>Scenario</t>
  </si>
  <si>
    <t>Ctrl-Shift-F to fix GA payments in these years to match these numbers</t>
  </si>
  <si>
    <t>Ctrl-Shift-Q</t>
  </si>
  <si>
    <t>Ctrl-Shift-W</t>
  </si>
  <si>
    <t>Ctrl-Shift-E</t>
  </si>
  <si>
    <t>Prescribed Impact of GA Financing</t>
  </si>
  <si>
    <t>Annual Ratepayer GA Payments ($ million)</t>
  </si>
  <si>
    <t>Status Quo</t>
  </si>
  <si>
    <t>OLD SCENARIOS:</t>
  </si>
  <si>
    <t>New Scenarios</t>
  </si>
  <si>
    <t>Scenario 2 (new 2)</t>
  </si>
  <si>
    <t>Scenario 1 (Old 2c)</t>
  </si>
  <si>
    <t>New new scenarios</t>
  </si>
  <si>
    <t>includes "Impact of GA Financing" and "Impact of OPG Efficiencies" from the New new scenarios</t>
  </si>
  <si>
    <t>1d</t>
  </si>
  <si>
    <t>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</si>
</sst>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6" formatCode="&quot;$&quot;#,##0;[Red]\-&quot;$&quot;#,##0"/>
    <numFmt numFmtId="44" formatCode="_-&quot;$&quot;* #,##0.00_-;\-&quot;$&quot;* #,##0.00_-;_-&quot;$&quot;* &quot;-&quot;??_-;_-@_-"/>
    <numFmt numFmtId="164" formatCode="0.000"/>
    <numFmt numFmtId="165" formatCode="_-&quot;$&quot;* #,##0_-;\-&quot;$&quot;* #,##0_-;_-&quot;$&quot;* &quot;-&quot;??_-;_-@_-"/>
    <numFmt numFmtId="166" formatCode="_([$€-2]* #,##0.00_);_([$€-2]* \(#,##0.00\);_([$€-2]* &quot;-&quot;??_)"/>
    <numFmt numFmtId="167" formatCode="0.00000000000000"/>
    <numFmt numFmtId="168" formatCode="0.0%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&quot;$&quot;* #,##0_);_(&quot;$&quot;* \(#,##0\);_(&quot;$&quot;* &quot;-&quot;??_);_(@_)"/>
    <numFmt numFmtId="172" formatCode="0.0000000"/>
    <numFmt numFmtId="173" formatCode="0.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9"/>
      <color rgb="FF000000"/>
      <name val="Arial"/>
      <family val="2"/>
    </font>
    <font>
      <sz val="11"/>
      <color rgb="FF002060"/>
      <name val="Arial"/>
      <family val="2"/>
    </font>
    <font>
      <b/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206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rgb="FF000000"/>
      <name val="Calibri"/>
      <family val="2"/>
    </font>
    <font>
      <sz val="12"/>
      <color rgb="FFC00000"/>
      <name val="Calibri"/>
      <family val="2"/>
    </font>
    <font>
      <sz val="11"/>
      <color rgb="FF1F497D"/>
      <name val="Calibri"/>
      <family val="2"/>
      <scheme val="minor"/>
    </font>
    <font>
      <b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0" fillId="0" borderId="0" applyNumberFormat="0" applyFill="0" applyBorder="0" applyAlignment="0" applyProtection="0"/>
    <xf numFmtId="166" fontId="11" fillId="0" borderId="6" applyNumberFormat="0" applyFill="0" applyAlignment="0" applyProtection="0"/>
    <xf numFmtId="166" fontId="12" fillId="0" borderId="7" applyNumberFormat="0" applyFill="0" applyAlignment="0" applyProtection="0"/>
    <xf numFmtId="166" fontId="13" fillId="0" borderId="8" applyNumberFormat="0" applyFill="0" applyAlignment="0" applyProtection="0"/>
    <xf numFmtId="166" fontId="13" fillId="0" borderId="0" applyNumberFormat="0" applyFill="0" applyBorder="0" applyAlignment="0" applyProtection="0"/>
    <xf numFmtId="166" fontId="14" fillId="7" borderId="0" applyNumberFormat="0" applyBorder="0" applyAlignment="0" applyProtection="0"/>
    <xf numFmtId="166" fontId="15" fillId="8" borderId="0" applyNumberFormat="0" applyBorder="0" applyAlignment="0" applyProtection="0"/>
    <xf numFmtId="166" fontId="16" fillId="9" borderId="0" applyNumberFormat="0" applyBorder="0" applyAlignment="0" applyProtection="0"/>
    <xf numFmtId="166" fontId="17" fillId="10" borderId="9" applyNumberFormat="0" applyAlignment="0" applyProtection="0"/>
    <xf numFmtId="166" fontId="18" fillId="11" borderId="10" applyNumberFormat="0" applyAlignment="0" applyProtection="0"/>
    <xf numFmtId="166" fontId="19" fillId="11" borderId="9" applyNumberFormat="0" applyAlignment="0" applyProtection="0"/>
    <xf numFmtId="166" fontId="20" fillId="0" borderId="11" applyNumberFormat="0" applyFill="0" applyAlignment="0" applyProtection="0"/>
    <xf numFmtId="166" fontId="21" fillId="12" borderId="12" applyNumberFormat="0" applyAlignment="0" applyProtection="0"/>
    <xf numFmtId="166" fontId="22" fillId="0" borderId="0" applyNumberFormat="0" applyFill="0" applyBorder="0" applyAlignment="0" applyProtection="0"/>
    <xf numFmtId="166" fontId="1" fillId="13" borderId="13" applyNumberFormat="0" applyFont="0" applyAlignment="0" applyProtection="0"/>
    <xf numFmtId="166" fontId="23" fillId="0" borderId="0" applyNumberFormat="0" applyFill="0" applyBorder="0" applyAlignment="0" applyProtection="0"/>
    <xf numFmtId="166" fontId="2" fillId="0" borderId="14" applyNumberFormat="0" applyFill="0" applyAlignment="0" applyProtection="0"/>
    <xf numFmtId="166" fontId="24" fillId="14" borderId="0" applyNumberFormat="0" applyBorder="0" applyAlignment="0" applyProtection="0"/>
    <xf numFmtId="166" fontId="1" fillId="15" borderId="0" applyNumberFormat="0" applyBorder="0" applyAlignment="0" applyProtection="0"/>
    <xf numFmtId="166" fontId="1" fillId="16" borderId="0" applyNumberFormat="0" applyBorder="0" applyAlignment="0" applyProtection="0"/>
    <xf numFmtId="166" fontId="24" fillId="17" borderId="0" applyNumberFormat="0" applyBorder="0" applyAlignment="0" applyProtection="0"/>
    <xf numFmtId="166" fontId="24" fillId="18" borderId="0" applyNumberFormat="0" applyBorder="0" applyAlignment="0" applyProtection="0"/>
    <xf numFmtId="166" fontId="1" fillId="19" borderId="0" applyNumberFormat="0" applyBorder="0" applyAlignment="0" applyProtection="0"/>
    <xf numFmtId="166" fontId="1" fillId="20" borderId="0" applyNumberFormat="0" applyBorder="0" applyAlignment="0" applyProtection="0"/>
    <xf numFmtId="166" fontId="24" fillId="21" borderId="0" applyNumberFormat="0" applyBorder="0" applyAlignment="0" applyProtection="0"/>
    <xf numFmtId="166" fontId="24" fillId="22" borderId="0" applyNumberFormat="0" applyBorder="0" applyAlignment="0" applyProtection="0"/>
    <xf numFmtId="166" fontId="1" fillId="23" borderId="0" applyNumberFormat="0" applyBorder="0" applyAlignment="0" applyProtection="0"/>
    <xf numFmtId="166" fontId="1" fillId="24" borderId="0" applyNumberFormat="0" applyBorder="0" applyAlignment="0" applyProtection="0"/>
    <xf numFmtId="166" fontId="24" fillId="25" borderId="0" applyNumberFormat="0" applyBorder="0" applyAlignment="0" applyProtection="0"/>
    <xf numFmtId="166" fontId="24" fillId="26" borderId="0" applyNumberFormat="0" applyBorder="0" applyAlignment="0" applyProtection="0"/>
    <xf numFmtId="166" fontId="1" fillId="27" borderId="0" applyNumberFormat="0" applyBorder="0" applyAlignment="0" applyProtection="0"/>
    <xf numFmtId="166" fontId="1" fillId="28" borderId="0" applyNumberFormat="0" applyBorder="0" applyAlignment="0" applyProtection="0"/>
    <xf numFmtId="166" fontId="24" fillId="29" borderId="0" applyNumberFormat="0" applyBorder="0" applyAlignment="0" applyProtection="0"/>
    <xf numFmtId="166" fontId="24" fillId="30" borderId="0" applyNumberFormat="0" applyBorder="0" applyAlignment="0" applyProtection="0"/>
    <xf numFmtId="166" fontId="1" fillId="31" borderId="0" applyNumberFormat="0" applyBorder="0" applyAlignment="0" applyProtection="0"/>
    <xf numFmtId="166" fontId="1" fillId="32" borderId="0" applyNumberFormat="0" applyBorder="0" applyAlignment="0" applyProtection="0"/>
    <xf numFmtId="166" fontId="24" fillId="33" borderId="0" applyNumberFormat="0" applyBorder="0" applyAlignment="0" applyProtection="0"/>
    <xf numFmtId="166" fontId="24" fillId="34" borderId="0" applyNumberFormat="0" applyBorder="0" applyAlignment="0" applyProtection="0"/>
    <xf numFmtId="166" fontId="1" fillId="35" borderId="0" applyNumberFormat="0" applyBorder="0" applyAlignment="0" applyProtection="0"/>
    <xf numFmtId="166" fontId="1" fillId="36" borderId="0" applyNumberFormat="0" applyBorder="0" applyAlignment="0" applyProtection="0"/>
    <xf numFmtId="166" fontId="24" fillId="37" borderId="0" applyNumberFormat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0"/>
    <xf numFmtId="170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9" fontId="36" fillId="0" borderId="0" applyFont="0" applyFill="0" applyBorder="0" applyAlignment="0" applyProtection="0"/>
  </cellStyleXfs>
  <cellXfs count="176">
    <xf numFmtId="0" fontId="0" fillId="0" borderId="0" xfId="0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0" fillId="0" borderId="0" xfId="0"/>
    <xf numFmtId="0" fontId="2" fillId="0" borderId="0" xfId="0" applyFont="1"/>
    <xf numFmtId="44" fontId="0" fillId="0" borderId="0" xfId="0" applyNumberFormat="1"/>
    <xf numFmtId="44" fontId="0" fillId="0" borderId="0" xfId="1" applyFont="1"/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4" fillId="2" borderId="1" xfId="0" applyFont="1" applyFill="1" applyBorder="1"/>
    <xf numFmtId="0" fontId="0" fillId="0" borderId="1" xfId="0" applyFill="1" applyBorder="1"/>
    <xf numFmtId="0" fontId="4" fillId="2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2" borderId="0" xfId="0" applyFont="1" applyFill="1"/>
    <xf numFmtId="0" fontId="2" fillId="3" borderId="1" xfId="0" applyFont="1" applyFill="1" applyBorder="1"/>
    <xf numFmtId="0" fontId="0" fillId="0" borderId="0" xfId="0"/>
    <xf numFmtId="0" fontId="2" fillId="0" borderId="0" xfId="0" applyFont="1"/>
    <xf numFmtId="164" fontId="0" fillId="0" borderId="0" xfId="0" applyNumberFormat="1"/>
    <xf numFmtId="44" fontId="0" fillId="0" borderId="0" xfId="0" applyNumberFormat="1"/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1" fontId="0" fillId="4" borderId="1" xfId="0" applyNumberFormat="1" applyFill="1" applyBorder="1"/>
    <xf numFmtId="0" fontId="7" fillId="2" borderId="1" xfId="0" applyFont="1" applyFill="1" applyBorder="1" applyAlignment="1">
      <alignment horizontal="right" vertical="center"/>
    </xf>
    <xf numFmtId="0" fontId="0" fillId="0" borderId="0" xfId="0" applyBorder="1" applyAlignment="1">
      <alignment wrapText="1"/>
    </xf>
    <xf numFmtId="0" fontId="7" fillId="0" borderId="0" xfId="0" applyFont="1" applyBorder="1" applyAlignment="1">
      <alignment horizontal="right" vertical="center"/>
    </xf>
    <xf numFmtId="1" fontId="0" fillId="0" borderId="0" xfId="0" applyNumberFormat="1"/>
    <xf numFmtId="0" fontId="4" fillId="0" borderId="0" xfId="0" applyFont="1"/>
    <xf numFmtId="44" fontId="8" fillId="0" borderId="0" xfId="0" applyNumberFormat="1" applyFont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0" fontId="2" fillId="0" borderId="0" xfId="0" applyFont="1" applyBorder="1" applyAlignment="1">
      <alignment wrapText="1"/>
    </xf>
    <xf numFmtId="165" fontId="0" fillId="0" borderId="0" xfId="0" applyNumberFormat="1"/>
    <xf numFmtId="0" fontId="0" fillId="0" borderId="0" xfId="0" applyFill="1"/>
    <xf numFmtId="9" fontId="0" fillId="0" borderId="0" xfId="0" applyNumberFormat="1"/>
    <xf numFmtId="1" fontId="0" fillId="0" borderId="1" xfId="0" applyNumberFormat="1" applyBorder="1"/>
    <xf numFmtId="1" fontId="0" fillId="2" borderId="1" xfId="0" applyNumberFormat="1" applyFill="1" applyBorder="1"/>
    <xf numFmtId="9" fontId="0" fillId="0" borderId="1" xfId="2" applyFont="1" applyBorder="1"/>
    <xf numFmtId="0" fontId="0" fillId="2" borderId="1" xfId="0" applyFill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/>
    <xf numFmtId="0" fontId="9" fillId="0" borderId="0" xfId="0" applyFont="1"/>
    <xf numFmtId="6" fontId="0" fillId="0" borderId="0" xfId="0" applyNumberFormat="1"/>
    <xf numFmtId="0" fontId="0" fillId="2" borderId="15" xfId="0" applyFill="1" applyBorder="1" applyAlignment="1">
      <alignment horizontal="center"/>
    </xf>
    <xf numFmtId="9" fontId="0" fillId="2" borderId="1" xfId="2" applyFont="1" applyFill="1" applyBorder="1"/>
    <xf numFmtId="0" fontId="25" fillId="0" borderId="0" xfId="0" applyFont="1" applyAlignment="1">
      <alignment horizontal="center"/>
    </xf>
    <xf numFmtId="9" fontId="0" fillId="0" borderId="1" xfId="2" applyFont="1" applyFill="1" applyBorder="1"/>
    <xf numFmtId="9" fontId="0" fillId="0" borderId="1" xfId="2" applyNumberFormat="1" applyFont="1" applyFill="1" applyBorder="1"/>
    <xf numFmtId="0" fontId="0" fillId="0" borderId="0" xfId="0"/>
    <xf numFmtId="0" fontId="2" fillId="0" borderId="0" xfId="0" applyFont="1"/>
    <xf numFmtId="6" fontId="0" fillId="0" borderId="0" xfId="0" applyNumberFormat="1"/>
    <xf numFmtId="9" fontId="2" fillId="0" borderId="0" xfId="2" applyFont="1"/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Alignment="1"/>
    <xf numFmtId="1" fontId="0" fillId="2" borderId="1" xfId="0" applyNumberFormat="1" applyFill="1" applyBorder="1" applyAlignment="1">
      <alignment horizontal="center"/>
    </xf>
    <xf numFmtId="167" fontId="0" fillId="0" borderId="0" xfId="0" applyNumberFormat="1"/>
    <xf numFmtId="9" fontId="0" fillId="0" borderId="0" xfId="2" applyFo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1" fontId="6" fillId="0" borderId="5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wrapText="1"/>
    </xf>
    <xf numFmtId="168" fontId="7" fillId="0" borderId="0" xfId="2" applyNumberFormat="1" applyFont="1" applyBorder="1" applyAlignment="1">
      <alignment horizontal="right" vertical="center"/>
    </xf>
    <xf numFmtId="10" fontId="7" fillId="0" borderId="0" xfId="2" applyNumberFormat="1" applyFont="1" applyBorder="1" applyAlignment="1">
      <alignment horizontal="right" vertical="center"/>
    </xf>
    <xf numFmtId="0" fontId="27" fillId="0" borderId="2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28" fillId="40" borderId="0" xfId="0" applyFont="1" applyFill="1" applyAlignment="1">
      <alignment vertical="center" wrapText="1"/>
    </xf>
    <xf numFmtId="0" fontId="29" fillId="40" borderId="17" xfId="0" applyFont="1" applyFill="1" applyBorder="1" applyAlignment="1">
      <alignment vertical="center" wrapText="1"/>
    </xf>
    <xf numFmtId="0" fontId="29" fillId="40" borderId="0" xfId="0" applyFont="1" applyFill="1" applyAlignment="1">
      <alignment vertical="center" wrapText="1"/>
    </xf>
    <xf numFmtId="0" fontId="0" fillId="40" borderId="0" xfId="0" applyFill="1"/>
    <xf numFmtId="2" fontId="0" fillId="40" borderId="18" xfId="0" applyNumberFormat="1" applyFill="1" applyBorder="1"/>
    <xf numFmtId="2" fontId="0" fillId="40" borderId="0" xfId="0" applyNumberFormat="1" applyFill="1"/>
    <xf numFmtId="2" fontId="0" fillId="40" borderId="4" xfId="0" applyNumberFormat="1" applyFill="1" applyBorder="1"/>
    <xf numFmtId="0" fontId="30" fillId="41" borderId="2" xfId="0" applyFont="1" applyFill="1" applyBorder="1" applyAlignment="1">
      <alignment vertical="center"/>
    </xf>
    <xf numFmtId="0" fontId="30" fillId="41" borderId="19" xfId="0" applyFont="1" applyFill="1" applyBorder="1" applyAlignment="1">
      <alignment horizontal="center" vertical="center"/>
    </xf>
    <xf numFmtId="0" fontId="30" fillId="41" borderId="3" xfId="0" applyFont="1" applyFill="1" applyBorder="1" applyAlignment="1">
      <alignment horizontal="center" vertical="center"/>
    </xf>
    <xf numFmtId="0" fontId="6" fillId="41" borderId="18" xfId="0" applyFont="1" applyFill="1" applyBorder="1" applyAlignment="1">
      <alignment vertical="center"/>
    </xf>
    <xf numFmtId="0" fontId="6" fillId="41" borderId="0" xfId="0" applyFont="1" applyFill="1" applyAlignment="1">
      <alignment horizontal="center" vertical="center"/>
    </xf>
    <xf numFmtId="0" fontId="6" fillId="41" borderId="20" xfId="0" applyFont="1" applyFill="1" applyBorder="1" applyAlignment="1">
      <alignment horizontal="center" vertical="center"/>
    </xf>
    <xf numFmtId="0" fontId="6" fillId="42" borderId="0" xfId="0" applyFont="1" applyFill="1" applyAlignment="1">
      <alignment horizontal="center" vertical="center"/>
    </xf>
    <xf numFmtId="0" fontId="6" fillId="42" borderId="20" xfId="0" applyFont="1" applyFill="1" applyBorder="1" applyAlignment="1">
      <alignment horizontal="center" vertical="center"/>
    </xf>
    <xf numFmtId="0" fontId="31" fillId="41" borderId="18" xfId="0" applyFont="1" applyFill="1" applyBorder="1" applyAlignment="1">
      <alignment vertical="center"/>
    </xf>
    <xf numFmtId="0" fontId="30" fillId="41" borderId="4" xfId="0" applyFont="1" applyFill="1" applyBorder="1" applyAlignment="1">
      <alignment vertical="center"/>
    </xf>
    <xf numFmtId="0" fontId="32" fillId="0" borderId="0" xfId="0" applyFont="1" applyAlignment="1">
      <alignment vertical="center"/>
    </xf>
    <xf numFmtId="0" fontId="26" fillId="0" borderId="0" xfId="0" applyFont="1"/>
    <xf numFmtId="0" fontId="33" fillId="0" borderId="22" xfId="0" applyFont="1" applyBorder="1" applyAlignment="1">
      <alignment horizontal="right" vertical="center"/>
    </xf>
    <xf numFmtId="0" fontId="33" fillId="0" borderId="19" xfId="0" applyFont="1" applyBorder="1" applyAlignment="1">
      <alignment horizontal="right" vertical="center"/>
    </xf>
    <xf numFmtId="0" fontId="33" fillId="0" borderId="3" xfId="0" applyFont="1" applyBorder="1" applyAlignment="1">
      <alignment horizontal="right" vertical="center"/>
    </xf>
    <xf numFmtId="0" fontId="5" fillId="0" borderId="24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5" fillId="0" borderId="21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20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21" xfId="0" applyFont="1" applyBorder="1" applyAlignment="1">
      <alignment horizontal="right" vertical="center"/>
    </xf>
    <xf numFmtId="0" fontId="33" fillId="0" borderId="5" xfId="0" applyFont="1" applyBorder="1" applyAlignment="1">
      <alignment horizontal="right" vertical="center"/>
    </xf>
    <xf numFmtId="0" fontId="0" fillId="0" borderId="0" xfId="0"/>
    <xf numFmtId="0" fontId="34" fillId="0" borderId="0" xfId="0" applyFont="1"/>
    <xf numFmtId="0" fontId="35" fillId="0" borderId="0" xfId="0" applyFont="1" applyFill="1" applyBorder="1"/>
    <xf numFmtId="1" fontId="37" fillId="0" borderId="0" xfId="48" applyNumberFormat="1" applyFont="1" applyFill="1" applyBorder="1"/>
    <xf numFmtId="0" fontId="38" fillId="0" borderId="0" xfId="47" applyFont="1" applyFill="1" applyBorder="1"/>
    <xf numFmtId="171" fontId="34" fillId="0" borderId="0" xfId="49" applyNumberFormat="1" applyFont="1" applyFill="1" applyBorder="1"/>
    <xf numFmtId="0" fontId="38" fillId="0" borderId="0" xfId="47" applyFont="1" applyFill="1" applyBorder="1" applyAlignment="1">
      <alignment wrapText="1"/>
    </xf>
    <xf numFmtId="0" fontId="38" fillId="0" borderId="26" xfId="47" applyFont="1" applyFill="1" applyBorder="1"/>
    <xf numFmtId="171" fontId="34" fillId="0" borderId="26" xfId="49" applyNumberFormat="1" applyFont="1" applyFill="1" applyBorder="1"/>
    <xf numFmtId="0" fontId="38" fillId="0" borderId="0" xfId="47" applyFont="1" applyBorder="1"/>
    <xf numFmtId="171" fontId="34" fillId="0" borderId="0" xfId="49" applyNumberFormat="1" applyFont="1" applyBorder="1"/>
    <xf numFmtId="0" fontId="39" fillId="0" borderId="0" xfId="47" applyFont="1"/>
    <xf numFmtId="0" fontId="40" fillId="0" borderId="0" xfId="47" applyFont="1" applyFill="1" applyBorder="1"/>
    <xf numFmtId="2" fontId="6" fillId="41" borderId="0" xfId="0" applyNumberFormat="1" applyFont="1" applyFill="1" applyAlignment="1">
      <alignment horizontal="center" vertical="center"/>
    </xf>
    <xf numFmtId="2" fontId="31" fillId="41" borderId="0" xfId="0" applyNumberFormat="1" applyFont="1" applyFill="1" applyAlignment="1">
      <alignment horizontal="center" vertical="center"/>
    </xf>
    <xf numFmtId="2" fontId="30" fillId="41" borderId="21" xfId="0" applyNumberFormat="1" applyFont="1" applyFill="1" applyBorder="1" applyAlignment="1">
      <alignment horizontal="center" vertical="center"/>
    </xf>
    <xf numFmtId="1" fontId="2" fillId="0" borderId="0" xfId="0" applyNumberFormat="1" applyFont="1"/>
    <xf numFmtId="168" fontId="0" fillId="0" borderId="0" xfId="2" applyNumberFormat="1" applyFont="1"/>
    <xf numFmtId="0" fontId="0" fillId="0" borderId="0" xfId="0" applyFill="1" applyBorder="1"/>
    <xf numFmtId="1" fontId="0" fillId="0" borderId="0" xfId="0" applyNumberFormat="1" applyFill="1"/>
    <xf numFmtId="1" fontId="0" fillId="0" borderId="0" xfId="0" applyNumberFormat="1" applyFill="1" applyBorder="1"/>
    <xf numFmtId="1" fontId="0" fillId="2" borderId="1" xfId="2" applyNumberFormat="1" applyFont="1" applyFill="1" applyBorder="1" applyAlignment="1"/>
    <xf numFmtId="2" fontId="0" fillId="2" borderId="1" xfId="2" applyNumberFormat="1" applyFont="1" applyFill="1" applyBorder="1" applyAlignment="1"/>
    <xf numFmtId="0" fontId="0" fillId="2" borderId="1" xfId="0" applyFill="1" applyBorder="1"/>
    <xf numFmtId="0" fontId="41" fillId="0" borderId="0" xfId="0" applyFont="1"/>
    <xf numFmtId="0" fontId="0" fillId="0" borderId="1" xfId="0" applyBorder="1" applyAlignment="1">
      <alignment vertical="center" wrapText="1"/>
    </xf>
    <xf numFmtId="0" fontId="42" fillId="0" borderId="0" xfId="47" applyFont="1"/>
    <xf numFmtId="1" fontId="42" fillId="0" borderId="0" xfId="48" applyNumberFormat="1" applyFont="1"/>
    <xf numFmtId="0" fontId="36" fillId="0" borderId="0" xfId="47"/>
    <xf numFmtId="169" fontId="2" fillId="0" borderId="0" xfId="49" applyFont="1"/>
    <xf numFmtId="169" fontId="0" fillId="0" borderId="0" xfId="49" applyFont="1"/>
    <xf numFmtId="0" fontId="36" fillId="0" borderId="0" xfId="47" applyAlignment="1">
      <alignment wrapText="1"/>
    </xf>
    <xf numFmtId="0" fontId="36" fillId="2" borderId="0" xfId="47" applyFill="1"/>
    <xf numFmtId="169" fontId="2" fillId="2" borderId="0" xfId="49" applyFont="1" applyFill="1"/>
    <xf numFmtId="169" fontId="0" fillId="2" borderId="0" xfId="49" applyFont="1" applyFill="1"/>
    <xf numFmtId="169" fontId="22" fillId="0" borderId="0" xfId="49" applyFont="1"/>
    <xf numFmtId="169" fontId="2" fillId="2" borderId="0" xfId="49" applyNumberFormat="1" applyFont="1" applyFill="1"/>
    <xf numFmtId="169" fontId="0" fillId="2" borderId="0" xfId="49" applyNumberFormat="1" applyFont="1" applyFill="1"/>
    <xf numFmtId="2" fontId="0" fillId="4" borderId="1" xfId="0" applyNumberFormat="1" applyFill="1" applyBorder="1"/>
    <xf numFmtId="172" fontId="0" fillId="2" borderId="1" xfId="0" applyNumberFormat="1" applyFill="1" applyBorder="1" applyAlignment="1"/>
    <xf numFmtId="0" fontId="2" fillId="0" borderId="0" xfId="0" applyFont="1" applyBorder="1" applyAlignment="1">
      <alignment vertical="center"/>
    </xf>
    <xf numFmtId="6" fontId="0" fillId="0" borderId="0" xfId="0" applyNumberFormat="1" applyBorder="1"/>
    <xf numFmtId="0" fontId="0" fillId="0" borderId="0" xfId="0" applyFont="1" applyBorder="1" applyAlignment="1">
      <alignment vertical="center"/>
    </xf>
    <xf numFmtId="2" fontId="0" fillId="0" borderId="0" xfId="0" applyNumberFormat="1"/>
    <xf numFmtId="1" fontId="0" fillId="48" borderId="0" xfId="0" applyNumberFormat="1" applyFill="1"/>
    <xf numFmtId="173" fontId="0" fillId="0" borderId="1" xfId="0" applyNumberFormat="1" applyBorder="1" applyAlignment="1">
      <alignment horizontal="center" vertical="center"/>
    </xf>
    <xf numFmtId="0" fontId="0" fillId="47" borderId="1" xfId="0" applyFill="1" applyBorder="1" applyAlignment="1">
      <alignment vertical="center"/>
    </xf>
    <xf numFmtId="0" fontId="2" fillId="47" borderId="1" xfId="0" applyFont="1" applyFill="1" applyBorder="1" applyAlignment="1">
      <alignment horizontal="center" vertical="center" textRotation="90"/>
    </xf>
    <xf numFmtId="1" fontId="0" fillId="0" borderId="0" xfId="0" applyNumberFormat="1" applyFon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Font="1" applyBorder="1"/>
    <xf numFmtId="0" fontId="0" fillId="2" borderId="1" xfId="0" applyFill="1" applyBorder="1" applyAlignment="1">
      <alignment horizontal="center"/>
    </xf>
    <xf numFmtId="9" fontId="0" fillId="2" borderId="15" xfId="2" applyFont="1" applyFill="1" applyBorder="1" applyAlignment="1">
      <alignment horizontal="center"/>
    </xf>
    <xf numFmtId="9" fontId="0" fillId="2" borderId="16" xfId="2" applyFont="1" applyFill="1" applyBorder="1" applyAlignment="1">
      <alignment horizontal="center"/>
    </xf>
    <xf numFmtId="0" fontId="33" fillId="43" borderId="17" xfId="0" applyFont="1" applyFill="1" applyBorder="1" applyAlignment="1">
      <alignment horizontal="center" vertical="center"/>
    </xf>
    <xf numFmtId="0" fontId="33" fillId="43" borderId="23" xfId="0" applyFont="1" applyFill="1" applyBorder="1" applyAlignment="1">
      <alignment horizontal="center" vertical="center"/>
    </xf>
    <xf numFmtId="0" fontId="33" fillId="44" borderId="25" xfId="0" applyFont="1" applyFill="1" applyBorder="1" applyAlignment="1">
      <alignment horizontal="center" vertical="center" wrapText="1"/>
    </xf>
    <xf numFmtId="0" fontId="33" fillId="44" borderId="18" xfId="0" applyFont="1" applyFill="1" applyBorder="1" applyAlignment="1">
      <alignment horizontal="center" vertical="center" wrapText="1"/>
    </xf>
    <xf numFmtId="0" fontId="33" fillId="44" borderId="23" xfId="0" applyFont="1" applyFill="1" applyBorder="1" applyAlignment="1">
      <alignment horizontal="center" vertical="center" wrapText="1"/>
    </xf>
    <xf numFmtId="0" fontId="33" fillId="45" borderId="25" xfId="0" applyFont="1" applyFill="1" applyBorder="1" applyAlignment="1">
      <alignment horizontal="center" vertical="center" wrapText="1"/>
    </xf>
    <xf numFmtId="0" fontId="33" fillId="45" borderId="18" xfId="0" applyFont="1" applyFill="1" applyBorder="1" applyAlignment="1">
      <alignment horizontal="center" vertical="center" wrapText="1"/>
    </xf>
    <xf numFmtId="0" fontId="33" fillId="45" borderId="23" xfId="0" applyFont="1" applyFill="1" applyBorder="1" applyAlignment="1">
      <alignment horizontal="center" vertical="center" wrapText="1"/>
    </xf>
    <xf numFmtId="0" fontId="33" fillId="46" borderId="25" xfId="0" applyFont="1" applyFill="1" applyBorder="1" applyAlignment="1">
      <alignment horizontal="center" vertical="center"/>
    </xf>
    <xf numFmtId="0" fontId="33" fillId="46" borderId="18" xfId="0" applyFont="1" applyFill="1" applyBorder="1" applyAlignment="1">
      <alignment horizontal="center" vertical="center"/>
    </xf>
    <xf numFmtId="0" fontId="33" fillId="46" borderId="23" xfId="0" applyFont="1" applyFill="1" applyBorder="1" applyAlignment="1">
      <alignment horizontal="center" vertical="center"/>
    </xf>
    <xf numFmtId="0" fontId="0" fillId="38" borderId="0" xfId="0" applyFill="1" applyAlignment="1">
      <alignment horizontal="center"/>
    </xf>
    <xf numFmtId="0" fontId="0" fillId="39" borderId="0" xfId="0" applyFill="1" applyAlignment="1">
      <alignment horizontal="center" vertical="center"/>
    </xf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51">
    <cellStyle name="20% - Accent1 2" xfId="21"/>
    <cellStyle name="20% - Accent2 2" xfId="25"/>
    <cellStyle name="20% - Accent3 2" xfId="29"/>
    <cellStyle name="20% - Accent4 2" xfId="33"/>
    <cellStyle name="20% - Accent5 2" xfId="37"/>
    <cellStyle name="20% - Accent6 2" xfId="41"/>
    <cellStyle name="40% - Accent1 2" xfId="22"/>
    <cellStyle name="40% - Accent2 2" xfId="26"/>
    <cellStyle name="40% - Accent3 2" xfId="30"/>
    <cellStyle name="40% - Accent4 2" xfId="34"/>
    <cellStyle name="40% - Accent5 2" xfId="38"/>
    <cellStyle name="40% - Accent6 2" xfId="42"/>
    <cellStyle name="60% - Accent1 2" xfId="23"/>
    <cellStyle name="60% - Accent2 2" xfId="27"/>
    <cellStyle name="60% - Accent3 2" xfId="31"/>
    <cellStyle name="60% - Accent4 2" xfId="35"/>
    <cellStyle name="60% - Accent5 2" xfId="39"/>
    <cellStyle name="60% - Accent6 2" xfId="43"/>
    <cellStyle name="Accent1 2" xfId="20"/>
    <cellStyle name="Accent2 2" xfId="24"/>
    <cellStyle name="Accent3 2" xfId="28"/>
    <cellStyle name="Accent4 2" xfId="32"/>
    <cellStyle name="Accent5 2" xfId="36"/>
    <cellStyle name="Accent6 2" xfId="40"/>
    <cellStyle name="Bad 2" xfId="9"/>
    <cellStyle name="Calculation 2" xfId="13"/>
    <cellStyle name="Check Cell 2" xfId="15"/>
    <cellStyle name="Comma 2" xfId="44"/>
    <cellStyle name="Comma 2 10" xfId="48"/>
    <cellStyle name="Currency" xfId="1" builtinId="4"/>
    <cellStyle name="Currency 15" xfId="46"/>
    <cellStyle name="Currency 2" xfId="45"/>
    <cellStyle name="Currency 2 10" xfId="49"/>
    <cellStyle name="Explanatory Text 2" xfId="18"/>
    <cellStyle name="Good 2" xfId="8"/>
    <cellStyle name="Heading 1 2" xfId="4"/>
    <cellStyle name="Heading 2 2" xfId="5"/>
    <cellStyle name="Heading 3 2" xfId="6"/>
    <cellStyle name="Heading 4 2" xfId="7"/>
    <cellStyle name="Input 2" xfId="11"/>
    <cellStyle name="Linked Cell 2" xfId="14"/>
    <cellStyle name="Neutral 2" xfId="10"/>
    <cellStyle name="Normal" xfId="0" builtinId="0" customBuiltin="1"/>
    <cellStyle name="Normal 10 10" xfId="47"/>
    <cellStyle name="Note 2" xfId="17"/>
    <cellStyle name="Output 2" xfId="12"/>
    <cellStyle name="Percent" xfId="2" builtinId="5"/>
    <cellStyle name="Percent 10 10" xfId="50"/>
    <cellStyle name="Title 2" xfId="3"/>
    <cellStyle name="Total 2" xfId="19"/>
    <cellStyle name="Warning Text 2" xfId="16"/>
  </cellStyles>
  <dxfs count="0"/>
  <tableStyles count="0" defaultTableStyle="TableStyleMedium2" defaultPivotStyle="PivotStyleLight16"/>
  <colors>
    <mruColors>
      <color rgb="FFA6A6A6"/>
      <color rgb="FFD99694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Summary!$B$46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Summary!$F$42:$X$42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Summary!$F$46:$AM$46</c:f>
              <c:numCache>
                <c:formatCode>0</c:formatCode>
                <c:ptCount val="34"/>
                <c:pt idx="0">
                  <c:v>1558.6668240000054</c:v>
                </c:pt>
                <c:pt idx="1">
                  <c:v>3177.1877467158538</c:v>
                </c:pt>
                <c:pt idx="2">
                  <c:v>4851.2946505045111</c:v>
                </c:pt>
                <c:pt idx="3">
                  <c:v>7206.7869541576474</c:v>
                </c:pt>
                <c:pt idx="4">
                  <c:v>9266.4278547323447</c:v>
                </c:pt>
                <c:pt idx="5">
                  <c:v>11038.458493711185</c:v>
                </c:pt>
                <c:pt idx="6">
                  <c:v>12324.238806311098</c:v>
                </c:pt>
                <c:pt idx="7">
                  <c:v>14370.038935194936</c:v>
                </c:pt>
                <c:pt idx="8">
                  <c:v>15725.144694507444</c:v>
                </c:pt>
                <c:pt idx="9">
                  <c:v>16457.705106357869</c:v>
                </c:pt>
                <c:pt idx="10">
                  <c:v>18035.195833396057</c:v>
                </c:pt>
                <c:pt idx="11">
                  <c:v>19263.497805131454</c:v>
                </c:pt>
                <c:pt idx="12">
                  <c:v>19533.964718717969</c:v>
                </c:pt>
                <c:pt idx="13">
                  <c:v>19316.539734776055</c:v>
                </c:pt>
                <c:pt idx="14">
                  <c:v>18576.537283689991</c:v>
                </c:pt>
                <c:pt idx="15">
                  <c:v>17798.676307206366</c:v>
                </c:pt>
                <c:pt idx="16">
                  <c:v>16981.019963165836</c:v>
                </c:pt>
                <c:pt idx="17">
                  <c:v>16121.532320564194</c:v>
                </c:pt>
                <c:pt idx="18">
                  <c:v>15218.073290167053</c:v>
                </c:pt>
                <c:pt idx="19">
                  <c:v>14268.393295774793</c:v>
                </c:pt>
                <c:pt idx="20">
                  <c:v>13270.127672869425</c:v>
                </c:pt>
                <c:pt idx="21">
                  <c:v>12220.790780696218</c:v>
                </c:pt>
                <c:pt idx="22">
                  <c:v>11117.76981311943</c:v>
                </c:pt>
                <c:pt idx="23">
                  <c:v>9958.3182928414135</c:v>
                </c:pt>
                <c:pt idx="24">
                  <c:v>8739.5492327859756</c:v>
                </c:pt>
                <c:pt idx="25">
                  <c:v>7458.4279476180982</c:v>
                </c:pt>
                <c:pt idx="26">
                  <c:v>6111.7644975010335</c:v>
                </c:pt>
                <c:pt idx="27">
                  <c:v>4696.20574527598</c:v>
                </c:pt>
                <c:pt idx="28">
                  <c:v>3208.2270072870924</c:v>
                </c:pt>
                <c:pt idx="29">
                  <c:v>1644.1232770626934</c:v>
                </c:pt>
                <c:pt idx="30">
                  <c:v>1.4097167877480388E-11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559808"/>
        <c:axId val="115569792"/>
      </c:areaChart>
      <c:barChart>
        <c:barDir val="col"/>
        <c:grouping val="clustered"/>
        <c:varyColors val="0"/>
        <c:ser>
          <c:idx val="2"/>
          <c:order val="1"/>
          <c:tx>
            <c:strRef>
              <c:f>Summary!$B$45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Summary!$F$42:$X$42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Summary!$F$45:$AM$45</c:f>
              <c:numCache>
                <c:formatCode>0</c:formatCode>
                <c:ptCount val="34"/>
                <c:pt idx="0">
                  <c:v>10536.702858235039</c:v>
                </c:pt>
                <c:pt idx="1">
                  <c:v>10295.901440387348</c:v>
                </c:pt>
                <c:pt idx="2">
                  <c:v>10040.543174113349</c:v>
                </c:pt>
                <c:pt idx="3">
                  <c:v>10061.127735523905</c:v>
                </c:pt>
                <c:pt idx="4">
                  <c:v>9152.6137961843142</c:v>
                </c:pt>
                <c:pt idx="5">
                  <c:v>9335.6660721080007</c:v>
                </c:pt>
                <c:pt idx="6">
                  <c:v>9522.3793935501581</c:v>
                </c:pt>
                <c:pt idx="7">
                  <c:v>9712.8269814211617</c:v>
                </c:pt>
                <c:pt idx="8">
                  <c:v>9907.0835210495861</c:v>
                </c:pt>
                <c:pt idx="9">
                  <c:v>10105.225191470578</c:v>
                </c:pt>
                <c:pt idx="10">
                  <c:v>10307.329695299988</c:v>
                </c:pt>
                <c:pt idx="11">
                  <c:v>10513.476289205988</c:v>
                </c:pt>
                <c:pt idx="12">
                  <c:v>10723.745814990109</c:v>
                </c:pt>
                <c:pt idx="13">
                  <c:v>10938.220731289912</c:v>
                </c:pt>
                <c:pt idx="14">
                  <c:v>10382.721319312956</c:v>
                </c:pt>
                <c:pt idx="15">
                  <c:v>10548.175453605289</c:v>
                </c:pt>
                <c:pt idx="16">
                  <c:v>9966.2749462989486</c:v>
                </c:pt>
                <c:pt idx="17">
                  <c:v>9484.6717558735727</c:v>
                </c:pt>
                <c:pt idx="18">
                  <c:v>7390.5578155752055</c:v>
                </c:pt>
                <c:pt idx="19">
                  <c:v>7117.0811347744111</c:v>
                </c:pt>
                <c:pt idx="20">
                  <c:v>6856.8127288860333</c:v>
                </c:pt>
                <c:pt idx="21">
                  <c:v>6609.1146695658654</c:v>
                </c:pt>
                <c:pt idx="22">
                  <c:v>6373.3798388953683</c:v>
                </c:pt>
                <c:pt idx="23">
                  <c:v>6149.0304413111962</c:v>
                </c:pt>
                <c:pt idx="24">
                  <c:v>5935.5165874050081</c:v>
                </c:pt>
                <c:pt idx="25">
                  <c:v>5732.3149461223766</c:v>
                </c:pt>
                <c:pt idx="26">
                  <c:v>5538.9274620573024</c:v>
                </c:pt>
                <c:pt idx="27">
                  <c:v>5354.8801346983619</c:v>
                </c:pt>
                <c:pt idx="28">
                  <c:v>5179.7218566343508</c:v>
                </c:pt>
                <c:pt idx="29">
                  <c:v>5013.0233078718675</c:v>
                </c:pt>
                <c:pt idx="30">
                  <c:v>4854.37590355471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559808"/>
        <c:axId val="115569792"/>
      </c:barChart>
      <c:lineChart>
        <c:grouping val="standard"/>
        <c:varyColors val="0"/>
        <c:ser>
          <c:idx val="0"/>
          <c:order val="0"/>
          <c:tx>
            <c:strRef>
              <c:f>Summary!$B$43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Summary!$F$42:$AK$42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Summary!$F$43:$X$43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Summary!$B$44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Summary!$F$42:$AK$42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Summary!$F$44:$AM$44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559808"/>
        <c:axId val="115569792"/>
      </c:lineChart>
      <c:catAx>
        <c:axId val="11555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5569792"/>
        <c:crosses val="autoZero"/>
        <c:auto val="1"/>
        <c:lblAlgn val="ctr"/>
        <c:lblOffset val="100"/>
        <c:noMultiLvlLbl val="0"/>
      </c:catAx>
      <c:valAx>
        <c:axId val="1155697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1555980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Summary!$B$51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Summary!$C$51:$AM$51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Summary!$B$52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Summary!$C$50:$AM$50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Summary!$C$52:$AM$52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Summary!$B$53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Summary!$C$50:$AM$50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Summary!$C$53:$AM$53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Summary!$B$54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Summary!$C$50:$AM$50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Summary!$C$54:$AM$54</c:f>
              <c:numCache>
                <c:formatCode>0</c:formatCode>
                <c:ptCount val="37"/>
                <c:pt idx="3">
                  <c:v>138.96283261808907</c:v>
                </c:pt>
                <c:pt idx="4">
                  <c:v>141.78540298964919</c:v>
                </c:pt>
                <c:pt idx="5">
                  <c:v>144.65610006702124</c:v>
                </c:pt>
                <c:pt idx="6">
                  <c:v>147.00102368871558</c:v>
                </c:pt>
                <c:pt idx="7">
                  <c:v>150.3744378047397</c:v>
                </c:pt>
                <c:pt idx="8">
                  <c:v>159.08888204784864</c:v>
                </c:pt>
                <c:pt idx="9">
                  <c:v>171.8441793056833</c:v>
                </c:pt>
                <c:pt idx="10">
                  <c:v>165.01581999807112</c:v>
                </c:pt>
                <c:pt idx="11">
                  <c:v>184.98510122633712</c:v>
                </c:pt>
                <c:pt idx="12">
                  <c:v>189.44981565936845</c:v>
                </c:pt>
                <c:pt idx="13">
                  <c:v>188.34264983085876</c:v>
                </c:pt>
                <c:pt idx="14">
                  <c:v>194.66041983489376</c:v>
                </c:pt>
                <c:pt idx="15">
                  <c:v>207.5359811783681</c:v>
                </c:pt>
                <c:pt idx="16">
                  <c:v>216.44852816108448</c:v>
                </c:pt>
                <c:pt idx="17">
                  <c:v>225.99068287975865</c:v>
                </c:pt>
                <c:pt idx="18">
                  <c:v>228.15367733953292</c:v>
                </c:pt>
                <c:pt idx="19">
                  <c:v>229.94850411528606</c:v>
                </c:pt>
                <c:pt idx="20">
                  <c:v>231.20532247429674</c:v>
                </c:pt>
                <c:pt idx="21">
                  <c:v>227.3659226150458</c:v>
                </c:pt>
                <c:pt idx="22">
                  <c:v>228.1155474366499</c:v>
                </c:pt>
                <c:pt idx="23">
                  <c:v>228.86904538426009</c:v>
                </c:pt>
                <c:pt idx="24">
                  <c:v>229.62642919966024</c:v>
                </c:pt>
                <c:pt idx="25">
                  <c:v>230.38771169061258</c:v>
                </c:pt>
                <c:pt idx="26">
                  <c:v>231.15290573107433</c:v>
                </c:pt>
                <c:pt idx="27">
                  <c:v>231.92202426141526</c:v>
                </c:pt>
                <c:pt idx="28">
                  <c:v>232.69508028863666</c:v>
                </c:pt>
                <c:pt idx="29">
                  <c:v>233.47208688659128</c:v>
                </c:pt>
                <c:pt idx="30">
                  <c:v>234.25305719620437</c:v>
                </c:pt>
                <c:pt idx="31">
                  <c:v>235.03800442569587</c:v>
                </c:pt>
                <c:pt idx="32">
                  <c:v>235.82694185080396</c:v>
                </c:pt>
                <c:pt idx="33">
                  <c:v>236.61988281500933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588480"/>
        <c:axId val="115590272"/>
      </c:lineChart>
      <c:catAx>
        <c:axId val="11558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5590272"/>
        <c:crosses val="autoZero"/>
        <c:auto val="1"/>
        <c:lblAlgn val="ctr"/>
        <c:lblOffset val="100"/>
        <c:noMultiLvlLbl val="0"/>
      </c:catAx>
      <c:valAx>
        <c:axId val="115590272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2.8755384565613929E-2"/>
              <c:y val="6.67337248326258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1558848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'1d'!$B$46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'1d'!$F$42:$X$42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'1d'!$F$46:$AM$46</c:f>
              <c:numCache>
                <c:formatCode>0</c:formatCode>
                <c:ptCount val="34"/>
                <c:pt idx="0">
                  <c:v>2238.9780746666675</c:v>
                </c:pt>
                <c:pt idx="1">
                  <c:v>4585.8731689666156</c:v>
                </c:pt>
                <c:pt idx="2">
                  <c:v>7034.7560562909475</c:v>
                </c:pt>
                <c:pt idx="3">
                  <c:v>10218.650208130792</c:v>
                </c:pt>
                <c:pt idx="4">
                  <c:v>13052.801403445432</c:v>
                </c:pt>
                <c:pt idx="5">
                  <c:v>15651.374751256444</c:v>
                </c:pt>
                <c:pt idx="6">
                  <c:v>17818.640334433981</c:v>
                </c:pt>
                <c:pt idx="7">
                  <c:v>20803.932289835029</c:v>
                </c:pt>
                <c:pt idx="8">
                  <c:v>23159.762242396137</c:v>
                </c:pt>
                <c:pt idx="9">
                  <c:v>24957.675221406265</c:v>
                </c:pt>
                <c:pt idx="10">
                  <c:v>27668.721903608239</c:v>
                </c:pt>
                <c:pt idx="11">
                  <c:v>30102.546502855155</c:v>
                </c:pt>
                <c:pt idx="12">
                  <c:v>31654.464010251875</c:v>
                </c:pt>
                <c:pt idx="13">
                  <c:v>32798.587129748194</c:v>
                </c:pt>
                <c:pt idx="14">
                  <c:v>32730.355023663171</c:v>
                </c:pt>
                <c:pt idx="15">
                  <c:v>32616.072446942395</c:v>
                </c:pt>
                <c:pt idx="16">
                  <c:v>31701.868538901857</c:v>
                </c:pt>
                <c:pt idx="17">
                  <c:v>30097.290938989063</c:v>
                </c:pt>
                <c:pt idx="18">
                  <c:v>28410.623149064726</c:v>
                </c:pt>
                <c:pt idx="19">
                  <c:v>26637.665435007861</c:v>
                </c:pt>
                <c:pt idx="20">
                  <c:v>24774.003204299846</c:v>
                </c:pt>
                <c:pt idx="21">
                  <c:v>22814.996013868811</c:v>
                </c:pt>
                <c:pt idx="22">
                  <c:v>20755.766015575322</c:v>
                </c:pt>
                <c:pt idx="23">
                  <c:v>18591.185810569139</c:v>
                </c:pt>
                <c:pt idx="24">
                  <c:v>16315.865682274838</c:v>
                </c:pt>
                <c:pt idx="25">
                  <c:v>13924.140176217003</c:v>
                </c:pt>
                <c:pt idx="26">
                  <c:v>11410.053993269246</c:v>
                </c:pt>
                <c:pt idx="27">
                  <c:v>8767.3471612018802</c:v>
                </c:pt>
                <c:pt idx="28">
                  <c:v>5989.4394476059488</c:v>
                </c:pt>
                <c:pt idx="29">
                  <c:v>3069.4139753824502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168384"/>
        <c:axId val="115169920"/>
      </c:areaChart>
      <c:barChart>
        <c:barDir val="col"/>
        <c:grouping val="clustered"/>
        <c:varyColors val="0"/>
        <c:ser>
          <c:idx val="2"/>
          <c:order val="1"/>
          <c:tx>
            <c:strRef>
              <c:f>'1d'!$B$45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'1d'!$F$42:$X$42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'1d'!$F$45:$AM$45</c:f>
              <c:numCache>
                <c:formatCode>0</c:formatCode>
                <c:ptCount val="34"/>
                <c:pt idx="0">
                  <c:v>9856.3916075683774</c:v>
                </c:pt>
                <c:pt idx="1">
                  <c:v>9602.3319923873551</c:v>
                </c:pt>
                <c:pt idx="2">
                  <c:v>9337.8355367800232</c:v>
                </c:pt>
                <c:pt idx="3">
                  <c:v>9344.4317728572314</c:v>
                </c:pt>
                <c:pt idx="4">
                  <c:v>8532.1904255176378</c:v>
                </c:pt>
                <c:pt idx="5">
                  <c:v>8702.8342340279905</c:v>
                </c:pt>
                <c:pt idx="6">
                  <c:v>8876.8909187085483</c:v>
                </c:pt>
                <c:pt idx="7">
                  <c:v>9054.4287370827205</c:v>
                </c:pt>
                <c:pt idx="8">
                  <c:v>9235.5173118243747</c:v>
                </c:pt>
                <c:pt idx="9">
                  <c:v>9420.2276580608632</c:v>
                </c:pt>
                <c:pt idx="10">
                  <c:v>9608.6322112220787</c:v>
                </c:pt>
                <c:pt idx="11">
                  <c:v>9800.8048554465222</c:v>
                </c:pt>
                <c:pt idx="12">
                  <c:v>9996.8209525554503</c:v>
                </c:pt>
                <c:pt idx="13">
                  <c:v>10196.757371606562</c:v>
                </c:pt>
                <c:pt idx="14">
                  <c:v>10400.69251903869</c:v>
                </c:pt>
                <c:pt idx="15">
                  <c:v>10608.706369419466</c:v>
                </c:pt>
                <c:pt idx="16">
                  <c:v>10820.880496807855</c:v>
                </c:pt>
                <c:pt idx="17">
                  <c:v>10982.880326319384</c:v>
                </c:pt>
                <c:pt idx="18">
                  <c:v>8888.7663860210178</c:v>
                </c:pt>
                <c:pt idx="19">
                  <c:v>8615.2897052202243</c:v>
                </c:pt>
                <c:pt idx="20">
                  <c:v>8355.0212993318455</c:v>
                </c:pt>
                <c:pt idx="21">
                  <c:v>8107.3232400116776</c:v>
                </c:pt>
                <c:pt idx="22">
                  <c:v>7871.5884093411805</c:v>
                </c:pt>
                <c:pt idx="23">
                  <c:v>7647.2390117570085</c:v>
                </c:pt>
                <c:pt idx="24">
                  <c:v>7433.7251578508203</c:v>
                </c:pt>
                <c:pt idx="25">
                  <c:v>7230.5235165681888</c:v>
                </c:pt>
                <c:pt idx="26">
                  <c:v>7037.1360325031146</c:v>
                </c:pt>
                <c:pt idx="27">
                  <c:v>6853.088705144175</c:v>
                </c:pt>
                <c:pt idx="28">
                  <c:v>6677.930427080164</c:v>
                </c:pt>
                <c:pt idx="29">
                  <c:v>6511.2318783176797</c:v>
                </c:pt>
                <c:pt idx="30">
                  <c:v>6352.5844740005232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168384"/>
        <c:axId val="115169920"/>
      </c:barChart>
      <c:lineChart>
        <c:grouping val="standard"/>
        <c:varyColors val="0"/>
        <c:ser>
          <c:idx val="0"/>
          <c:order val="0"/>
          <c:tx>
            <c:strRef>
              <c:f>'1d'!$B$43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'1d'!$F$42:$AK$42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'1d'!$F$43:$X$43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'1d'!$B$44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'1d'!$F$42:$AK$42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'1d'!$F$44:$AM$44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168384"/>
        <c:axId val="115169920"/>
      </c:lineChart>
      <c:catAx>
        <c:axId val="11516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5169920"/>
        <c:crosses val="autoZero"/>
        <c:auto val="1"/>
        <c:lblAlgn val="ctr"/>
        <c:lblOffset val="100"/>
        <c:noMultiLvlLbl val="0"/>
      </c:catAx>
      <c:valAx>
        <c:axId val="1151699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1516838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'1d'!$B$51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'1d'!$C$51:$AM$51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'1d'!$B$52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'1d'!$C$50:$AM$50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'1d'!$C$52:$AM$52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'1d'!$B$53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'1d'!$C$50:$AM$50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'1d'!$C$53:$AM$53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'1d'!$B$54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'1d'!$C$50:$AM$50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'1d'!$C$54:$AM$54</c:f>
              <c:numCache>
                <c:formatCode>0</c:formatCode>
                <c:ptCount val="37"/>
                <c:pt idx="3">
                  <c:v>129.68553261808913</c:v>
                </c:pt>
                <c:pt idx="4">
                  <c:v>132.32730298964927</c:v>
                </c:pt>
                <c:pt idx="5">
                  <c:v>135.00590006702134</c:v>
                </c:pt>
                <c:pt idx="6">
                  <c:v>137.1587236887155</c:v>
                </c:pt>
                <c:pt idx="7">
                  <c:v>141.85423780473957</c:v>
                </c:pt>
                <c:pt idx="8">
                  <c:v>150.39827804784849</c:v>
                </c:pt>
                <c:pt idx="9">
                  <c:v>162.97976322568317</c:v>
                </c:pt>
                <c:pt idx="10">
                  <c:v>155.97411559647099</c:v>
                </c:pt>
                <c:pt idx="11">
                  <c:v>175.76256273670498</c:v>
                </c:pt>
                <c:pt idx="12">
                  <c:v>179.97611016406125</c:v>
                </c:pt>
                <c:pt idx="13">
                  <c:v>178.74752078624547</c:v>
                </c:pt>
                <c:pt idx="14">
                  <c:v>184.87338820938825</c:v>
                </c:pt>
                <c:pt idx="15">
                  <c:v>197.55320892035243</c:v>
                </c:pt>
                <c:pt idx="16">
                  <c:v>206.3373062460426</c:v>
                </c:pt>
                <c:pt idx="17">
                  <c:v>226.23575336926208</c:v>
                </c:pt>
                <c:pt idx="18">
                  <c:v>228.97339584110068</c:v>
                </c:pt>
                <c:pt idx="19">
                  <c:v>241.44188215702556</c:v>
                </c:pt>
                <c:pt idx="20">
                  <c:v>251.21635077701603</c:v>
                </c:pt>
                <c:pt idx="21">
                  <c:v>247.10653161637703</c:v>
                </c:pt>
                <c:pt idx="22">
                  <c:v>247.77432709814332</c:v>
                </c:pt>
                <c:pt idx="23">
                  <c:v>248.44633490724718</c:v>
                </c:pt>
                <c:pt idx="24">
                  <c:v>249.12256637940544</c:v>
                </c:pt>
                <c:pt idx="25">
                  <c:v>249.80303292214165</c:v>
                </c:pt>
                <c:pt idx="26">
                  <c:v>250.48774601497871</c:v>
                </c:pt>
                <c:pt idx="27">
                  <c:v>251.17671720963233</c:v>
                </c:pt>
                <c:pt idx="28">
                  <c:v>251.86995813020599</c:v>
                </c:pt>
                <c:pt idx="29">
                  <c:v>252.56748047338709</c:v>
                </c:pt>
                <c:pt idx="30">
                  <c:v>253.26929600864412</c:v>
                </c:pt>
                <c:pt idx="31">
                  <c:v>253.97541657842541</c:v>
                </c:pt>
                <c:pt idx="32">
                  <c:v>254.68585409835882</c:v>
                </c:pt>
                <c:pt idx="33">
                  <c:v>255.40062055745278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881088"/>
        <c:axId val="115882624"/>
      </c:lineChart>
      <c:catAx>
        <c:axId val="11588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5882624"/>
        <c:crosses val="autoZero"/>
        <c:auto val="1"/>
        <c:lblAlgn val="ctr"/>
        <c:lblOffset val="100"/>
        <c:noMultiLvlLbl val="0"/>
      </c:catAx>
      <c:valAx>
        <c:axId val="115882624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2.8755384565613929E-2"/>
              <c:y val="6.67337248326258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158810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'1e'!$B$46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'1e'!$F$42:$X$42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'1e'!$F$46:$AM$46</c:f>
              <c:numCache>
                <c:formatCode>0</c:formatCode>
                <c:ptCount val="34"/>
                <c:pt idx="0">
                  <c:v>1558.6668240000054</c:v>
                </c:pt>
                <c:pt idx="1">
                  <c:v>3177.1877467158538</c:v>
                </c:pt>
                <c:pt idx="2">
                  <c:v>4851.2946505045111</c:v>
                </c:pt>
                <c:pt idx="3">
                  <c:v>7206.7869541576474</c:v>
                </c:pt>
                <c:pt idx="4">
                  <c:v>9266.4278547323447</c:v>
                </c:pt>
                <c:pt idx="5">
                  <c:v>11038.458493711185</c:v>
                </c:pt>
                <c:pt idx="6">
                  <c:v>12324.238806311098</c:v>
                </c:pt>
                <c:pt idx="7">
                  <c:v>14370.038935194936</c:v>
                </c:pt>
                <c:pt idx="8">
                  <c:v>15725.144694507444</c:v>
                </c:pt>
                <c:pt idx="9">
                  <c:v>16457.705106357869</c:v>
                </c:pt>
                <c:pt idx="10">
                  <c:v>18035.195833396057</c:v>
                </c:pt>
                <c:pt idx="11">
                  <c:v>19263.497805131454</c:v>
                </c:pt>
                <c:pt idx="12">
                  <c:v>19533.964718717969</c:v>
                </c:pt>
                <c:pt idx="13">
                  <c:v>19316.539734776055</c:v>
                </c:pt>
                <c:pt idx="14">
                  <c:v>18576.537283689991</c:v>
                </c:pt>
                <c:pt idx="15">
                  <c:v>17798.676307206366</c:v>
                </c:pt>
                <c:pt idx="16">
                  <c:v>16981.019963165836</c:v>
                </c:pt>
                <c:pt idx="17">
                  <c:v>16121.532320564194</c:v>
                </c:pt>
                <c:pt idx="18">
                  <c:v>15218.073290167053</c:v>
                </c:pt>
                <c:pt idx="19">
                  <c:v>14268.393295774793</c:v>
                </c:pt>
                <c:pt idx="20">
                  <c:v>13270.127672869425</c:v>
                </c:pt>
                <c:pt idx="21">
                  <c:v>12220.790780696218</c:v>
                </c:pt>
                <c:pt idx="22">
                  <c:v>11117.76981311943</c:v>
                </c:pt>
                <c:pt idx="23">
                  <c:v>9958.3182928414135</c:v>
                </c:pt>
                <c:pt idx="24">
                  <c:v>8739.5492327859756</c:v>
                </c:pt>
                <c:pt idx="25">
                  <c:v>7458.4279476180982</c:v>
                </c:pt>
                <c:pt idx="26">
                  <c:v>6111.7644975010335</c:v>
                </c:pt>
                <c:pt idx="27">
                  <c:v>4696.20574527598</c:v>
                </c:pt>
                <c:pt idx="28">
                  <c:v>3208.2270072870924</c:v>
                </c:pt>
                <c:pt idx="29">
                  <c:v>1644.1232770626934</c:v>
                </c:pt>
                <c:pt idx="30">
                  <c:v>1.4097167877480388E-11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753920"/>
        <c:axId val="120340864"/>
      </c:areaChart>
      <c:barChart>
        <c:barDir val="col"/>
        <c:grouping val="clustered"/>
        <c:varyColors val="0"/>
        <c:ser>
          <c:idx val="2"/>
          <c:order val="1"/>
          <c:tx>
            <c:strRef>
              <c:f>'1e'!$B$45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'1e'!$F$42:$X$42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'1e'!$F$45:$AM$45</c:f>
              <c:numCache>
                <c:formatCode>0</c:formatCode>
                <c:ptCount val="34"/>
                <c:pt idx="0">
                  <c:v>10536.702858235039</c:v>
                </c:pt>
                <c:pt idx="1">
                  <c:v>10295.901440387348</c:v>
                </c:pt>
                <c:pt idx="2">
                  <c:v>10040.543174113349</c:v>
                </c:pt>
                <c:pt idx="3">
                  <c:v>10061.127735523905</c:v>
                </c:pt>
                <c:pt idx="4">
                  <c:v>9152.6137961843142</c:v>
                </c:pt>
                <c:pt idx="5">
                  <c:v>9335.6660721080007</c:v>
                </c:pt>
                <c:pt idx="6">
                  <c:v>9522.3793935501581</c:v>
                </c:pt>
                <c:pt idx="7">
                  <c:v>9712.8269814211617</c:v>
                </c:pt>
                <c:pt idx="8">
                  <c:v>9907.0835210495861</c:v>
                </c:pt>
                <c:pt idx="9">
                  <c:v>10105.225191470578</c:v>
                </c:pt>
                <c:pt idx="10">
                  <c:v>10307.329695299988</c:v>
                </c:pt>
                <c:pt idx="11">
                  <c:v>10513.476289205988</c:v>
                </c:pt>
                <c:pt idx="12">
                  <c:v>10723.745814990109</c:v>
                </c:pt>
                <c:pt idx="13">
                  <c:v>10938.220731289912</c:v>
                </c:pt>
                <c:pt idx="14">
                  <c:v>10382.721319312956</c:v>
                </c:pt>
                <c:pt idx="15">
                  <c:v>10548.175453605289</c:v>
                </c:pt>
                <c:pt idx="16">
                  <c:v>9966.2749462989486</c:v>
                </c:pt>
                <c:pt idx="17">
                  <c:v>9484.6717558735727</c:v>
                </c:pt>
                <c:pt idx="18">
                  <c:v>7390.5578155752055</c:v>
                </c:pt>
                <c:pt idx="19">
                  <c:v>7117.0811347744111</c:v>
                </c:pt>
                <c:pt idx="20">
                  <c:v>6856.8127288860333</c:v>
                </c:pt>
                <c:pt idx="21">
                  <c:v>6609.1146695658654</c:v>
                </c:pt>
                <c:pt idx="22">
                  <c:v>6373.3798388953683</c:v>
                </c:pt>
                <c:pt idx="23">
                  <c:v>6149.0304413111962</c:v>
                </c:pt>
                <c:pt idx="24">
                  <c:v>5935.5165874050081</c:v>
                </c:pt>
                <c:pt idx="25">
                  <c:v>5732.3149461223766</c:v>
                </c:pt>
                <c:pt idx="26">
                  <c:v>5538.9274620573024</c:v>
                </c:pt>
                <c:pt idx="27">
                  <c:v>5354.8801346983619</c:v>
                </c:pt>
                <c:pt idx="28">
                  <c:v>5179.7218566343508</c:v>
                </c:pt>
                <c:pt idx="29">
                  <c:v>5013.0233078718675</c:v>
                </c:pt>
                <c:pt idx="30">
                  <c:v>4854.37590355471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753920"/>
        <c:axId val="120340864"/>
      </c:barChart>
      <c:lineChart>
        <c:grouping val="standard"/>
        <c:varyColors val="0"/>
        <c:ser>
          <c:idx val="0"/>
          <c:order val="0"/>
          <c:tx>
            <c:strRef>
              <c:f>'1e'!$B$43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'1e'!$F$42:$AK$42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'1e'!$F$43:$X$43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'1e'!$B$44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'1e'!$F$42:$AK$42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'1e'!$F$44:$AM$44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53920"/>
        <c:axId val="120340864"/>
      </c:lineChart>
      <c:catAx>
        <c:axId val="11875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0340864"/>
        <c:crosses val="autoZero"/>
        <c:auto val="1"/>
        <c:lblAlgn val="ctr"/>
        <c:lblOffset val="100"/>
        <c:noMultiLvlLbl val="0"/>
      </c:catAx>
      <c:valAx>
        <c:axId val="1203408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1875392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'1e'!$B$51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'1e'!$C$51:$AM$51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'1e'!$B$52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'1e'!$C$50:$AM$50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'1e'!$C$52:$AM$52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'1e'!$B$53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'1e'!$C$50:$AM$50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'1e'!$C$53:$AM$53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'1e'!$B$54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'1e'!$C$50:$AM$50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'1e'!$C$54:$AM$54</c:f>
              <c:numCache>
                <c:formatCode>0</c:formatCode>
                <c:ptCount val="37"/>
                <c:pt idx="3">
                  <c:v>138.96283261808907</c:v>
                </c:pt>
                <c:pt idx="4">
                  <c:v>141.78540298964919</c:v>
                </c:pt>
                <c:pt idx="5">
                  <c:v>144.65610006702124</c:v>
                </c:pt>
                <c:pt idx="6">
                  <c:v>147.00102368871558</c:v>
                </c:pt>
                <c:pt idx="7">
                  <c:v>150.3744378047397</c:v>
                </c:pt>
                <c:pt idx="8">
                  <c:v>159.08888204784864</c:v>
                </c:pt>
                <c:pt idx="9">
                  <c:v>171.8441793056833</c:v>
                </c:pt>
                <c:pt idx="10">
                  <c:v>165.01581999807112</c:v>
                </c:pt>
                <c:pt idx="11">
                  <c:v>184.98510122633712</c:v>
                </c:pt>
                <c:pt idx="12">
                  <c:v>189.44981565936845</c:v>
                </c:pt>
                <c:pt idx="13">
                  <c:v>188.34264983085876</c:v>
                </c:pt>
                <c:pt idx="14">
                  <c:v>194.66041983489376</c:v>
                </c:pt>
                <c:pt idx="15">
                  <c:v>207.5359811783681</c:v>
                </c:pt>
                <c:pt idx="16">
                  <c:v>216.44852816108448</c:v>
                </c:pt>
                <c:pt idx="17">
                  <c:v>225.99068287975865</c:v>
                </c:pt>
                <c:pt idx="18">
                  <c:v>228.15367733953292</c:v>
                </c:pt>
                <c:pt idx="19">
                  <c:v>229.94850411528606</c:v>
                </c:pt>
                <c:pt idx="20">
                  <c:v>231.20532247429674</c:v>
                </c:pt>
                <c:pt idx="21">
                  <c:v>227.3659226150458</c:v>
                </c:pt>
                <c:pt idx="22">
                  <c:v>228.1155474366499</c:v>
                </c:pt>
                <c:pt idx="23">
                  <c:v>228.86904538426009</c:v>
                </c:pt>
                <c:pt idx="24">
                  <c:v>229.62642919966024</c:v>
                </c:pt>
                <c:pt idx="25">
                  <c:v>230.38771169061258</c:v>
                </c:pt>
                <c:pt idx="26">
                  <c:v>231.15290573107433</c:v>
                </c:pt>
                <c:pt idx="27">
                  <c:v>231.92202426141526</c:v>
                </c:pt>
                <c:pt idx="28">
                  <c:v>232.69508028863666</c:v>
                </c:pt>
                <c:pt idx="29">
                  <c:v>233.47208688659128</c:v>
                </c:pt>
                <c:pt idx="30">
                  <c:v>234.25305719620437</c:v>
                </c:pt>
                <c:pt idx="31">
                  <c:v>235.03800442569587</c:v>
                </c:pt>
                <c:pt idx="32">
                  <c:v>235.82694185080396</c:v>
                </c:pt>
                <c:pt idx="33">
                  <c:v>236.61988281500933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371264"/>
        <c:axId val="121381248"/>
      </c:lineChart>
      <c:catAx>
        <c:axId val="12137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381248"/>
        <c:crosses val="autoZero"/>
        <c:auto val="1"/>
        <c:lblAlgn val="ctr"/>
        <c:lblOffset val="100"/>
        <c:noMultiLvlLbl val="0"/>
      </c:catAx>
      <c:valAx>
        <c:axId val="121381248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2.8755384565613929E-2"/>
              <c:y val="6.67337248326258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213712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3"/>
          <c:order val="2"/>
          <c:tx>
            <c:strRef>
              <c:f>'Indicative graph'!$B$40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3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'Indicative graph'!$C$36:$U$36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graph'!$C$40:$U$40</c:f>
              <c:numCache>
                <c:formatCode>0</c:formatCode>
                <c:ptCount val="19"/>
                <c:pt idx="0">
                  <c:v>2195.3696822350448</c:v>
                </c:pt>
                <c:pt idx="1">
                  <c:v>4107.6802252012048</c:v>
                </c:pt>
                <c:pt idx="2">
                  <c:v>5688.4397959973248</c:v>
                </c:pt>
                <c:pt idx="3">
                  <c:v>7805.9835845343423</c:v>
                </c:pt>
                <c:pt idx="4">
                  <c:v>8557.939363481395</c:v>
                </c:pt>
                <c:pt idx="5">
                  <c:v>8945.8008229186398</c:v>
                </c:pt>
                <c:pt idx="6">
                  <c:v>8724.6539988211116</c:v>
                </c:pt>
                <c:pt idx="7">
                  <c:v>9132.0848446897362</c:v>
                </c:pt>
                <c:pt idx="8">
                  <c:v>8752.5485710220746</c:v>
                </c:pt>
                <c:pt idx="9">
                  <c:v>7641.8151900078446</c:v>
                </c:pt>
                <c:pt idx="10">
                  <c:v>7160.3412102737675</c:v>
                </c:pt>
                <c:pt idx="11">
                  <c:v>6187.7016861897109</c:v>
                </c:pt>
                <c:pt idx="12">
                  <c:v>4045.8957160982472</c:v>
                </c:pt>
                <c:pt idx="13">
                  <c:v>1212.9162355966419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597952"/>
        <c:axId val="121599488"/>
      </c:areaChart>
      <c:barChart>
        <c:barDir val="col"/>
        <c:grouping val="clustered"/>
        <c:varyColors val="0"/>
        <c:ser>
          <c:idx val="1"/>
          <c:order val="1"/>
          <c:tx>
            <c:strRef>
              <c:f>'Indicative graph'!$B$38</c:f>
              <c:strCache>
                <c:ptCount val="1"/>
                <c:pt idx="0">
                  <c:v>Amount Paid by Ratepayer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'Indicative graph'!$C$36:$U$36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graph'!$C$38:$U$38</c:f>
              <c:numCache>
                <c:formatCode>0</c:formatCode>
                <c:ptCount val="19"/>
                <c:pt idx="0">
                  <c:v>9900</c:v>
                </c:pt>
                <c:pt idx="1">
                  <c:v>10098</c:v>
                </c:pt>
                <c:pt idx="2">
                  <c:v>10299.959999999999</c:v>
                </c:pt>
                <c:pt idx="3">
                  <c:v>10505.959199999999</c:v>
                </c:pt>
                <c:pt idx="4">
                  <c:v>10716.078384</c:v>
                </c:pt>
                <c:pt idx="5">
                  <c:v>10930.399951680001</c:v>
                </c:pt>
                <c:pt idx="6">
                  <c:v>11149.007950713598</c:v>
                </c:pt>
                <c:pt idx="7">
                  <c:v>11371.988109727872</c:v>
                </c:pt>
                <c:pt idx="8">
                  <c:v>11599.427871922429</c:v>
                </c:pt>
                <c:pt idx="9">
                  <c:v>11831.416429360877</c:v>
                </c:pt>
                <c:pt idx="10">
                  <c:v>12068.044757948093</c:v>
                </c:pt>
                <c:pt idx="11">
                  <c:v>12309.405653107056</c:v>
                </c:pt>
                <c:pt idx="12">
                  <c:v>12555.593766169197</c:v>
                </c:pt>
                <c:pt idx="13">
                  <c:v>12806.705641492583</c:v>
                </c:pt>
                <c:pt idx="14">
                  <c:v>13062.839754322431</c:v>
                </c:pt>
                <c:pt idx="15">
                  <c:v>8757.5658377633827</c:v>
                </c:pt>
                <c:pt idx="16">
                  <c:v>8146.9598419964004</c:v>
                </c:pt>
                <c:pt idx="17">
                  <c:v>7669.8510360503606</c:v>
                </c:pt>
                <c:pt idx="18">
                  <c:v>5552.6253971661972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597952"/>
        <c:axId val="121599488"/>
      </c:barChart>
      <c:lineChart>
        <c:grouping val="standard"/>
        <c:varyColors val="0"/>
        <c:ser>
          <c:idx val="0"/>
          <c:order val="0"/>
          <c:tx>
            <c:strRef>
              <c:f>'Indicative graph'!$B$37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'Indicative graph'!$C$36:$U$36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graph'!$C$37:$U$37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10212.197060782577</c:v>
                </c:pt>
                <c:pt idx="7">
                  <c:v>11081.446635690807</c:v>
                </c:pt>
                <c:pt idx="8">
                  <c:v>10489.324810679589</c:v>
                </c:pt>
                <c:pt idx="9">
                  <c:v>10020.47916266488</c:v>
                </c:pt>
                <c:pt idx="10">
                  <c:v>10975.225563013388</c:v>
                </c:pt>
                <c:pt idx="11">
                  <c:v>10763.938832201098</c:v>
                </c:pt>
                <c:pt idx="12">
                  <c:v>9918.7716611825563</c:v>
                </c:pt>
                <c:pt idx="13">
                  <c:v>9650.054503703117</c:v>
                </c:pt>
                <c:pt idx="14">
                  <c:v>8586.9634337325642</c:v>
                </c:pt>
                <c:pt idx="15">
                  <c:v>8757.5658377633827</c:v>
                </c:pt>
                <c:pt idx="16">
                  <c:v>8146.9598419964004</c:v>
                </c:pt>
                <c:pt idx="17">
                  <c:v>7669.8510360503606</c:v>
                </c:pt>
                <c:pt idx="18">
                  <c:v>5552.6253971661972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597952"/>
        <c:axId val="121599488"/>
      </c:lineChart>
      <c:catAx>
        <c:axId val="12159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599488"/>
        <c:crosses val="autoZero"/>
        <c:auto val="1"/>
        <c:lblAlgn val="ctr"/>
        <c:lblOffset val="100"/>
        <c:noMultiLvlLbl val="0"/>
      </c:catAx>
      <c:valAx>
        <c:axId val="12159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Nominal $ million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215979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Residential Bill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'Indicative graph'!$B$46</c:f>
              <c:strCache>
                <c:ptCount val="1"/>
                <c:pt idx="0">
                  <c:v>IESO Forecast (Case 2)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'Indicative graph'!$C$45:$U$45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graph'!$C$46:$U$46</c:f>
              <c:numCache>
                <c:formatCode>_-"$"* #,##0_-;\-"$"* #,##0_-;_-"$"* "-"??_-;_-@_-</c:formatCode>
                <c:ptCount val="19"/>
                <c:pt idx="0">
                  <c:v>160.21813261808913</c:v>
                </c:pt>
                <c:pt idx="1">
                  <c:v>162.76950298964928</c:v>
                </c:pt>
                <c:pt idx="2">
                  <c:v>165.41420006702134</c:v>
                </c:pt>
                <c:pt idx="3">
                  <c:v>175.93913634995977</c:v>
                </c:pt>
                <c:pt idx="4">
                  <c:v>173.59521544491813</c:v>
                </c:pt>
                <c:pt idx="5">
                  <c:v>176.91285983413323</c:v>
                </c:pt>
                <c:pt idx="6">
                  <c:v>181.62400566574021</c:v>
                </c:pt>
                <c:pt idx="7">
                  <c:v>184.27346390503419</c:v>
                </c:pt>
                <c:pt idx="8">
                  <c:v>193.40059926022687</c:v>
                </c:pt>
                <c:pt idx="9">
                  <c:v>188.34673981076375</c:v>
                </c:pt>
                <c:pt idx="10">
                  <c:v>198.30087601824903</c:v>
                </c:pt>
                <c:pt idx="11">
                  <c:v>198.7304092484664</c:v>
                </c:pt>
                <c:pt idx="12">
                  <c:v>197.50537476437415</c:v>
                </c:pt>
                <c:pt idx="13">
                  <c:v>199.74140225073614</c:v>
                </c:pt>
                <c:pt idx="14">
                  <c:v>202.23608967519249</c:v>
                </c:pt>
                <c:pt idx="15">
                  <c:v>204.56887182590933</c:v>
                </c:pt>
                <c:pt idx="16">
                  <c:v>206.53005862045072</c:v>
                </c:pt>
                <c:pt idx="17">
                  <c:v>207.93290009161953</c:v>
                </c:pt>
                <c:pt idx="18">
                  <c:v>204.40973222330072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'Indicative graph'!$B$47</c:f>
              <c:strCache>
                <c:ptCount val="1"/>
                <c:pt idx="0">
                  <c:v>With impact of refinanced GA - Scenario 1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'Indicative graph'!$C$45:$U$45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graph'!$C$47:$U$47</c:f>
              <c:numCache>
                <c:formatCode>_-"$"* #,##0_-;\-"$"* #,##0_-;_-"$"* "-"??_-;_-@_-</c:formatCode>
                <c:ptCount val="19"/>
                <c:pt idx="0">
                  <c:v>147.86145523215077</c:v>
                </c:pt>
                <c:pt idx="1">
                  <c:v>152.99456320510507</c:v>
                </c:pt>
                <c:pt idx="2">
                  <c:v>158.31684691660212</c:v>
                </c:pt>
                <c:pt idx="3">
                  <c:v>166.51600616097167</c:v>
                </c:pt>
                <c:pt idx="4">
                  <c:v>172.87265549265393</c:v>
                </c:pt>
                <c:pt idx="5">
                  <c:v>178.59501918799134</c:v>
                </c:pt>
                <c:pt idx="6">
                  <c:v>186.93399525140214</c:v>
                </c:pt>
                <c:pt idx="7">
                  <c:v>185.92029809315221</c:v>
                </c:pt>
                <c:pt idx="8">
                  <c:v>199.69283578049718</c:v>
                </c:pt>
                <c:pt idx="9">
                  <c:v>198.68421253191372</c:v>
                </c:pt>
                <c:pt idx="10">
                  <c:v>204.49514490056529</c:v>
                </c:pt>
                <c:pt idx="11">
                  <c:v>207.49035515878873</c:v>
                </c:pt>
                <c:pt idx="12">
                  <c:v>212.45129188298617</c:v>
                </c:pt>
                <c:pt idx="13">
                  <c:v>217.50866944279693</c:v>
                </c:pt>
                <c:pt idx="14">
                  <c:v>227.42863932203977</c:v>
                </c:pt>
                <c:pt idx="15">
                  <c:v>204.56887182590933</c:v>
                </c:pt>
                <c:pt idx="16">
                  <c:v>206.53005862045072</c:v>
                </c:pt>
                <c:pt idx="17">
                  <c:v>207.93290009161953</c:v>
                </c:pt>
                <c:pt idx="18">
                  <c:v>204.40973222330072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'Indicative graph'!$B$48</c:f>
              <c:strCache>
                <c:ptCount val="1"/>
                <c:pt idx="0">
                  <c:v>With impact of refinanced GA - Scenario 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'Indicative graph'!$C$45:$U$45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graph'!$C$48:$U$48</c:f>
              <c:numCache>
                <c:formatCode>_-"$"* #,##0_-;\-"$"* #,##0_-;_-"$"* "-"??_-;_-@_-</c:formatCode>
                <c:ptCount val="19"/>
                <c:pt idx="0">
                  <c:v>147.86145523215077</c:v>
                </c:pt>
                <c:pt idx="1">
                  <c:v>152.99456320510507</c:v>
                </c:pt>
                <c:pt idx="2">
                  <c:v>158.31684691660212</c:v>
                </c:pt>
                <c:pt idx="3">
                  <c:v>166.51600616097167</c:v>
                </c:pt>
                <c:pt idx="4">
                  <c:v>172.87265549265393</c:v>
                </c:pt>
                <c:pt idx="5">
                  <c:v>178.59501918799134</c:v>
                </c:pt>
                <c:pt idx="6">
                  <c:v>186.93399525140214</c:v>
                </c:pt>
                <c:pt idx="7">
                  <c:v>185.92029809315221</c:v>
                </c:pt>
                <c:pt idx="8">
                  <c:v>199.69283578049718</c:v>
                </c:pt>
                <c:pt idx="9">
                  <c:v>198.68421253191372</c:v>
                </c:pt>
                <c:pt idx="10">
                  <c:v>204.49514490056529</c:v>
                </c:pt>
                <c:pt idx="11">
                  <c:v>207.49035515878873</c:v>
                </c:pt>
                <c:pt idx="12">
                  <c:v>212.45129188298617</c:v>
                </c:pt>
                <c:pt idx="13">
                  <c:v>217.50866944279693</c:v>
                </c:pt>
                <c:pt idx="14">
                  <c:v>227.42863932203977</c:v>
                </c:pt>
                <c:pt idx="15">
                  <c:v>204.56887182590933</c:v>
                </c:pt>
                <c:pt idx="16">
                  <c:v>206.53005862045072</c:v>
                </c:pt>
                <c:pt idx="17">
                  <c:v>207.93290009161953</c:v>
                </c:pt>
                <c:pt idx="18">
                  <c:v>204.40973222330072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617408"/>
        <c:axId val="121619200"/>
      </c:lineChart>
      <c:catAx>
        <c:axId val="12161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619200"/>
        <c:crosses val="autoZero"/>
        <c:auto val="1"/>
        <c:lblAlgn val="ctr"/>
        <c:lblOffset val="100"/>
        <c:noMultiLvlLbl val="0"/>
      </c:catAx>
      <c:valAx>
        <c:axId val="121619200"/>
        <c:scaling>
          <c:orientation val="minMax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overlay val="0"/>
        </c:title>
        <c:numFmt formatCode="_-&quot;$&quot;* #,##0_-;\-&quot;$&quot;* #,##0_-;_-&quot;$&quot;* &quot;-&quot;??_-;_-@_-" sourceLinked="1"/>
        <c:majorTickMark val="out"/>
        <c:minorTickMark val="none"/>
        <c:tickLblPos val="nextTo"/>
        <c:crossAx val="1216174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</xdr:row>
      <xdr:rowOff>95250</xdr:rowOff>
    </xdr:from>
    <xdr:to>
      <xdr:col>12</xdr:col>
      <xdr:colOff>476250</xdr:colOff>
      <xdr:row>15</xdr:row>
      <xdr:rowOff>142875</xdr:rowOff>
    </xdr:to>
    <xdr:pic>
      <xdr:nvPicPr>
        <xdr:cNvPr id="2" name="Picture 3" descr="image00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3833"/>
        <a:stretch/>
      </xdr:blipFill>
      <xdr:spPr bwMode="auto">
        <a:xfrm>
          <a:off x="790575" y="285750"/>
          <a:ext cx="7000875" cy="271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16</xdr:col>
      <xdr:colOff>142875</xdr:colOff>
      <xdr:row>31</xdr:row>
      <xdr:rowOff>133350</xdr:rowOff>
    </xdr:to>
    <xdr:pic>
      <xdr:nvPicPr>
        <xdr:cNvPr id="3" name="Picture 4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9286875" cy="260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16</xdr:col>
      <xdr:colOff>142875</xdr:colOff>
      <xdr:row>45</xdr:row>
      <xdr:rowOff>123825</xdr:rowOff>
    </xdr:to>
    <xdr:pic>
      <xdr:nvPicPr>
        <xdr:cNvPr id="4" name="Picture 3" descr="image00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86500"/>
          <a:ext cx="9286875" cy="2409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476249</xdr:colOff>
      <xdr:row>47</xdr:row>
      <xdr:rowOff>43543</xdr:rowOff>
    </xdr:from>
    <xdr:to>
      <xdr:col>17</xdr:col>
      <xdr:colOff>322419</xdr:colOff>
      <xdr:row>61</xdr:row>
      <xdr:rowOff>176894</xdr:rowOff>
    </xdr:to>
    <xdr:pic>
      <xdr:nvPicPr>
        <xdr:cNvPr id="6" name="Picture 5" descr="image00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9" y="8997043"/>
          <a:ext cx="10255634" cy="2800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0</xdr:colOff>
      <xdr:row>17</xdr:row>
      <xdr:rowOff>0</xdr:rowOff>
    </xdr:from>
    <xdr:to>
      <xdr:col>35</xdr:col>
      <xdr:colOff>304800</xdr:colOff>
      <xdr:row>30</xdr:row>
      <xdr:rowOff>133350</xdr:rowOff>
    </xdr:to>
    <xdr:pic>
      <xdr:nvPicPr>
        <xdr:cNvPr id="7" name="Picture 6" descr="image00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1575" y="3238500"/>
          <a:ext cx="9448800" cy="260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0</xdr:colOff>
      <xdr:row>34</xdr:row>
      <xdr:rowOff>0</xdr:rowOff>
    </xdr:from>
    <xdr:to>
      <xdr:col>35</xdr:col>
      <xdr:colOff>304800</xdr:colOff>
      <xdr:row>46</xdr:row>
      <xdr:rowOff>123825</xdr:rowOff>
    </xdr:to>
    <xdr:pic>
      <xdr:nvPicPr>
        <xdr:cNvPr id="9" name="Picture 8" descr="image00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6477000"/>
          <a:ext cx="9448800" cy="2409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37</xdr:col>
      <xdr:colOff>95250</xdr:colOff>
      <xdr:row>17</xdr:row>
      <xdr:rowOff>85725</xdr:rowOff>
    </xdr:from>
    <xdr:to>
      <xdr:col>53</xdr:col>
      <xdr:colOff>133350</xdr:colOff>
      <xdr:row>30</xdr:row>
      <xdr:rowOff>19050</xdr:rowOff>
    </xdr:to>
    <xdr:pic>
      <xdr:nvPicPr>
        <xdr:cNvPr id="8" name="Picture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74350" y="3324225"/>
          <a:ext cx="9791700" cy="2409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37</xdr:col>
      <xdr:colOff>95250</xdr:colOff>
      <xdr:row>34</xdr:row>
      <xdr:rowOff>152400</xdr:rowOff>
    </xdr:from>
    <xdr:to>
      <xdr:col>53</xdr:col>
      <xdr:colOff>133350</xdr:colOff>
      <xdr:row>47</xdr:row>
      <xdr:rowOff>85725</xdr:rowOff>
    </xdr:to>
    <xdr:pic>
      <xdr:nvPicPr>
        <xdr:cNvPr id="10" name="Picture 2" descr="image002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74350" y="6629400"/>
          <a:ext cx="9791700" cy="2409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19</xdr:col>
      <xdr:colOff>56030</xdr:colOff>
      <xdr:row>34</xdr:row>
      <xdr:rowOff>22412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041" name="Butto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042" name="Butto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19</xdr:col>
      <xdr:colOff>56030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162817" name="Button 1" hidden="1">
              <a:extLst>
                <a:ext uri="{63B3BB69-23CF-44E3-9099-C40C66FF867C}">
                  <a14:compatExt spid="_x0000_s1628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162818" name="Button 2" hidden="1">
              <a:extLst>
                <a:ext uri="{63B3BB69-23CF-44E3-9099-C40C66FF867C}">
                  <a14:compatExt spid="_x0000_s1628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62819" name="Button 3" hidden="1">
              <a:extLst>
                <a:ext uri="{63B3BB69-23CF-44E3-9099-C40C66FF867C}">
                  <a14:compatExt spid="_x0000_s1628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62820" name="Button 4" hidden="1">
              <a:extLst>
                <a:ext uri="{63B3BB69-23CF-44E3-9099-C40C66FF867C}">
                  <a14:compatExt spid="_x0000_s1628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19</xdr:col>
      <xdr:colOff>56030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163841" name="Button 1" hidden="1">
              <a:extLst>
                <a:ext uri="{63B3BB69-23CF-44E3-9099-C40C66FF867C}">
                  <a14:compatExt spid="_x0000_s1638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163842" name="Button 2" hidden="1">
              <a:extLst>
                <a:ext uri="{63B3BB69-23CF-44E3-9099-C40C66FF867C}">
                  <a14:compatExt spid="_x0000_s1638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63843" name="Button 3" hidden="1">
              <a:extLst>
                <a:ext uri="{63B3BB69-23CF-44E3-9099-C40C66FF867C}">
                  <a14:compatExt spid="_x0000_s1638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63844" name="Button 4" hidden="1">
              <a:extLst>
                <a:ext uri="{63B3BB69-23CF-44E3-9099-C40C66FF867C}">
                  <a14:compatExt spid="_x0000_s1638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15</xdr:row>
      <xdr:rowOff>166686</xdr:rowOff>
    </xdr:from>
    <xdr:to>
      <xdr:col>7</xdr:col>
      <xdr:colOff>571500</xdr:colOff>
      <xdr:row>32</xdr:row>
      <xdr:rowOff>133349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76200</xdr:colOff>
      <xdr:row>15</xdr:row>
      <xdr:rowOff>157161</xdr:rowOff>
    </xdr:from>
    <xdr:to>
      <xdr:col>18</xdr:col>
      <xdr:colOff>381000</xdr:colOff>
      <xdr:row>32</xdr:row>
      <xdr:rowOff>171450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11</xdr:row>
          <xdr:rowOff>95250</xdr:rowOff>
        </xdr:from>
        <xdr:to>
          <xdr:col>5</xdr:col>
          <xdr:colOff>1885950</xdr:colOff>
          <xdr:row>13</xdr:row>
          <xdr:rowOff>152400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Additional Payments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8</xdr:row>
          <xdr:rowOff>85725</xdr:rowOff>
        </xdr:from>
        <xdr:to>
          <xdr:col>5</xdr:col>
          <xdr:colOff>1847850</xdr:colOff>
          <xdr:row>10</xdr:row>
          <xdr:rowOff>95250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24</xdr:row>
      <xdr:rowOff>180975</xdr:rowOff>
    </xdr:from>
    <xdr:to>
      <xdr:col>19</xdr:col>
      <xdr:colOff>266700</xdr:colOff>
      <xdr:row>30</xdr:row>
      <xdr:rowOff>0</xdr:rowOff>
    </xdr:to>
    <xdr:pic>
      <xdr:nvPicPr>
        <xdr:cNvPr id="2" name="Picture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4819650"/>
          <a:ext cx="69723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L61"/>
  <sheetViews>
    <sheetView topLeftCell="P1" zoomScale="70" zoomScaleNormal="70" workbookViewId="0">
      <selection activeCell="Z11" sqref="Z11"/>
    </sheetView>
  </sheetViews>
  <sheetFormatPr defaultRowHeight="15" x14ac:dyDescent="0.25"/>
  <cols>
    <col min="20" max="20" width="20" bestFit="1" customWidth="1"/>
  </cols>
  <sheetData>
    <row r="1" spans="1:38" x14ac:dyDescent="0.25">
      <c r="A1" s="76" t="s">
        <v>240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T1" t="s">
        <v>231</v>
      </c>
    </row>
    <row r="2" spans="1:38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U2">
        <v>2017</v>
      </c>
      <c r="V2">
        <v>2018</v>
      </c>
      <c r="W2" s="105">
        <v>2019</v>
      </c>
      <c r="X2" s="105">
        <v>2020</v>
      </c>
      <c r="Y2" s="105">
        <v>2021</v>
      </c>
      <c r="Z2" s="105"/>
      <c r="AA2" s="105"/>
    </row>
    <row r="3" spans="1:38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T3" t="s">
        <v>243</v>
      </c>
      <c r="U3">
        <f>-26.31-0.71</f>
        <v>-27.02</v>
      </c>
      <c r="V3">
        <f>-26.05-0.89</f>
        <v>-26.94</v>
      </c>
      <c r="W3">
        <f>-25.83-1.08</f>
        <v>-26.909999999999997</v>
      </c>
      <c r="X3">
        <f>-33.1-1.22</f>
        <v>-34.32</v>
      </c>
      <c r="Y3">
        <v>-28.09</v>
      </c>
      <c r="Z3" s="33" t="s">
        <v>245</v>
      </c>
    </row>
    <row r="4" spans="1:38" x14ac:dyDescent="0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T4" t="s">
        <v>242</v>
      </c>
      <c r="U4">
        <f>-18.1-0.71</f>
        <v>-18.810000000000002</v>
      </c>
      <c r="V4">
        <f>-17.68-0.89</f>
        <v>-18.57</v>
      </c>
      <c r="W4">
        <f>-17.29-1.08</f>
        <v>-18.369999999999997</v>
      </c>
      <c r="X4">
        <f>-24.39-1.22</f>
        <v>-25.61</v>
      </c>
      <c r="Y4">
        <f>-19.2-1.35</f>
        <v>-20.55</v>
      </c>
    </row>
    <row r="5" spans="1:38" x14ac:dyDescent="0.2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1:38" x14ac:dyDescent="0.25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T6" s="105"/>
    </row>
    <row r="7" spans="1:38" x14ac:dyDescent="0.2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</row>
    <row r="8" spans="1:38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</row>
    <row r="9" spans="1:38" x14ac:dyDescent="0.2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1:38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spans="1:38" x14ac:dyDescent="0.2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</row>
    <row r="12" spans="1:38" x14ac:dyDescent="0.25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</row>
    <row r="13" spans="1:38" x14ac:dyDescent="0.2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</row>
    <row r="14" spans="1:38" x14ac:dyDescent="0.2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U14" t="s">
        <v>241</v>
      </c>
    </row>
    <row r="15" spans="1:38" x14ac:dyDescent="0.2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AL15" t="s">
        <v>244</v>
      </c>
    </row>
    <row r="16" spans="1:38" x14ac:dyDescent="0.2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</row>
    <row r="17" spans="1:18" x14ac:dyDescent="0.2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</row>
    <row r="18" spans="1:18" x14ac:dyDescent="0.25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</row>
    <row r="19" spans="1:18" x14ac:dyDescent="0.2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</row>
    <row r="20" spans="1:18" x14ac:dyDescent="0.25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</row>
    <row r="21" spans="1:18" x14ac:dyDescent="0.2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</row>
    <row r="22" spans="1:18" x14ac:dyDescent="0.2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</row>
    <row r="23" spans="1:18" x14ac:dyDescent="0.25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</row>
    <row r="24" spans="1:18" x14ac:dyDescent="0.25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</row>
    <row r="25" spans="1:18" x14ac:dyDescent="0.25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</row>
    <row r="26" spans="1:18" x14ac:dyDescent="0.25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</row>
    <row r="27" spans="1:18" x14ac:dyDescent="0.25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</row>
    <row r="28" spans="1:18" x14ac:dyDescent="0.25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</row>
    <row r="29" spans="1:18" x14ac:dyDescent="0.25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</row>
    <row r="30" spans="1:18" x14ac:dyDescent="0.25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</row>
    <row r="31" spans="1:18" x14ac:dyDescent="0.25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</row>
    <row r="32" spans="1:18" x14ac:dyDescent="0.25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</row>
    <row r="33" spans="1:18" x14ac:dyDescent="0.25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</row>
    <row r="34" spans="1:18" x14ac:dyDescent="0.25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</row>
    <row r="35" spans="1:18" x14ac:dyDescent="0.25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</row>
    <row r="36" spans="1:18" x14ac:dyDescent="0.25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</row>
    <row r="37" spans="1:18" x14ac:dyDescent="0.25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</row>
    <row r="38" spans="1:18" x14ac:dyDescent="0.2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</row>
    <row r="39" spans="1:18" x14ac:dyDescent="0.25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</row>
    <row r="40" spans="1:18" x14ac:dyDescent="0.2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</row>
    <row r="41" spans="1:18" x14ac:dyDescent="0.25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</row>
    <row r="42" spans="1:18" x14ac:dyDescent="0.25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</row>
    <row r="43" spans="1:18" x14ac:dyDescent="0.25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</row>
    <row r="44" spans="1:18" x14ac:dyDescent="0.25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</row>
    <row r="45" spans="1:18" x14ac:dyDescent="0.25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</row>
    <row r="46" spans="1:18" x14ac:dyDescent="0.25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</row>
    <row r="47" spans="1:18" x14ac:dyDescent="0.25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</row>
    <row r="48" spans="1:18" x14ac:dyDescent="0.25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</row>
    <row r="49" spans="1:18" x14ac:dyDescent="0.25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</row>
    <row r="50" spans="1:18" x14ac:dyDescent="0.25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</row>
    <row r="51" spans="1:18" x14ac:dyDescent="0.25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</row>
    <row r="52" spans="1:18" x14ac:dyDescent="0.25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</row>
    <row r="53" spans="1:18" x14ac:dyDescent="0.25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</row>
    <row r="54" spans="1:18" x14ac:dyDescent="0.25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</row>
    <row r="55" spans="1:18" x14ac:dyDescent="0.25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</row>
    <row r="56" spans="1:18" x14ac:dyDescent="0.25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</row>
    <row r="57" spans="1:18" x14ac:dyDescent="0.25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</row>
    <row r="58" spans="1:18" x14ac:dyDescent="0.25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</row>
    <row r="59" spans="1:18" x14ac:dyDescent="0.25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</row>
    <row r="60" spans="1:18" x14ac:dyDescent="0.25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</row>
    <row r="61" spans="1:18" x14ac:dyDescent="0.25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AM23"/>
  <sheetViews>
    <sheetView workbookViewId="0">
      <selection activeCell="K23" sqref="K23"/>
    </sheetView>
  </sheetViews>
  <sheetFormatPr defaultRowHeight="15" x14ac:dyDescent="0.25"/>
  <cols>
    <col min="2" max="2" width="16.7109375" customWidth="1"/>
    <col min="3" max="3" width="51" bestFit="1" customWidth="1"/>
  </cols>
  <sheetData>
    <row r="1" spans="2:39" ht="15.75" thickBot="1" x14ac:dyDescent="0.3"/>
    <row r="2" spans="2:39" ht="15.75" thickBot="1" x14ac:dyDescent="0.3">
      <c r="B2" s="91"/>
      <c r="C2" s="91"/>
      <c r="D2" s="92">
        <v>2017</v>
      </c>
      <c r="E2" s="93">
        <v>2018</v>
      </c>
      <c r="F2" s="93">
        <v>2019</v>
      </c>
      <c r="G2" s="93">
        <v>2020</v>
      </c>
      <c r="H2" s="93">
        <v>2021</v>
      </c>
      <c r="I2" s="93">
        <v>2022</v>
      </c>
      <c r="J2" s="92">
        <v>2023</v>
      </c>
      <c r="K2" s="93">
        <v>2024</v>
      </c>
      <c r="L2" s="93">
        <v>2025</v>
      </c>
      <c r="M2" s="93">
        <v>2026</v>
      </c>
      <c r="N2" s="93">
        <v>2027</v>
      </c>
      <c r="O2" s="93">
        <v>2028</v>
      </c>
      <c r="P2" s="93">
        <v>2029</v>
      </c>
      <c r="Q2" s="93">
        <v>2030</v>
      </c>
      <c r="R2" s="93">
        <v>2031</v>
      </c>
      <c r="S2" s="93">
        <v>2032</v>
      </c>
      <c r="T2" s="93">
        <v>2033</v>
      </c>
      <c r="U2" s="93">
        <v>2034</v>
      </c>
      <c r="V2" s="93">
        <v>2035</v>
      </c>
      <c r="W2" s="93">
        <v>2036</v>
      </c>
      <c r="X2" s="93">
        <v>2037</v>
      </c>
      <c r="Y2" s="93">
        <v>2038</v>
      </c>
      <c r="Z2" s="93">
        <v>2039</v>
      </c>
      <c r="AA2" s="93">
        <v>2040</v>
      </c>
      <c r="AB2" s="93">
        <v>2041</v>
      </c>
      <c r="AC2" s="93">
        <v>2042</v>
      </c>
      <c r="AD2" s="93">
        <v>2043</v>
      </c>
      <c r="AE2" s="93">
        <v>2044</v>
      </c>
      <c r="AF2" s="93">
        <v>2045</v>
      </c>
      <c r="AG2" s="93">
        <v>2046</v>
      </c>
      <c r="AH2" s="93">
        <v>2047</v>
      </c>
      <c r="AI2" s="93">
        <v>2048</v>
      </c>
      <c r="AJ2" s="93">
        <v>2049</v>
      </c>
      <c r="AK2" s="94">
        <v>2050</v>
      </c>
      <c r="AL2" s="93"/>
      <c r="AM2" s="94"/>
    </row>
    <row r="3" spans="2:39" x14ac:dyDescent="0.25">
      <c r="B3" s="161" t="s">
        <v>157</v>
      </c>
      <c r="C3" s="95" t="s">
        <v>158</v>
      </c>
      <c r="D3" s="96">
        <v>38</v>
      </c>
      <c r="E3" s="96">
        <v>38</v>
      </c>
      <c r="F3" s="96">
        <v>39</v>
      </c>
      <c r="G3" s="96">
        <v>37</v>
      </c>
      <c r="H3" s="96">
        <v>35</v>
      </c>
      <c r="I3" s="97">
        <v>26</v>
      </c>
    </row>
    <row r="4" spans="2:39" ht="15.75" thickBot="1" x14ac:dyDescent="0.3">
      <c r="B4" s="162"/>
      <c r="C4" s="98" t="s">
        <v>159</v>
      </c>
      <c r="D4" s="99">
        <v>29</v>
      </c>
      <c r="E4" s="99">
        <v>29</v>
      </c>
      <c r="F4" s="99">
        <v>29</v>
      </c>
      <c r="G4" s="99">
        <v>29</v>
      </c>
      <c r="H4" s="99">
        <v>29</v>
      </c>
      <c r="I4" s="100">
        <v>29</v>
      </c>
    </row>
    <row r="5" spans="2:39" x14ac:dyDescent="0.25">
      <c r="B5" s="163" t="s">
        <v>160</v>
      </c>
      <c r="C5" s="101" t="s">
        <v>161</v>
      </c>
      <c r="D5" s="96">
        <v>66</v>
      </c>
      <c r="E5" s="96">
        <v>73</v>
      </c>
      <c r="F5" s="96">
        <v>81</v>
      </c>
      <c r="G5" s="96">
        <v>90</v>
      </c>
      <c r="H5" s="96">
        <v>100</v>
      </c>
      <c r="I5" s="97">
        <v>111</v>
      </c>
    </row>
    <row r="6" spans="2:39" x14ac:dyDescent="0.25">
      <c r="B6" s="164"/>
      <c r="C6" s="101" t="s">
        <v>162</v>
      </c>
      <c r="D6" s="96">
        <v>45</v>
      </c>
      <c r="E6" s="96">
        <v>45</v>
      </c>
      <c r="F6" s="96">
        <v>46</v>
      </c>
      <c r="G6" s="96">
        <v>47</v>
      </c>
      <c r="H6" s="96">
        <v>48</v>
      </c>
      <c r="I6" s="97">
        <v>49</v>
      </c>
    </row>
    <row r="7" spans="2:39" x14ac:dyDescent="0.25">
      <c r="B7" s="164"/>
      <c r="C7" s="101" t="s">
        <v>163</v>
      </c>
      <c r="D7" s="96">
        <v>2507</v>
      </c>
      <c r="E7" s="96">
        <v>2810</v>
      </c>
      <c r="F7" s="96">
        <v>3165</v>
      </c>
      <c r="G7" s="96">
        <v>3362</v>
      </c>
      <c r="H7" s="96">
        <v>3535</v>
      </c>
      <c r="I7" s="97">
        <v>2884</v>
      </c>
    </row>
    <row r="8" spans="2:39" ht="15.75" thickBot="1" x14ac:dyDescent="0.3">
      <c r="B8" s="165"/>
      <c r="C8" s="98" t="s">
        <v>164</v>
      </c>
      <c r="D8" s="99">
        <v>1325</v>
      </c>
      <c r="E8" s="99">
        <v>1340</v>
      </c>
      <c r="F8" s="99">
        <v>1354</v>
      </c>
      <c r="G8" s="99">
        <v>1384</v>
      </c>
      <c r="H8" s="99">
        <v>1413</v>
      </c>
      <c r="I8" s="100">
        <v>1443</v>
      </c>
    </row>
    <row r="9" spans="2:39" x14ac:dyDescent="0.25">
      <c r="B9" s="166" t="s">
        <v>165</v>
      </c>
      <c r="C9" s="101" t="s">
        <v>166</v>
      </c>
      <c r="D9" s="96">
        <v>1</v>
      </c>
      <c r="E9" s="96">
        <v>1.8</v>
      </c>
      <c r="F9" s="96">
        <v>2.6</v>
      </c>
      <c r="G9" s="96">
        <v>3.4</v>
      </c>
      <c r="H9" s="96">
        <v>4.2</v>
      </c>
      <c r="I9" s="97">
        <v>5</v>
      </c>
    </row>
    <row r="10" spans="2:39" x14ac:dyDescent="0.25">
      <c r="B10" s="167"/>
      <c r="C10" s="101" t="s">
        <v>161</v>
      </c>
      <c r="D10" s="96">
        <v>65</v>
      </c>
      <c r="E10" s="96">
        <v>71</v>
      </c>
      <c r="F10" s="96">
        <v>78</v>
      </c>
      <c r="G10" s="96">
        <v>87</v>
      </c>
      <c r="H10" s="96">
        <v>96</v>
      </c>
      <c r="I10" s="97">
        <v>106</v>
      </c>
    </row>
    <row r="11" spans="2:39" x14ac:dyDescent="0.25">
      <c r="B11" s="167"/>
      <c r="C11" s="101" t="s">
        <v>162</v>
      </c>
      <c r="D11" s="96">
        <v>42</v>
      </c>
      <c r="E11" s="96">
        <v>42</v>
      </c>
      <c r="F11" s="96">
        <v>43</v>
      </c>
      <c r="G11" s="96">
        <v>44</v>
      </c>
      <c r="H11" s="96">
        <v>45</v>
      </c>
      <c r="I11" s="97">
        <v>46</v>
      </c>
    </row>
    <row r="12" spans="2:39" x14ac:dyDescent="0.25">
      <c r="B12" s="167"/>
      <c r="C12" s="101" t="s">
        <v>163</v>
      </c>
      <c r="D12" s="96">
        <v>2469.1999999999998</v>
      </c>
      <c r="E12" s="96">
        <v>2741.1</v>
      </c>
      <c r="F12" s="96">
        <v>3063</v>
      </c>
      <c r="G12" s="96">
        <v>3235.2</v>
      </c>
      <c r="H12" s="96">
        <v>3386.5</v>
      </c>
      <c r="I12" s="97">
        <v>2754.4</v>
      </c>
    </row>
    <row r="13" spans="2:39" ht="15.75" thickBot="1" x14ac:dyDescent="0.3">
      <c r="B13" s="168"/>
      <c r="C13" s="98" t="s">
        <v>164</v>
      </c>
      <c r="D13" s="99">
        <v>1236.0999999999999</v>
      </c>
      <c r="E13" s="99">
        <v>1251.5999999999999</v>
      </c>
      <c r="F13" s="99">
        <v>1265.5999999999999</v>
      </c>
      <c r="G13" s="99">
        <v>1295.0999999999999</v>
      </c>
      <c r="H13" s="99">
        <v>1324.6</v>
      </c>
      <c r="I13" s="100">
        <v>1354.1</v>
      </c>
    </row>
    <row r="14" spans="2:39" x14ac:dyDescent="0.25">
      <c r="B14" s="169" t="s">
        <v>167</v>
      </c>
      <c r="C14" s="101" t="s">
        <v>168</v>
      </c>
      <c r="D14" s="96">
        <v>-38.1</v>
      </c>
      <c r="E14" s="96">
        <v>-69.2</v>
      </c>
      <c r="F14" s="96">
        <v>-101.5</v>
      </c>
      <c r="G14" s="96">
        <v>-127</v>
      </c>
      <c r="H14" s="96">
        <v>-148.6</v>
      </c>
      <c r="I14" s="97">
        <v>-130.1</v>
      </c>
      <c r="K14" s="54" t="s">
        <v>181</v>
      </c>
    </row>
    <row r="15" spans="2:39" x14ac:dyDescent="0.25">
      <c r="B15" s="170"/>
      <c r="C15" s="101" t="s">
        <v>169</v>
      </c>
      <c r="D15" s="96">
        <v>-88.5</v>
      </c>
      <c r="E15" s="96">
        <v>-88.5</v>
      </c>
      <c r="F15" s="96">
        <v>-88.5</v>
      </c>
      <c r="G15" s="96">
        <v>-88.5</v>
      </c>
      <c r="H15" s="96">
        <v>-88.5</v>
      </c>
      <c r="I15" s="97">
        <v>-88.5</v>
      </c>
    </row>
    <row r="16" spans="2:39" ht="15.75" thickBot="1" x14ac:dyDescent="0.3">
      <c r="B16" s="171"/>
      <c r="C16" s="102" t="s">
        <v>170</v>
      </c>
      <c r="D16" s="103">
        <v>-126.6</v>
      </c>
      <c r="E16" s="103">
        <v>-157.69999999999999</v>
      </c>
      <c r="F16" s="103">
        <v>-190</v>
      </c>
      <c r="G16" s="103">
        <v>-215.5</v>
      </c>
      <c r="H16" s="103">
        <v>-237.1</v>
      </c>
      <c r="I16" s="104">
        <v>-218.5</v>
      </c>
      <c r="J16">
        <f>AVERAGE($D$17:$I$17)*1.02^(J2-2022)</f>
        <v>-203.4311632239104</v>
      </c>
      <c r="K16" s="105">
        <f t="shared" ref="K16:AK16" si="0">AVERAGE($D$17:$I$17)*1.02^(K2-2022)</f>
        <v>-207.49978648838859</v>
      </c>
      <c r="L16" s="105">
        <f t="shared" si="0"/>
        <v>-211.64978221815636</v>
      </c>
      <c r="M16" s="105">
        <f t="shared" si="0"/>
        <v>-215.8827778625195</v>
      </c>
      <c r="N16" s="105">
        <f t="shared" si="0"/>
        <v>-220.20043341976989</v>
      </c>
      <c r="O16" s="105">
        <f t="shared" si="0"/>
        <v>-224.60444208816531</v>
      </c>
      <c r="P16" s="105">
        <f t="shared" si="0"/>
        <v>-229.09653092992855</v>
      </c>
      <c r="Q16" s="105">
        <f t="shared" si="0"/>
        <v>-233.67846154852714</v>
      </c>
      <c r="R16" s="105">
        <f t="shared" si="0"/>
        <v>-238.35203077949768</v>
      </c>
      <c r="S16" s="105">
        <f t="shared" si="0"/>
        <v>-243.11907139508767</v>
      </c>
      <c r="T16" s="105">
        <f t="shared" si="0"/>
        <v>-247.98145282298935</v>
      </c>
      <c r="U16" s="105">
        <f t="shared" si="0"/>
        <v>-252.9410818794492</v>
      </c>
      <c r="V16" s="105">
        <f t="shared" si="0"/>
        <v>-257.99990351703815</v>
      </c>
      <c r="W16" s="105">
        <f t="shared" si="0"/>
        <v>-263.15990158737895</v>
      </c>
      <c r="X16" s="105">
        <f t="shared" si="0"/>
        <v>-268.42309961912645</v>
      </c>
      <c r="Y16" s="105">
        <f t="shared" si="0"/>
        <v>-273.79156161150905</v>
      </c>
      <c r="Z16" s="105">
        <f t="shared" si="0"/>
        <v>-279.26739284373923</v>
      </c>
      <c r="AA16" s="105">
        <f t="shared" si="0"/>
        <v>-284.85274070061399</v>
      </c>
      <c r="AB16" s="105">
        <f t="shared" si="0"/>
        <v>-290.54979551462628</v>
      </c>
      <c r="AC16" s="105">
        <f t="shared" si="0"/>
        <v>-296.36079142491883</v>
      </c>
      <c r="AD16" s="105">
        <f t="shared" si="0"/>
        <v>-302.28800725341716</v>
      </c>
      <c r="AE16" s="105">
        <f t="shared" si="0"/>
        <v>-308.33376739848552</v>
      </c>
      <c r="AF16" s="105">
        <f t="shared" si="0"/>
        <v>-314.50044274645518</v>
      </c>
      <c r="AG16" s="105">
        <f t="shared" si="0"/>
        <v>-320.79045160138429</v>
      </c>
      <c r="AH16" s="105">
        <f t="shared" si="0"/>
        <v>-327.206260633412</v>
      </c>
      <c r="AI16" s="105">
        <f t="shared" si="0"/>
        <v>-333.75038584608029</v>
      </c>
      <c r="AJ16" s="105">
        <f t="shared" si="0"/>
        <v>-340.42539356300182</v>
      </c>
      <c r="AK16" s="105">
        <f t="shared" si="0"/>
        <v>-347.2339014342619</v>
      </c>
    </row>
    <row r="17" spans="3:37" ht="15.75" thickBot="1" x14ac:dyDescent="0.3">
      <c r="C17" s="102" t="s">
        <v>182</v>
      </c>
      <c r="D17">
        <f>D16*1.02^(2022-D2)</f>
        <v>-139.77662968511999</v>
      </c>
      <c r="E17" s="105">
        <f t="shared" ref="E17:I17" si="1">E16*1.02^(2022-E2)</f>
        <v>-170.69955163199998</v>
      </c>
      <c r="F17" s="105">
        <f t="shared" si="1"/>
        <v>-201.62951999999999</v>
      </c>
      <c r="G17" s="105">
        <f t="shared" si="1"/>
        <v>-224.2062</v>
      </c>
      <c r="H17" s="105">
        <f t="shared" si="1"/>
        <v>-241.84199999999998</v>
      </c>
      <c r="I17" s="105">
        <f t="shared" si="1"/>
        <v>-218.5</v>
      </c>
    </row>
    <row r="20" spans="3:37" x14ac:dyDescent="0.25">
      <c r="C20" t="s">
        <v>183</v>
      </c>
      <c r="D20">
        <v>-0.71</v>
      </c>
      <c r="E20">
        <v>-0.89</v>
      </c>
      <c r="F20">
        <v>-1.08</v>
      </c>
      <c r="G20">
        <v>-1.22</v>
      </c>
      <c r="H20">
        <v>-1.35</v>
      </c>
      <c r="I20">
        <v>-1.24</v>
      </c>
      <c r="J20">
        <f>AVERAGE($D$20:$I$20)*1.02^(J$2-2022)</f>
        <v>-1.1033000000000002</v>
      </c>
      <c r="K20" s="105">
        <f t="shared" ref="K20:AK20" si="2">AVERAGE($D$20:$I$20)*1.02^(K$2-2022)</f>
        <v>-1.1253660000000001</v>
      </c>
      <c r="L20" s="105">
        <f t="shared" si="2"/>
        <v>-1.14787332</v>
      </c>
      <c r="M20" s="105">
        <f t="shared" si="2"/>
        <v>-1.1708307864</v>
      </c>
      <c r="N20" s="105">
        <f t="shared" si="2"/>
        <v>-1.1942474021280001</v>
      </c>
      <c r="O20" s="105">
        <f t="shared" si="2"/>
        <v>-1.2181323501705601</v>
      </c>
      <c r="P20" s="105">
        <f t="shared" si="2"/>
        <v>-1.2424949971739712</v>
      </c>
      <c r="Q20" s="105">
        <f t="shared" si="2"/>
        <v>-1.2673448971174506</v>
      </c>
      <c r="R20" s="105">
        <f t="shared" si="2"/>
        <v>-1.2926917950597996</v>
      </c>
      <c r="S20" s="105">
        <f t="shared" si="2"/>
        <v>-1.3185456309609958</v>
      </c>
      <c r="T20" s="105">
        <f t="shared" si="2"/>
        <v>-1.3449165435802155</v>
      </c>
      <c r="U20" s="105">
        <f t="shared" si="2"/>
        <v>-1.3718148744518199</v>
      </c>
      <c r="V20" s="105">
        <f t="shared" si="2"/>
        <v>-1.3992511719408562</v>
      </c>
      <c r="W20" s="105">
        <f t="shared" si="2"/>
        <v>-1.4272361953796735</v>
      </c>
      <c r="X20" s="105">
        <f t="shared" si="2"/>
        <v>-1.4557809192872666</v>
      </c>
      <c r="Y20" s="105">
        <f t="shared" si="2"/>
        <v>-1.4848965376730121</v>
      </c>
      <c r="Z20" s="105">
        <f t="shared" si="2"/>
        <v>-1.5145944684264725</v>
      </c>
      <c r="AA20" s="105">
        <f t="shared" si="2"/>
        <v>-1.5448863577950018</v>
      </c>
      <c r="AB20" s="105">
        <f t="shared" si="2"/>
        <v>-1.5757840849509017</v>
      </c>
      <c r="AC20" s="105">
        <f t="shared" si="2"/>
        <v>-1.60729976664992</v>
      </c>
      <c r="AD20" s="105">
        <f t="shared" si="2"/>
        <v>-1.6394457619829184</v>
      </c>
      <c r="AE20" s="105">
        <f t="shared" si="2"/>
        <v>-1.6722346772225767</v>
      </c>
      <c r="AF20" s="105">
        <f t="shared" si="2"/>
        <v>-1.7056793707670279</v>
      </c>
      <c r="AG20" s="105">
        <f t="shared" si="2"/>
        <v>-1.7397929581823686</v>
      </c>
      <c r="AH20" s="105">
        <f t="shared" si="2"/>
        <v>-1.774588817346016</v>
      </c>
      <c r="AI20" s="105">
        <f t="shared" si="2"/>
        <v>-1.8100805936929365</v>
      </c>
      <c r="AJ20" s="105">
        <f t="shared" si="2"/>
        <v>-1.8462822055667949</v>
      </c>
      <c r="AK20" s="105">
        <f t="shared" si="2"/>
        <v>-1.8832078496781313</v>
      </c>
    </row>
    <row r="21" spans="3:37" x14ac:dyDescent="0.25">
      <c r="C21" t="s">
        <v>184</v>
      </c>
      <c r="D21">
        <v>-0.59</v>
      </c>
      <c r="E21">
        <v>-0.74</v>
      </c>
      <c r="F21">
        <v>-0.89</v>
      </c>
      <c r="G21">
        <v>-1.01</v>
      </c>
      <c r="H21">
        <v>-1.1200000000000001</v>
      </c>
      <c r="I21">
        <v>-1.03</v>
      </c>
      <c r="J21" s="105">
        <f>AVERAGE($D$21:$I$21)*1.02^(J$2-2022)</f>
        <v>-0.91460000000000019</v>
      </c>
      <c r="K21" s="105">
        <f t="shared" ref="K21:AK21" si="3">AVERAGE($D$21:$I$21)*1.02^(K$2-2022)</f>
        <v>-0.93289200000000017</v>
      </c>
      <c r="L21" s="105">
        <f t="shared" si="3"/>
        <v>-0.95154984000000009</v>
      </c>
      <c r="M21" s="105">
        <f t="shared" si="3"/>
        <v>-0.97058083680000018</v>
      </c>
      <c r="N21" s="105">
        <f t="shared" si="3"/>
        <v>-0.98999245353600018</v>
      </c>
      <c r="O21" s="105">
        <f t="shared" si="3"/>
        <v>-1.0097923026067201</v>
      </c>
      <c r="P21" s="105">
        <f t="shared" si="3"/>
        <v>-1.0299881486588545</v>
      </c>
      <c r="Q21" s="105">
        <f t="shared" si="3"/>
        <v>-1.0505879116320316</v>
      </c>
      <c r="R21" s="105">
        <f t="shared" si="3"/>
        <v>-1.0715996698646721</v>
      </c>
      <c r="S21" s="105">
        <f t="shared" si="3"/>
        <v>-1.0930316632619657</v>
      </c>
      <c r="T21" s="105">
        <f t="shared" si="3"/>
        <v>-1.1148922965272048</v>
      </c>
      <c r="U21" s="105">
        <f t="shared" si="3"/>
        <v>-1.1371901424577491</v>
      </c>
      <c r="V21" s="105">
        <f t="shared" si="3"/>
        <v>-1.159933945306904</v>
      </c>
      <c r="W21" s="105">
        <f t="shared" si="3"/>
        <v>-1.1831326242130422</v>
      </c>
      <c r="X21" s="105">
        <f t="shared" si="3"/>
        <v>-1.2067952766973027</v>
      </c>
      <c r="Y21" s="105">
        <f t="shared" si="3"/>
        <v>-1.230931182231249</v>
      </c>
      <c r="Z21" s="105">
        <f t="shared" si="3"/>
        <v>-1.2555498058758741</v>
      </c>
      <c r="AA21" s="105">
        <f t="shared" si="3"/>
        <v>-1.2806608019933914</v>
      </c>
      <c r="AB21" s="105">
        <f t="shared" si="3"/>
        <v>-1.3062740180332593</v>
      </c>
      <c r="AC21" s="105">
        <f t="shared" si="3"/>
        <v>-1.3323994983939245</v>
      </c>
      <c r="AD21" s="105">
        <f t="shared" si="3"/>
        <v>-1.3590474883618029</v>
      </c>
      <c r="AE21" s="105">
        <f t="shared" si="3"/>
        <v>-1.3862284381290391</v>
      </c>
      <c r="AF21" s="105">
        <f t="shared" si="3"/>
        <v>-1.4139530068916195</v>
      </c>
      <c r="AG21" s="105">
        <f t="shared" si="3"/>
        <v>-1.4422320670294519</v>
      </c>
      <c r="AH21" s="105">
        <f t="shared" si="3"/>
        <v>-1.4710767083700411</v>
      </c>
      <c r="AI21" s="105">
        <f t="shared" si="3"/>
        <v>-1.500498242537442</v>
      </c>
      <c r="AJ21" s="105">
        <f t="shared" si="3"/>
        <v>-1.5305082073881906</v>
      </c>
      <c r="AK21" s="105">
        <f t="shared" si="3"/>
        <v>-1.5611183715359549</v>
      </c>
    </row>
    <row r="22" spans="3:37" x14ac:dyDescent="0.25">
      <c r="C22" s="105" t="s">
        <v>185</v>
      </c>
      <c r="D22">
        <f>D20*1.02^(2022-D$2)</f>
        <v>-0.78389737027200002</v>
      </c>
      <c r="E22" s="105">
        <f t="shared" ref="E22:I22" si="4">E20*1.02^(2022-E$2)</f>
        <v>-0.96336462239999998</v>
      </c>
      <c r="F22" s="105">
        <f t="shared" si="4"/>
        <v>-1.1461046399999999</v>
      </c>
      <c r="G22" s="105">
        <f t="shared" si="4"/>
        <v>-1.269288</v>
      </c>
      <c r="H22" s="105">
        <f t="shared" si="4"/>
        <v>-1.3770000000000002</v>
      </c>
      <c r="I22" s="105">
        <f t="shared" si="4"/>
        <v>-1.24</v>
      </c>
    </row>
    <row r="23" spans="3:37" x14ac:dyDescent="0.25">
      <c r="C23" s="105" t="s">
        <v>186</v>
      </c>
      <c r="D23" s="105">
        <f>D21*1.02^(2022-D$2)</f>
        <v>-0.65140767388800003</v>
      </c>
      <c r="E23" s="105">
        <f t="shared" ref="E23:I23" si="5">E21*1.02^(2022-E$2)</f>
        <v>-0.80099979840000002</v>
      </c>
      <c r="F23" s="105">
        <f t="shared" si="5"/>
        <v>-0.94447512</v>
      </c>
      <c r="G23" s="105">
        <f t="shared" si="5"/>
        <v>-1.0508040000000001</v>
      </c>
      <c r="H23" s="105">
        <f t="shared" si="5"/>
        <v>-1.1424000000000001</v>
      </c>
      <c r="I23" s="105">
        <f t="shared" si="5"/>
        <v>-1.03</v>
      </c>
    </row>
  </sheetData>
  <mergeCells count="4">
    <mergeCell ref="B3:B4"/>
    <mergeCell ref="B5:B8"/>
    <mergeCell ref="B9:B13"/>
    <mergeCell ref="B14:B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AK7"/>
  <sheetViews>
    <sheetView workbookViewId="0">
      <selection activeCell="AH10" sqref="AH10"/>
    </sheetView>
  </sheetViews>
  <sheetFormatPr defaultRowHeight="15" x14ac:dyDescent="0.25"/>
  <sheetData>
    <row r="1" spans="2:37" ht="15.75" thickBot="1" x14ac:dyDescent="0.3"/>
    <row r="2" spans="2:37" ht="25.5" x14ac:dyDescent="0.25">
      <c r="B2" s="73" t="s">
        <v>146</v>
      </c>
      <c r="C2" s="74" t="s">
        <v>147</v>
      </c>
      <c r="D2" s="75">
        <v>2017</v>
      </c>
      <c r="E2" s="75">
        <v>2018</v>
      </c>
      <c r="F2" s="75">
        <v>2019</v>
      </c>
      <c r="G2" s="75">
        <v>2020</v>
      </c>
      <c r="H2" s="75">
        <v>2021</v>
      </c>
      <c r="I2" s="75">
        <v>2022</v>
      </c>
      <c r="J2" s="75">
        <v>2023</v>
      </c>
      <c r="K2" s="75">
        <v>2024</v>
      </c>
      <c r="L2" s="75">
        <v>2025</v>
      </c>
      <c r="M2" s="75">
        <v>2026</v>
      </c>
      <c r="N2" s="75">
        <v>2027</v>
      </c>
      <c r="O2" s="75">
        <v>2028</v>
      </c>
      <c r="P2" s="75">
        <v>2029</v>
      </c>
      <c r="Q2" s="75">
        <v>2030</v>
      </c>
      <c r="R2" s="75">
        <v>2031</v>
      </c>
      <c r="S2" s="75">
        <v>2032</v>
      </c>
      <c r="T2" s="75">
        <v>2033</v>
      </c>
      <c r="U2" s="75">
        <v>2034</v>
      </c>
      <c r="V2" s="75">
        <v>2035</v>
      </c>
      <c r="W2" s="75">
        <v>2036</v>
      </c>
      <c r="X2" s="75">
        <v>2037</v>
      </c>
      <c r="Y2" s="75">
        <v>2038</v>
      </c>
      <c r="Z2" s="75">
        <v>2039</v>
      </c>
      <c r="AA2" s="75">
        <v>2040</v>
      </c>
      <c r="AB2" s="75">
        <v>2041</v>
      </c>
      <c r="AC2" s="75">
        <v>2042</v>
      </c>
      <c r="AD2" s="75">
        <v>2043</v>
      </c>
      <c r="AE2" s="75">
        <v>2044</v>
      </c>
      <c r="AF2" s="75">
        <v>2045</v>
      </c>
      <c r="AG2" s="75">
        <v>2046</v>
      </c>
      <c r="AH2" s="75">
        <v>2047</v>
      </c>
      <c r="AI2" s="75">
        <v>2048</v>
      </c>
      <c r="AJ2" s="75">
        <v>2049</v>
      </c>
      <c r="AK2" s="75">
        <v>2050</v>
      </c>
    </row>
    <row r="3" spans="2:37" x14ac:dyDescent="0.25">
      <c r="B3" s="76" t="s">
        <v>148</v>
      </c>
      <c r="C3" s="77">
        <v>1.3</v>
      </c>
      <c r="D3" s="78">
        <f>$C$3*1.02^(D2-2016)</f>
        <v>1.3260000000000001</v>
      </c>
      <c r="E3" s="78">
        <f t="shared" ref="E3:V3" si="0">$C$3*1.02^(E2-2016)</f>
        <v>1.3525199999999999</v>
      </c>
      <c r="F3" s="78">
        <f t="shared" si="0"/>
        <v>1.3795704</v>
      </c>
      <c r="G3" s="78">
        <f t="shared" si="0"/>
        <v>1.4071618080000001</v>
      </c>
      <c r="H3" s="78">
        <f t="shared" si="0"/>
        <v>1.4353050441600002</v>
      </c>
      <c r="I3" s="78">
        <f t="shared" si="0"/>
        <v>1.4640111450432001</v>
      </c>
      <c r="J3" s="78">
        <f t="shared" si="0"/>
        <v>1.4932913679440638</v>
      </c>
      <c r="K3" s="78">
        <f t="shared" si="0"/>
        <v>1.5231571953029452</v>
      </c>
      <c r="L3" s="78">
        <f t="shared" si="0"/>
        <v>1.5536203392090042</v>
      </c>
      <c r="M3" s="78">
        <f t="shared" si="0"/>
        <v>1.5846927459931843</v>
      </c>
      <c r="N3" s="78">
        <f t="shared" si="0"/>
        <v>1.6163866009130476</v>
      </c>
      <c r="O3" s="78">
        <f t="shared" si="0"/>
        <v>1.648714332931309</v>
      </c>
      <c r="P3" s="78">
        <f t="shared" si="0"/>
        <v>1.681688619589935</v>
      </c>
      <c r="Q3" s="78">
        <f t="shared" si="0"/>
        <v>1.7153223919817338</v>
      </c>
      <c r="R3" s="78">
        <f t="shared" si="0"/>
        <v>1.749628839821368</v>
      </c>
      <c r="S3" s="78">
        <f t="shared" si="0"/>
        <v>1.7846214166177956</v>
      </c>
      <c r="T3" s="78">
        <f t="shared" si="0"/>
        <v>1.8203138449501517</v>
      </c>
      <c r="U3" s="78">
        <f t="shared" si="0"/>
        <v>1.8567201218491547</v>
      </c>
      <c r="V3" s="78">
        <f t="shared" si="0"/>
        <v>1.8938545242861375</v>
      </c>
      <c r="W3" s="78">
        <f t="shared" ref="W3" si="1">$C$3*1.02^(W2-2016)</f>
        <v>1.9317316147718606</v>
      </c>
      <c r="X3" s="78">
        <f t="shared" ref="X3" si="2">$C$3*1.02^(X2-2016)</f>
        <v>1.9703662470672976</v>
      </c>
      <c r="Y3" s="78">
        <f t="shared" ref="Y3" si="3">$C$3*1.02^(Y2-2016)</f>
        <v>2.0097735720086436</v>
      </c>
      <c r="Z3" s="78">
        <f t="shared" ref="Z3" si="4">$C$3*1.02^(Z2-2016)</f>
        <v>2.049969043448816</v>
      </c>
      <c r="AA3" s="78">
        <f t="shared" ref="AA3" si="5">$C$3*1.02^(AA2-2016)</f>
        <v>2.0909684243177926</v>
      </c>
      <c r="AB3" s="78">
        <f t="shared" ref="AB3" si="6">$C$3*1.02^(AB2-2016)</f>
        <v>2.1327877928041485</v>
      </c>
      <c r="AC3" s="78">
        <f t="shared" ref="AC3" si="7">$C$3*1.02^(AC2-2016)</f>
        <v>2.1754435486602315</v>
      </c>
      <c r="AD3" s="78">
        <f t="shared" ref="AD3" si="8">$C$3*1.02^(AD2-2016)</f>
        <v>2.2189524196334358</v>
      </c>
      <c r="AE3" s="78">
        <f t="shared" ref="AE3" si="9">$C$3*1.02^(AE2-2016)</f>
        <v>2.263331468026105</v>
      </c>
      <c r="AF3" s="78">
        <f t="shared" ref="AF3" si="10">$C$3*1.02^(AF2-2016)</f>
        <v>2.3085980973866267</v>
      </c>
      <c r="AG3" s="78">
        <f t="shared" ref="AG3" si="11">$C$3*1.02^(AG2-2016)</f>
        <v>2.3547700593343595</v>
      </c>
      <c r="AH3" s="78">
        <f t="shared" ref="AH3" si="12">$C$3*1.02^(AH2-2016)</f>
        <v>2.4018654605210461</v>
      </c>
      <c r="AI3" s="78">
        <f t="shared" ref="AI3" si="13">$C$3*1.02^(AI2-2016)</f>
        <v>2.4499027697314677</v>
      </c>
      <c r="AJ3" s="78">
        <f t="shared" ref="AJ3" si="14">$C$3*1.02^(AJ2-2016)</f>
        <v>2.4989008251260971</v>
      </c>
      <c r="AK3" s="78">
        <f t="shared" ref="AK3" si="15">$C$3*1.02^(AK2-2016)</f>
        <v>2.548878841628619</v>
      </c>
    </row>
    <row r="4" spans="2:37" ht="15.75" thickBot="1" x14ac:dyDescent="0.3">
      <c r="B4" s="76" t="s">
        <v>149</v>
      </c>
      <c r="C4" s="79">
        <v>1.1000000000000001</v>
      </c>
      <c r="D4" s="78">
        <f>$C$4*1.02^(D2-2016)</f>
        <v>1.1220000000000001</v>
      </c>
      <c r="E4" s="78">
        <f t="shared" ref="E4:V4" si="16">$C$4*1.02^(E2-2016)</f>
        <v>1.1444400000000001</v>
      </c>
      <c r="F4" s="78">
        <f t="shared" si="16"/>
        <v>1.1673287999999999</v>
      </c>
      <c r="G4" s="78">
        <f t="shared" si="16"/>
        <v>1.1906753760000002</v>
      </c>
      <c r="H4" s="78">
        <f t="shared" si="16"/>
        <v>1.2144888835200001</v>
      </c>
      <c r="I4" s="78">
        <f t="shared" si="16"/>
        <v>1.2387786611904001</v>
      </c>
      <c r="J4" s="78">
        <f t="shared" si="16"/>
        <v>1.2635542344142079</v>
      </c>
      <c r="K4" s="78">
        <f t="shared" si="16"/>
        <v>1.2888253191024921</v>
      </c>
      <c r="L4" s="78">
        <f t="shared" si="16"/>
        <v>1.314601825484542</v>
      </c>
      <c r="M4" s="78">
        <f t="shared" si="16"/>
        <v>1.340893861994233</v>
      </c>
      <c r="N4" s="78">
        <f t="shared" si="16"/>
        <v>1.3677117392341174</v>
      </c>
      <c r="O4" s="78">
        <f t="shared" si="16"/>
        <v>1.3950659740187998</v>
      </c>
      <c r="P4" s="78">
        <f t="shared" si="16"/>
        <v>1.4229672934991757</v>
      </c>
      <c r="Q4" s="78">
        <f t="shared" si="16"/>
        <v>1.4514266393691595</v>
      </c>
      <c r="R4" s="78">
        <f t="shared" si="16"/>
        <v>1.4804551721565422</v>
      </c>
      <c r="S4" s="78">
        <f t="shared" si="16"/>
        <v>1.5100642755996734</v>
      </c>
      <c r="T4" s="78">
        <f t="shared" si="16"/>
        <v>1.5402655611116669</v>
      </c>
      <c r="U4" s="78">
        <f t="shared" si="16"/>
        <v>1.5710708723339002</v>
      </c>
      <c r="V4" s="78">
        <f t="shared" si="16"/>
        <v>1.602492289780578</v>
      </c>
      <c r="W4" s="78">
        <f t="shared" ref="W4:AK4" si="17">$C$4*1.02^(W2-2016)</f>
        <v>1.6345421355761898</v>
      </c>
      <c r="X4" s="78">
        <f t="shared" si="17"/>
        <v>1.6672329782877136</v>
      </c>
      <c r="Y4" s="78">
        <f t="shared" si="17"/>
        <v>1.7005776378534678</v>
      </c>
      <c r="Z4" s="78">
        <f t="shared" si="17"/>
        <v>1.7345891906105368</v>
      </c>
      <c r="AA4" s="78">
        <f t="shared" si="17"/>
        <v>1.7692809744227478</v>
      </c>
      <c r="AB4" s="78">
        <f t="shared" si="17"/>
        <v>1.8046665939112025</v>
      </c>
      <c r="AC4" s="78">
        <f t="shared" si="17"/>
        <v>1.8407599257894269</v>
      </c>
      <c r="AD4" s="78">
        <f t="shared" si="17"/>
        <v>1.877575124305215</v>
      </c>
      <c r="AE4" s="78">
        <f t="shared" si="17"/>
        <v>1.9151266267913198</v>
      </c>
      <c r="AF4" s="78">
        <f t="shared" si="17"/>
        <v>1.953429159327146</v>
      </c>
      <c r="AG4" s="78">
        <f t="shared" si="17"/>
        <v>1.9924977425136889</v>
      </c>
      <c r="AH4" s="78">
        <f t="shared" si="17"/>
        <v>2.0323476973639623</v>
      </c>
      <c r="AI4" s="78">
        <f t="shared" si="17"/>
        <v>2.0729946513112418</v>
      </c>
      <c r="AJ4" s="78">
        <f t="shared" si="17"/>
        <v>2.1144545443374669</v>
      </c>
      <c r="AK4" s="78">
        <f t="shared" si="17"/>
        <v>2.156743635224216</v>
      </c>
    </row>
    <row r="5" spans="2:37" x14ac:dyDescent="0.25"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</row>
    <row r="6" spans="2:37" x14ac:dyDescent="0.25"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</row>
    <row r="7" spans="2:37" x14ac:dyDescent="0.25">
      <c r="B7" s="76" t="s">
        <v>150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E10"/>
  <sheetViews>
    <sheetView workbookViewId="0">
      <selection activeCell="E10" sqref="E10"/>
    </sheetView>
  </sheetViews>
  <sheetFormatPr defaultRowHeight="15" x14ac:dyDescent="0.25"/>
  <cols>
    <col min="2" max="2" width="16.5703125" customWidth="1"/>
    <col min="3" max="3" width="13.28515625" customWidth="1"/>
    <col min="4" max="4" width="11.85546875" customWidth="1"/>
    <col min="5" max="5" width="12.140625" customWidth="1"/>
  </cols>
  <sheetData>
    <row r="1" spans="2:5" ht="15.75" thickBot="1" x14ac:dyDescent="0.3"/>
    <row r="2" spans="2:5" ht="15.75" thickBot="1" x14ac:dyDescent="0.3">
      <c r="B2" s="69" t="s">
        <v>137</v>
      </c>
      <c r="C2" s="70">
        <v>2014</v>
      </c>
      <c r="D2" s="70">
        <v>2015</v>
      </c>
      <c r="E2" s="70">
        <v>2016</v>
      </c>
    </row>
    <row r="3" spans="2:5" ht="15.75" thickBot="1" x14ac:dyDescent="0.3">
      <c r="B3" s="71" t="s">
        <v>138</v>
      </c>
      <c r="C3" s="72">
        <v>68.78</v>
      </c>
      <c r="D3" s="72">
        <v>75.510000000000005</v>
      </c>
      <c r="E3" s="72">
        <v>82.61</v>
      </c>
    </row>
    <row r="4" spans="2:5" ht="15.75" thickBot="1" x14ac:dyDescent="0.3">
      <c r="B4" s="71" t="s">
        <v>139</v>
      </c>
      <c r="C4" s="72">
        <v>32.67</v>
      </c>
      <c r="D4" s="72">
        <v>36.03</v>
      </c>
      <c r="E4" s="72">
        <v>37.57</v>
      </c>
    </row>
    <row r="5" spans="2:5" ht="15.75" thickBot="1" x14ac:dyDescent="0.3">
      <c r="B5" s="71" t="s">
        <v>140</v>
      </c>
      <c r="C5" s="72">
        <v>10.25</v>
      </c>
      <c r="D5" s="72">
        <v>11.92</v>
      </c>
      <c r="E5" s="72">
        <v>12.75</v>
      </c>
    </row>
    <row r="6" spans="2:5" ht="15.75" thickBot="1" x14ac:dyDescent="0.3">
      <c r="B6" s="71" t="s">
        <v>141</v>
      </c>
      <c r="C6" s="72">
        <v>4.5</v>
      </c>
      <c r="D6" s="72">
        <v>4.68</v>
      </c>
      <c r="E6" s="72">
        <v>4.75</v>
      </c>
    </row>
    <row r="7" spans="2:5" ht="15.75" thickBot="1" x14ac:dyDescent="0.3">
      <c r="B7" s="71" t="s">
        <v>142</v>
      </c>
      <c r="C7" s="72">
        <v>5.25</v>
      </c>
      <c r="D7" s="72">
        <v>5.25</v>
      </c>
      <c r="E7" s="72">
        <v>0</v>
      </c>
    </row>
    <row r="8" spans="2:5" ht="15.75" thickBot="1" x14ac:dyDescent="0.3">
      <c r="B8" s="71" t="s">
        <v>143</v>
      </c>
      <c r="C8" s="72">
        <v>15.79</v>
      </c>
      <c r="D8" s="72">
        <v>17.34</v>
      </c>
      <c r="E8" s="72">
        <v>17.899999999999999</v>
      </c>
    </row>
    <row r="9" spans="2:5" ht="15.75" thickBot="1" x14ac:dyDescent="0.3">
      <c r="B9" s="71" t="s">
        <v>144</v>
      </c>
      <c r="C9" s="72">
        <v>-13.72</v>
      </c>
      <c r="D9" s="72">
        <v>-15.07</v>
      </c>
      <c r="E9" s="72">
        <v>0</v>
      </c>
    </row>
    <row r="10" spans="2:5" ht="15.75" thickBot="1" x14ac:dyDescent="0.3">
      <c r="B10" s="71" t="s">
        <v>145</v>
      </c>
      <c r="C10" s="72">
        <v>123.51</v>
      </c>
      <c r="D10" s="72">
        <v>135.65</v>
      </c>
      <c r="E10" s="72">
        <v>155.58000000000001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I33"/>
  <sheetViews>
    <sheetView workbookViewId="0">
      <selection activeCell="E9" sqref="E9:E14"/>
    </sheetView>
  </sheetViews>
  <sheetFormatPr defaultRowHeight="15" x14ac:dyDescent="0.25"/>
  <cols>
    <col min="2" max="2" width="24.28515625" customWidth="1"/>
    <col min="3" max="3" width="26.42578125" bestFit="1" customWidth="1"/>
    <col min="4" max="5" width="22.28515625" bestFit="1" customWidth="1"/>
    <col min="6" max="7" width="13.85546875" bestFit="1" customWidth="1"/>
    <col min="8" max="8" width="17.28515625" bestFit="1" customWidth="1"/>
    <col min="9" max="9" width="22.28515625" bestFit="1" customWidth="1"/>
  </cols>
  <sheetData>
    <row r="2" spans="2:9" ht="15.75" x14ac:dyDescent="0.25">
      <c r="B2" s="8" t="s">
        <v>10</v>
      </c>
      <c r="C2" s="7"/>
      <c r="D2" s="7"/>
      <c r="E2" s="7"/>
      <c r="F2" s="7"/>
      <c r="G2" s="7"/>
      <c r="H2" s="7"/>
      <c r="I2" s="7"/>
    </row>
    <row r="4" spans="2:9" ht="49.5" customHeight="1" x14ac:dyDescent="0.25">
      <c r="B4" s="9" t="s">
        <v>11</v>
      </c>
      <c r="C4" s="10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1" t="s">
        <v>18</v>
      </c>
    </row>
    <row r="5" spans="2:9" x14ac:dyDescent="0.25">
      <c r="B5" s="12" t="s">
        <v>19</v>
      </c>
      <c r="C5" s="13" t="s">
        <v>20</v>
      </c>
      <c r="D5" s="13" t="s">
        <v>20</v>
      </c>
      <c r="E5" s="13" t="s">
        <v>20</v>
      </c>
      <c r="F5" s="13" t="s">
        <v>20</v>
      </c>
      <c r="G5" s="13" t="s">
        <v>20</v>
      </c>
      <c r="H5" s="13" t="s">
        <v>20</v>
      </c>
      <c r="I5" s="13" t="s">
        <v>20</v>
      </c>
    </row>
    <row r="6" spans="2:9" x14ac:dyDescent="0.25">
      <c r="B6" s="12" t="s">
        <v>21</v>
      </c>
      <c r="C6" s="13" t="s">
        <v>22</v>
      </c>
      <c r="D6" s="13" t="s">
        <v>22</v>
      </c>
      <c r="E6" s="13" t="s">
        <v>22</v>
      </c>
      <c r="F6" s="13" t="s">
        <v>22</v>
      </c>
      <c r="G6" s="13" t="s">
        <v>22</v>
      </c>
      <c r="H6" s="13" t="s">
        <v>22</v>
      </c>
      <c r="I6" s="13" t="s">
        <v>22</v>
      </c>
    </row>
    <row r="7" spans="2:9" x14ac:dyDescent="0.25">
      <c r="B7" s="12" t="s">
        <v>23</v>
      </c>
      <c r="C7" s="13" t="s">
        <v>24</v>
      </c>
      <c r="D7" s="13" t="s">
        <v>24</v>
      </c>
      <c r="E7" s="13" t="s">
        <v>24</v>
      </c>
      <c r="F7" s="13" t="s">
        <v>24</v>
      </c>
      <c r="G7" s="13" t="s">
        <v>24</v>
      </c>
      <c r="H7" s="13" t="s">
        <v>24</v>
      </c>
      <c r="I7" s="13" t="s">
        <v>24</v>
      </c>
    </row>
    <row r="8" spans="2:9" x14ac:dyDescent="0.25">
      <c r="B8" s="12" t="s">
        <v>25</v>
      </c>
      <c r="C8" s="12"/>
      <c r="D8" s="14" t="s">
        <v>26</v>
      </c>
      <c r="E8" s="12"/>
      <c r="F8" s="14" t="s">
        <v>27</v>
      </c>
      <c r="G8" s="12"/>
      <c r="H8" s="12"/>
      <c r="I8" s="14" t="s">
        <v>26</v>
      </c>
    </row>
    <row r="9" spans="2:9" x14ac:dyDescent="0.25">
      <c r="B9" s="12" t="s">
        <v>28</v>
      </c>
      <c r="C9" s="12"/>
      <c r="D9" s="14" t="s">
        <v>29</v>
      </c>
      <c r="E9" s="14" t="s">
        <v>29</v>
      </c>
      <c r="F9" s="14" t="s">
        <v>27</v>
      </c>
      <c r="G9" s="12"/>
      <c r="H9" s="12"/>
      <c r="I9" s="14" t="s">
        <v>29</v>
      </c>
    </row>
    <row r="10" spans="2:9" x14ac:dyDescent="0.25">
      <c r="B10" s="12" t="s">
        <v>30</v>
      </c>
      <c r="C10" s="12"/>
      <c r="D10" s="14" t="s">
        <v>31</v>
      </c>
      <c r="E10" s="12" t="s">
        <v>31</v>
      </c>
      <c r="F10" s="12" t="s">
        <v>31</v>
      </c>
      <c r="G10" s="12"/>
      <c r="H10" s="12"/>
      <c r="I10" s="14" t="s">
        <v>31</v>
      </c>
    </row>
    <row r="11" spans="2:9" x14ac:dyDescent="0.25">
      <c r="B11" s="12" t="s">
        <v>32</v>
      </c>
      <c r="C11" s="12"/>
      <c r="D11" s="12"/>
      <c r="E11" s="12"/>
      <c r="F11" s="12"/>
      <c r="G11" s="12"/>
      <c r="H11" s="14" t="s">
        <v>33</v>
      </c>
      <c r="I11" s="14" t="s">
        <v>33</v>
      </c>
    </row>
    <row r="12" spans="2:9" x14ac:dyDescent="0.25">
      <c r="B12" s="12" t="s">
        <v>34</v>
      </c>
      <c r="C12" s="12"/>
      <c r="D12" s="12"/>
      <c r="E12" s="12"/>
      <c r="F12" s="12"/>
      <c r="G12" s="12"/>
      <c r="H12" s="14" t="s">
        <v>35</v>
      </c>
      <c r="I12" s="14" t="s">
        <v>35</v>
      </c>
    </row>
    <row r="13" spans="2:9" x14ac:dyDescent="0.25">
      <c r="B13" s="12" t="s">
        <v>36</v>
      </c>
      <c r="C13" s="12"/>
      <c r="D13" s="12"/>
      <c r="E13" s="12"/>
      <c r="F13" s="12"/>
      <c r="G13" s="12"/>
      <c r="H13" s="14" t="s">
        <v>37</v>
      </c>
      <c r="I13" s="14" t="s">
        <v>37</v>
      </c>
    </row>
    <row r="14" spans="2:9" ht="46.5" customHeight="1" x14ac:dyDescent="0.25">
      <c r="B14" s="12" t="s">
        <v>38</v>
      </c>
      <c r="C14" s="15" t="s">
        <v>39</v>
      </c>
      <c r="D14" s="15" t="s">
        <v>39</v>
      </c>
      <c r="E14" s="15" t="s">
        <v>39</v>
      </c>
      <c r="F14" s="15" t="s">
        <v>39</v>
      </c>
      <c r="G14" s="16" t="s">
        <v>40</v>
      </c>
      <c r="H14" s="16" t="s">
        <v>40</v>
      </c>
      <c r="I14" s="16" t="s">
        <v>40</v>
      </c>
    </row>
    <row r="15" spans="2:9" x14ac:dyDescent="0.25">
      <c r="B15" s="12" t="s">
        <v>41</v>
      </c>
      <c r="C15" s="12"/>
      <c r="D15" s="12"/>
      <c r="E15" s="12"/>
      <c r="F15" s="12"/>
      <c r="G15" s="12"/>
      <c r="H15" s="12"/>
      <c r="I15" s="12"/>
    </row>
    <row r="17" spans="1:9" x14ac:dyDescent="0.25">
      <c r="B17" s="17" t="s">
        <v>42</v>
      </c>
      <c r="C17" s="17"/>
      <c r="D17" s="7"/>
      <c r="E17" s="7"/>
      <c r="F17" s="7"/>
      <c r="G17" s="7"/>
      <c r="H17" s="7"/>
      <c r="I17" s="7"/>
    </row>
    <row r="20" spans="1:9" x14ac:dyDescent="0.25">
      <c r="A20" s="7"/>
      <c r="B20" s="18" t="s">
        <v>43</v>
      </c>
      <c r="C20" s="18" t="s">
        <v>44</v>
      </c>
    </row>
    <row r="21" spans="1:9" ht="30" x14ac:dyDescent="0.25">
      <c r="A21" s="7"/>
      <c r="B21" s="10" t="s">
        <v>45</v>
      </c>
      <c r="C21" s="12" t="s">
        <v>46</v>
      </c>
    </row>
    <row r="22" spans="1:9" x14ac:dyDescent="0.25">
      <c r="A22" s="7"/>
      <c r="B22" s="12" t="s">
        <v>47</v>
      </c>
      <c r="C22" s="12" t="s">
        <v>48</v>
      </c>
    </row>
    <row r="23" spans="1:9" x14ac:dyDescent="0.25">
      <c r="A23" s="7"/>
      <c r="B23" s="12" t="s">
        <v>49</v>
      </c>
      <c r="C23" s="12" t="s">
        <v>50</v>
      </c>
    </row>
    <row r="24" spans="1:9" x14ac:dyDescent="0.25">
      <c r="A24" s="7"/>
      <c r="B24" s="12" t="s">
        <v>51</v>
      </c>
      <c r="C24" s="12" t="s">
        <v>52</v>
      </c>
    </row>
    <row r="25" spans="1:9" x14ac:dyDescent="0.25">
      <c r="A25" s="7"/>
      <c r="B25" s="12" t="s">
        <v>53</v>
      </c>
      <c r="C25" s="12" t="s">
        <v>54</v>
      </c>
    </row>
    <row r="26" spans="1:9" x14ac:dyDescent="0.25">
      <c r="A26" s="7"/>
      <c r="B26" s="12" t="s">
        <v>55</v>
      </c>
      <c r="C26" s="12" t="s">
        <v>56</v>
      </c>
    </row>
    <row r="27" spans="1:9" x14ac:dyDescent="0.25">
      <c r="A27" s="7"/>
      <c r="B27" s="14" t="s">
        <v>57</v>
      </c>
      <c r="C27" s="14" t="s">
        <v>58</v>
      </c>
    </row>
    <row r="29" spans="1:9" x14ac:dyDescent="0.25">
      <c r="A29" s="7" t="s">
        <v>59</v>
      </c>
      <c r="B29" s="7"/>
      <c r="C29" s="7"/>
    </row>
    <row r="30" spans="1:9" x14ac:dyDescent="0.25">
      <c r="A30" s="7"/>
      <c r="B30" s="7" t="s">
        <v>60</v>
      </c>
      <c r="C30" s="7"/>
    </row>
    <row r="31" spans="1:9" x14ac:dyDescent="0.25">
      <c r="A31" s="7"/>
      <c r="B31" s="7" t="s">
        <v>61</v>
      </c>
      <c r="C31" s="7"/>
    </row>
    <row r="32" spans="1:9" x14ac:dyDescent="0.25">
      <c r="A32" s="7"/>
      <c r="B32" s="7" t="s">
        <v>62</v>
      </c>
      <c r="C32" s="7"/>
    </row>
    <row r="33" spans="1:3" x14ac:dyDescent="0.25">
      <c r="A33" s="7"/>
      <c r="B33" s="7" t="s">
        <v>63</v>
      </c>
      <c r="C33" s="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V32"/>
  <sheetViews>
    <sheetView workbookViewId="0">
      <selection activeCell="O12" sqref="O12"/>
    </sheetView>
  </sheetViews>
  <sheetFormatPr defaultRowHeight="15" x14ac:dyDescent="0.25"/>
  <cols>
    <col min="2" max="2" width="17.140625" customWidth="1"/>
  </cols>
  <sheetData>
    <row r="2" spans="2:22" x14ac:dyDescent="0.25">
      <c r="B2" s="4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x14ac:dyDescent="0.25">
      <c r="B3" s="3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3">
        <v>2026</v>
      </c>
      <c r="N3" s="3">
        <v>2027</v>
      </c>
      <c r="O3" s="3">
        <v>2028</v>
      </c>
      <c r="P3" s="3">
        <v>2029</v>
      </c>
      <c r="Q3" s="3">
        <v>2030</v>
      </c>
      <c r="R3" s="3">
        <v>2031</v>
      </c>
      <c r="S3" s="3">
        <v>2032</v>
      </c>
      <c r="T3" s="3">
        <v>2033</v>
      </c>
      <c r="U3" s="3">
        <v>2034</v>
      </c>
      <c r="V3" s="3">
        <v>2035</v>
      </c>
    </row>
    <row r="4" spans="2:22" x14ac:dyDescent="0.25">
      <c r="B4" s="3" t="s">
        <v>1</v>
      </c>
      <c r="C4" s="5">
        <v>18.137578551912288</v>
      </c>
      <c r="D4" s="5">
        <v>23.934740867580583</v>
      </c>
      <c r="E4" s="5">
        <v>25.744051369863712</v>
      </c>
      <c r="F4" s="5">
        <v>27.174449771689495</v>
      </c>
      <c r="G4" s="5">
        <v>30.500462204007722</v>
      </c>
      <c r="H4" s="5">
        <v>34.237067351597915</v>
      </c>
      <c r="I4" s="5">
        <v>36.075020547945378</v>
      </c>
      <c r="J4" s="5">
        <v>40.45125913242088</v>
      </c>
      <c r="K4" s="5">
        <v>34.824615209471759</v>
      </c>
      <c r="L4" s="5">
        <v>44.054005707762848</v>
      </c>
      <c r="M4" s="5">
        <v>39.058687214612128</v>
      </c>
      <c r="N4" s="5">
        <v>39.894207762556725</v>
      </c>
      <c r="O4" s="5">
        <v>39.219793943533737</v>
      </c>
      <c r="P4" s="5">
        <v>40.291285388128287</v>
      </c>
      <c r="Q4" s="5">
        <v>41.660391552510973</v>
      </c>
      <c r="R4" s="5">
        <v>47.073474885844611</v>
      </c>
      <c r="S4" s="5">
        <v>46.062777777778493</v>
      </c>
      <c r="T4" s="5">
        <v>48.012502283104723</v>
      </c>
      <c r="U4" s="5">
        <v>49.791178082191173</v>
      </c>
      <c r="V4" s="5">
        <v>55.807228310501493</v>
      </c>
    </row>
    <row r="5" spans="2:22" x14ac:dyDescent="0.25">
      <c r="B5" s="3" t="s">
        <v>2</v>
      </c>
      <c r="C5" s="5">
        <v>18.137578551912288</v>
      </c>
      <c r="D5" s="5">
        <v>23.934740867580583</v>
      </c>
      <c r="E5" s="5">
        <v>25.744051369863712</v>
      </c>
      <c r="F5" s="5">
        <v>27.292430365296717</v>
      </c>
      <c r="G5" s="5">
        <v>30.510513433515925</v>
      </c>
      <c r="H5" s="5">
        <v>34.270023972602587</v>
      </c>
      <c r="I5" s="5">
        <v>36.133135844749056</v>
      </c>
      <c r="J5" s="5">
        <v>40.728404109589825</v>
      </c>
      <c r="K5" s="5">
        <v>35.033551912568129</v>
      </c>
      <c r="L5" s="5">
        <v>44.262589041095964</v>
      </c>
      <c r="M5" s="5">
        <v>39.151418949771653</v>
      </c>
      <c r="N5" s="5">
        <v>40.043513698629617</v>
      </c>
      <c r="O5" s="5">
        <v>39.467053734061835</v>
      </c>
      <c r="P5" s="5">
        <v>40.649461187215358</v>
      </c>
      <c r="Q5" s="5">
        <v>41.975792237442477</v>
      </c>
      <c r="R5" s="5">
        <v>47.374019406392669</v>
      </c>
      <c r="S5" s="5">
        <v>46.391551684882103</v>
      </c>
      <c r="T5" s="5">
        <v>48.333546803652489</v>
      </c>
      <c r="U5" s="5">
        <v>50.322199771689064</v>
      </c>
      <c r="V5" s="5">
        <v>56.34437100456519</v>
      </c>
    </row>
    <row r="6" spans="2:22" x14ac:dyDescent="0.25">
      <c r="B6" s="3" t="s">
        <v>3</v>
      </c>
      <c r="C6" s="5">
        <v>18.137578551912288</v>
      </c>
      <c r="D6" s="5">
        <v>23.934740867580583</v>
      </c>
      <c r="E6" s="5">
        <v>25.744051369863712</v>
      </c>
      <c r="F6" s="5">
        <v>27.174449771689495</v>
      </c>
      <c r="G6" s="5">
        <v>30.500462204007722</v>
      </c>
      <c r="H6" s="5">
        <v>34.237067351597915</v>
      </c>
      <c r="I6" s="5">
        <v>36.075020547945378</v>
      </c>
      <c r="J6" s="5">
        <v>40.563998858448237</v>
      </c>
      <c r="K6" s="5">
        <v>34.947741347905293</v>
      </c>
      <c r="L6" s="5">
        <v>44.202093607306061</v>
      </c>
      <c r="M6" s="5">
        <v>39.026989726027523</v>
      </c>
      <c r="N6" s="5">
        <v>40.163007990867087</v>
      </c>
      <c r="O6" s="5">
        <v>39.421220400728622</v>
      </c>
      <c r="P6" s="5">
        <v>40.619736301370573</v>
      </c>
      <c r="Q6" s="5">
        <v>41.955463470319167</v>
      </c>
      <c r="R6" s="5">
        <v>47.278757990867653</v>
      </c>
      <c r="S6" s="5">
        <v>46.237364526412328</v>
      </c>
      <c r="T6" s="5">
        <v>48.33701484018232</v>
      </c>
      <c r="U6" s="5">
        <v>50.073219178081608</v>
      </c>
      <c r="V6" s="5">
        <v>56.196650684930887</v>
      </c>
    </row>
    <row r="7" spans="2:22" x14ac:dyDescent="0.25">
      <c r="B7" s="3" t="s">
        <v>4</v>
      </c>
      <c r="C7" s="5">
        <v>18.137578551912288</v>
      </c>
      <c r="D7" s="5">
        <v>23.934740867580583</v>
      </c>
      <c r="E7" s="5">
        <v>25.744051369863712</v>
      </c>
      <c r="F7" s="5">
        <v>27.174449771689495</v>
      </c>
      <c r="G7" s="5">
        <v>30.500462204007722</v>
      </c>
      <c r="H7" s="5">
        <v>34.237067351597915</v>
      </c>
      <c r="I7" s="5">
        <v>36.075020547945378</v>
      </c>
      <c r="J7" s="5">
        <v>40.540724885845485</v>
      </c>
      <c r="K7" s="5">
        <v>34.927102686703051</v>
      </c>
      <c r="L7" s="5">
        <v>44.133207762557369</v>
      </c>
      <c r="M7" s="5">
        <v>39.111303652968203</v>
      </c>
      <c r="N7" s="5">
        <v>40.123748858447051</v>
      </c>
      <c r="O7" s="5">
        <v>39.259147313296857</v>
      </c>
      <c r="P7" s="5">
        <v>40.400688356164977</v>
      </c>
      <c r="Q7" s="5">
        <v>41.846385844748326</v>
      </c>
      <c r="R7" s="5">
        <v>47.220513698630249</v>
      </c>
      <c r="S7" s="5">
        <v>46.135562386157403</v>
      </c>
      <c r="T7" s="5">
        <v>48.133875570776155</v>
      </c>
      <c r="U7" s="5">
        <v>49.971803652967331</v>
      </c>
      <c r="V7" s="5">
        <v>56.059607305935415</v>
      </c>
    </row>
    <row r="8" spans="2:22" x14ac:dyDescent="0.25">
      <c r="B8" s="3" t="s">
        <v>5</v>
      </c>
      <c r="C8" s="5">
        <v>18.137578551912288</v>
      </c>
      <c r="D8" s="5">
        <v>23.934740867580583</v>
      </c>
      <c r="E8" s="5">
        <v>25.744051369863712</v>
      </c>
      <c r="F8" s="5">
        <v>27.361286529680218</v>
      </c>
      <c r="G8" s="5">
        <v>30.944443306011472</v>
      </c>
      <c r="H8" s="5">
        <v>34.795642694063837</v>
      </c>
      <c r="I8" s="5">
        <v>36.56965296803655</v>
      </c>
      <c r="J8" s="5">
        <v>41.04972716895071</v>
      </c>
      <c r="K8" s="5">
        <v>35.27054644808738</v>
      </c>
      <c r="L8" s="5">
        <v>44.634675799086928</v>
      </c>
      <c r="M8" s="5">
        <v>39.487613013698777</v>
      </c>
      <c r="N8" s="5">
        <v>40.496913242008567</v>
      </c>
      <c r="O8" s="5">
        <v>39.768184198542805</v>
      </c>
      <c r="P8" s="5">
        <v>41.115038812786111</v>
      </c>
      <c r="Q8" s="5">
        <v>42.38525799086711</v>
      </c>
      <c r="R8" s="5">
        <v>47.7220536529681</v>
      </c>
      <c r="S8" s="5">
        <v>46.622982695811402</v>
      </c>
      <c r="T8" s="5">
        <v>48.802287671232769</v>
      </c>
      <c r="U8" s="5">
        <v>50.397939497716514</v>
      </c>
      <c r="V8" s="5">
        <v>56.76582420091259</v>
      </c>
    </row>
    <row r="9" spans="2:22" x14ac:dyDescent="0.25">
      <c r="B9" s="3" t="s">
        <v>6</v>
      </c>
      <c r="C9" s="5">
        <v>18.137578551912288</v>
      </c>
      <c r="D9" s="5">
        <v>23.934740867580583</v>
      </c>
      <c r="E9" s="5">
        <v>25.753696347032797</v>
      </c>
      <c r="F9" s="5">
        <v>27.46844063926946</v>
      </c>
      <c r="G9" s="5">
        <v>31.041066712204515</v>
      </c>
      <c r="H9" s="5">
        <v>34.823257990867504</v>
      </c>
      <c r="I9" s="5">
        <v>36.657142694064014</v>
      </c>
      <c r="J9" s="5">
        <v>41.063636986302257</v>
      </c>
      <c r="K9" s="5">
        <v>35.338131830600943</v>
      </c>
      <c r="L9" s="5">
        <v>44.738797945205889</v>
      </c>
      <c r="M9" s="5">
        <v>39.611363013698679</v>
      </c>
      <c r="N9" s="5">
        <v>40.478660958903745</v>
      </c>
      <c r="O9" s="5">
        <v>39.928179644808878</v>
      </c>
      <c r="P9" s="5">
        <v>41.172251141553183</v>
      </c>
      <c r="Q9" s="5">
        <v>42.533923515981193</v>
      </c>
      <c r="R9" s="5">
        <v>47.841600456621173</v>
      </c>
      <c r="S9" s="5">
        <v>46.710450819672822</v>
      </c>
      <c r="T9" s="5">
        <v>48.869001141552296</v>
      </c>
      <c r="U9" s="5">
        <v>50.685659817351336</v>
      </c>
      <c r="V9" s="5">
        <v>57.008428082190768</v>
      </c>
    </row>
    <row r="10" spans="2:22" x14ac:dyDescent="0.25">
      <c r="B10" s="3" t="s">
        <v>7</v>
      </c>
      <c r="C10" s="5">
        <v>18.137578551912288</v>
      </c>
      <c r="D10" s="5">
        <v>23.934740867580583</v>
      </c>
      <c r="E10" s="5">
        <v>25.753696347032797</v>
      </c>
      <c r="F10" s="5">
        <v>27.512641552511422</v>
      </c>
      <c r="G10" s="5">
        <v>31.129262295082505</v>
      </c>
      <c r="H10" s="5">
        <v>34.873301369863015</v>
      </c>
      <c r="I10" s="5">
        <v>36.783691780821918</v>
      </c>
      <c r="J10" s="5">
        <v>41.290061643836445</v>
      </c>
      <c r="K10" s="5">
        <v>35.441781648451645</v>
      </c>
      <c r="L10" s="5">
        <v>44.892711187214779</v>
      </c>
      <c r="M10" s="5">
        <v>39.814594748858582</v>
      </c>
      <c r="N10" s="5">
        <v>40.628405251140826</v>
      </c>
      <c r="O10" s="5">
        <v>40.168648679417025</v>
      </c>
      <c r="P10" s="5">
        <v>41.596631278539469</v>
      </c>
      <c r="Q10" s="5">
        <v>42.882938356163976</v>
      </c>
      <c r="R10" s="5">
        <v>48.234748858447503</v>
      </c>
      <c r="S10" s="5">
        <v>46.925245901640309</v>
      </c>
      <c r="T10" s="5">
        <v>49.159948630136888</v>
      </c>
      <c r="U10" s="5">
        <v>50.677269406392632</v>
      </c>
      <c r="V10" s="5">
        <v>57.296012557077177</v>
      </c>
    </row>
    <row r="13" spans="2:22" x14ac:dyDescent="0.25">
      <c r="B13" s="4" t="s">
        <v>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2:22" x14ac:dyDescent="0.25">
      <c r="B14" s="3"/>
      <c r="C14" s="3">
        <v>2016</v>
      </c>
      <c r="D14" s="3">
        <v>2017</v>
      </c>
      <c r="E14" s="3">
        <v>2018</v>
      </c>
      <c r="F14" s="3">
        <v>2019</v>
      </c>
      <c r="G14" s="3">
        <v>2020</v>
      </c>
      <c r="H14" s="3">
        <v>2021</v>
      </c>
      <c r="I14" s="3">
        <v>2022</v>
      </c>
      <c r="J14" s="3">
        <v>2023</v>
      </c>
      <c r="K14" s="3">
        <v>2024</v>
      </c>
      <c r="L14" s="3">
        <v>2025</v>
      </c>
      <c r="M14" s="3">
        <v>2026</v>
      </c>
      <c r="N14" s="3">
        <v>2027</v>
      </c>
      <c r="O14" s="3">
        <v>2028</v>
      </c>
      <c r="P14" s="3">
        <v>2029</v>
      </c>
      <c r="Q14" s="3">
        <v>2030</v>
      </c>
      <c r="R14" s="3">
        <v>2031</v>
      </c>
      <c r="S14" s="3">
        <v>2032</v>
      </c>
      <c r="T14" s="3">
        <v>2033</v>
      </c>
      <c r="U14" s="3">
        <v>2034</v>
      </c>
      <c r="V14" s="3">
        <v>2035</v>
      </c>
    </row>
    <row r="15" spans="2:22" x14ac:dyDescent="0.25">
      <c r="B15" s="3" t="s">
        <v>1</v>
      </c>
      <c r="C15" s="6">
        <v>40.720502180612648</v>
      </c>
      <c r="D15" s="6">
        <v>39.884572948947927</v>
      </c>
      <c r="E15" s="6">
        <v>38.259754847688896</v>
      </c>
      <c r="F15" s="6">
        <v>36.87179517987407</v>
      </c>
      <c r="G15" s="6">
        <v>38.077414118674881</v>
      </c>
      <c r="H15" s="6">
        <v>33.266300894558505</v>
      </c>
      <c r="I15" s="6">
        <v>31.982619123421138</v>
      </c>
      <c r="J15" s="6">
        <v>30.204938663640306</v>
      </c>
      <c r="K15" s="6">
        <v>32.170221689868221</v>
      </c>
      <c r="L15" s="6">
        <v>29.83578630115268</v>
      </c>
      <c r="M15" s="6">
        <v>28.07659404567752</v>
      </c>
      <c r="N15" s="6">
        <v>30.082416588950078</v>
      </c>
      <c r="O15" s="6">
        <v>28.894996333938145</v>
      </c>
      <c r="P15" s="6">
        <v>26.206484402006819</v>
      </c>
      <c r="Q15" s="6">
        <v>24.780729241328398</v>
      </c>
      <c r="R15" s="6">
        <v>21.628410775613105</v>
      </c>
      <c r="S15" s="6">
        <v>21.459635534923706</v>
      </c>
      <c r="T15" s="6">
        <v>19.515284845855689</v>
      </c>
      <c r="U15" s="6">
        <v>17.890736782584202</v>
      </c>
      <c r="V15" s="6">
        <v>12.631401240470279</v>
      </c>
    </row>
    <row r="16" spans="2:22" x14ac:dyDescent="0.25">
      <c r="B16" s="3" t="s">
        <v>2</v>
      </c>
      <c r="C16" s="6">
        <v>40.720502180612648</v>
      </c>
      <c r="D16" s="6">
        <v>39.884572948947927</v>
      </c>
      <c r="E16" s="6">
        <v>38.218027068782142</v>
      </c>
      <c r="F16" s="6">
        <v>36.736603644847854</v>
      </c>
      <c r="G16" s="6">
        <v>38.023762377804758</v>
      </c>
      <c r="H16" s="6">
        <v>33.20703756748641</v>
      </c>
      <c r="I16" s="6">
        <v>31.915811397940118</v>
      </c>
      <c r="J16" s="6">
        <v>30.019325694088984</v>
      </c>
      <c r="K16" s="6">
        <v>31.953047525977517</v>
      </c>
      <c r="L16" s="6">
        <v>29.694003968331451</v>
      </c>
      <c r="M16" s="6">
        <v>27.981456753932349</v>
      </c>
      <c r="N16" s="6">
        <v>29.958317792982122</v>
      </c>
      <c r="O16" s="6">
        <v>28.719939283625141</v>
      </c>
      <c r="P16" s="6">
        <v>25.928899437825891</v>
      </c>
      <c r="Q16" s="6">
        <v>24.581958634479236</v>
      </c>
      <c r="R16" s="6">
        <v>21.395728510128276</v>
      </c>
      <c r="S16" s="6">
        <v>21.214789908212037</v>
      </c>
      <c r="T16" s="6">
        <v>19.288824714337288</v>
      </c>
      <c r="U16" s="6">
        <v>17.546020080892998</v>
      </c>
      <c r="V16" s="6">
        <v>12.299944166982625</v>
      </c>
    </row>
    <row r="17" spans="2:22" x14ac:dyDescent="0.25">
      <c r="B17" s="3" t="s">
        <v>3</v>
      </c>
      <c r="C17" s="6">
        <v>40.720502180612648</v>
      </c>
      <c r="D17" s="6">
        <v>39.884572948947927</v>
      </c>
      <c r="E17" s="6">
        <v>38.259754847688896</v>
      </c>
      <c r="F17" s="6">
        <v>36.87179517987407</v>
      </c>
      <c r="G17" s="6">
        <v>38.077414118674881</v>
      </c>
      <c r="H17" s="6">
        <v>33.266300894558505</v>
      </c>
      <c r="I17" s="6">
        <v>31.982619123421138</v>
      </c>
      <c r="J17" s="6">
        <v>30.112835301142546</v>
      </c>
      <c r="K17" s="6">
        <v>32.035296640661009</v>
      </c>
      <c r="L17" s="6">
        <v>29.728955613608704</v>
      </c>
      <c r="M17" s="6">
        <v>28.040752742758301</v>
      </c>
      <c r="N17" s="6">
        <v>29.898212878373982</v>
      </c>
      <c r="O17" s="6">
        <v>28.747681496538931</v>
      </c>
      <c r="P17" s="6">
        <v>25.971038985770313</v>
      </c>
      <c r="Q17" s="6">
        <v>24.598766669801623</v>
      </c>
      <c r="R17" s="6">
        <v>21.459668483640954</v>
      </c>
      <c r="S17" s="6">
        <v>21.307876923013456</v>
      </c>
      <c r="T17" s="6">
        <v>19.299526868229087</v>
      </c>
      <c r="U17" s="6">
        <v>17.691024770163661</v>
      </c>
      <c r="V17" s="6">
        <v>12.386693893833101</v>
      </c>
    </row>
    <row r="18" spans="2:22" x14ac:dyDescent="0.25">
      <c r="B18" s="3" t="s">
        <v>4</v>
      </c>
      <c r="C18" s="6">
        <v>40.720502180612648</v>
      </c>
      <c r="D18" s="6">
        <v>39.884572948947927</v>
      </c>
      <c r="E18" s="6">
        <v>38.259754847688896</v>
      </c>
      <c r="F18" s="6">
        <v>36.87179517987407</v>
      </c>
      <c r="G18" s="6">
        <v>38.077414118674881</v>
      </c>
      <c r="H18" s="6">
        <v>33.266300894558505</v>
      </c>
      <c r="I18" s="6">
        <v>31.982619123421138</v>
      </c>
      <c r="J18" s="6">
        <v>30.146269971605893</v>
      </c>
      <c r="K18" s="6">
        <v>32.090076718311167</v>
      </c>
      <c r="L18" s="6">
        <v>29.781802080908449</v>
      </c>
      <c r="M18" s="6">
        <v>28.021819450470712</v>
      </c>
      <c r="N18" s="6">
        <v>29.944133180571779</v>
      </c>
      <c r="O18" s="6">
        <v>28.85375245288111</v>
      </c>
      <c r="P18" s="6">
        <v>26.109136612168534</v>
      </c>
      <c r="Q18" s="6">
        <v>24.674453916888943</v>
      </c>
      <c r="R18" s="6">
        <v>21.51703706705127</v>
      </c>
      <c r="S18" s="6">
        <v>21.38683635279823</v>
      </c>
      <c r="T18" s="6">
        <v>19.424545154618315</v>
      </c>
      <c r="U18" s="6">
        <v>17.766123405268285</v>
      </c>
      <c r="V18" s="6">
        <v>12.472250623911501</v>
      </c>
    </row>
    <row r="19" spans="2:22" x14ac:dyDescent="0.25">
      <c r="B19" s="3" t="s">
        <v>5</v>
      </c>
      <c r="C19" s="6">
        <v>40.720502180612648</v>
      </c>
      <c r="D19" s="6">
        <v>39.884572948947927</v>
      </c>
      <c r="E19" s="6">
        <v>38.259754847688896</v>
      </c>
      <c r="F19" s="6">
        <v>36.701989323244689</v>
      </c>
      <c r="G19" s="6">
        <v>37.582298615167325</v>
      </c>
      <c r="H19" s="6">
        <v>32.7542219274413</v>
      </c>
      <c r="I19" s="6">
        <v>31.535528493452379</v>
      </c>
      <c r="J19" s="6">
        <v>29.797852227197794</v>
      </c>
      <c r="K19" s="6">
        <v>31.734941128634294</v>
      </c>
      <c r="L19" s="6">
        <v>29.385289658119742</v>
      </c>
      <c r="M19" s="6">
        <v>27.541014261985001</v>
      </c>
      <c r="N19" s="6">
        <v>29.311406510835614</v>
      </c>
      <c r="O19" s="6">
        <v>28.059539489438926</v>
      </c>
      <c r="P19" s="6">
        <v>24.861472190006982</v>
      </c>
      <c r="Q19" s="6">
        <v>23.382391993409062</v>
      </c>
      <c r="R19" s="6">
        <v>19.815889012796596</v>
      </c>
      <c r="S19" s="6">
        <v>19.305217909930313</v>
      </c>
      <c r="T19" s="6">
        <v>16.929071461423224</v>
      </c>
      <c r="U19" s="6">
        <v>14.548065868081773</v>
      </c>
      <c r="V19" s="6">
        <v>8.3141345599114391</v>
      </c>
    </row>
    <row r="20" spans="2:22" x14ac:dyDescent="0.25">
      <c r="B20" s="3" t="s">
        <v>6</v>
      </c>
      <c r="C20" s="6">
        <v>40.720502180612648</v>
      </c>
      <c r="D20" s="6">
        <v>39.884572948947927</v>
      </c>
      <c r="E20" s="6">
        <v>38.211619451443823</v>
      </c>
      <c r="F20" s="6">
        <v>36.547045444248738</v>
      </c>
      <c r="G20" s="6">
        <v>37.415014450061371</v>
      </c>
      <c r="H20" s="6">
        <v>32.629881208123166</v>
      </c>
      <c r="I20" s="6">
        <v>31.381747506611923</v>
      </c>
      <c r="J20" s="6">
        <v>29.691150550566057</v>
      </c>
      <c r="K20" s="6">
        <v>31.579536009979787</v>
      </c>
      <c r="L20" s="6">
        <v>29.239515009578977</v>
      </c>
      <c r="M20" s="6">
        <v>27.390135090196903</v>
      </c>
      <c r="N20" s="6">
        <v>29.231796319871162</v>
      </c>
      <c r="O20" s="6">
        <v>27.895418368466505</v>
      </c>
      <c r="P20" s="6">
        <v>24.732115353940408</v>
      </c>
      <c r="Q20" s="6">
        <v>23.230190317066036</v>
      </c>
      <c r="R20" s="6">
        <v>19.666344047140154</v>
      </c>
      <c r="S20" s="6">
        <v>19.17392779986756</v>
      </c>
      <c r="T20" s="6">
        <v>16.809935383413318</v>
      </c>
      <c r="U20" s="6">
        <v>14.311880302210341</v>
      </c>
      <c r="V20" s="6">
        <v>8.1162389502551076</v>
      </c>
    </row>
    <row r="21" spans="2:22" x14ac:dyDescent="0.25">
      <c r="B21" s="3" t="s">
        <v>7</v>
      </c>
      <c r="C21" s="6">
        <v>40.720502180612648</v>
      </c>
      <c r="D21" s="6">
        <v>39.884572948947927</v>
      </c>
      <c r="E21" s="6">
        <v>38.211532782328341</v>
      </c>
      <c r="F21" s="6">
        <v>36.421718681754491</v>
      </c>
      <c r="G21" s="6">
        <v>37.234478650091283</v>
      </c>
      <c r="H21" s="6">
        <v>32.47395024350174</v>
      </c>
      <c r="I21" s="6">
        <v>31.19267399118872</v>
      </c>
      <c r="J21" s="6">
        <v>29.426169995498519</v>
      </c>
      <c r="K21" s="6">
        <v>31.287121724455343</v>
      </c>
      <c r="L21" s="6">
        <v>29.024865158428469</v>
      </c>
      <c r="M21" s="6">
        <v>27.144884666079324</v>
      </c>
      <c r="N21" s="6">
        <v>29.005575449554069</v>
      </c>
      <c r="O21" s="6">
        <v>27.665191984679193</v>
      </c>
      <c r="P21" s="6">
        <v>24.33305179452389</v>
      </c>
      <c r="Q21" s="6">
        <v>22.931782227943511</v>
      </c>
      <c r="R21" s="6">
        <v>19.4251825838153</v>
      </c>
      <c r="S21" s="6">
        <v>18.909541288928548</v>
      </c>
      <c r="T21" s="6">
        <v>16.516645860777253</v>
      </c>
      <c r="U21" s="6">
        <v>14.167604665065371</v>
      </c>
      <c r="V21" s="6">
        <v>7.8454385302535252</v>
      </c>
    </row>
    <row r="24" spans="2:22" x14ac:dyDescent="0.25">
      <c r="B24" s="4" t="s">
        <v>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2:22" x14ac:dyDescent="0.25">
      <c r="B25" s="3"/>
      <c r="C25" s="3">
        <v>2016</v>
      </c>
      <c r="D25" s="3">
        <v>2017</v>
      </c>
      <c r="E25" s="3">
        <v>2018</v>
      </c>
      <c r="F25" s="3">
        <v>2019</v>
      </c>
      <c r="G25" s="3">
        <v>2020</v>
      </c>
      <c r="H25" s="3">
        <v>2021</v>
      </c>
      <c r="I25" s="3">
        <v>2022</v>
      </c>
      <c r="J25" s="3">
        <v>2023</v>
      </c>
      <c r="K25" s="3">
        <v>2024</v>
      </c>
      <c r="L25" s="3">
        <v>2025</v>
      </c>
      <c r="M25" s="3">
        <v>2026</v>
      </c>
      <c r="N25" s="3">
        <v>2027</v>
      </c>
      <c r="O25" s="3">
        <v>2028</v>
      </c>
      <c r="P25" s="3">
        <v>2029</v>
      </c>
      <c r="Q25" s="3">
        <v>2030</v>
      </c>
      <c r="R25" s="3">
        <v>2031</v>
      </c>
      <c r="S25" s="3">
        <v>2032</v>
      </c>
      <c r="T25" s="3">
        <v>2033</v>
      </c>
      <c r="U25" s="3">
        <v>2034</v>
      </c>
      <c r="V25" s="3">
        <v>2035</v>
      </c>
    </row>
    <row r="26" spans="2:22" x14ac:dyDescent="0.25">
      <c r="B26" s="3" t="s">
        <v>1</v>
      </c>
      <c r="C26" s="6">
        <v>90.857322870794135</v>
      </c>
      <c r="D26" s="6">
        <v>88.992161882316481</v>
      </c>
      <c r="E26" s="6">
        <v>85.366798369420309</v>
      </c>
      <c r="F26" s="6">
        <v>82.269923504985755</v>
      </c>
      <c r="G26" s="6">
        <v>84.959951950507261</v>
      </c>
      <c r="H26" s="6">
        <v>74.22519073286179</v>
      </c>
      <c r="I26" s="6">
        <v>71.360985163238198</v>
      </c>
      <c r="J26" s="6">
        <v>67.39454863013701</v>
      </c>
      <c r="K26" s="6">
        <v>71.779572018465828</v>
      </c>
      <c r="L26" s="6">
        <v>66.570880119412607</v>
      </c>
      <c r="M26" s="6">
        <v>62.645695257041098</v>
      </c>
      <c r="N26" s="6">
        <v>67.12117214647887</v>
      </c>
      <c r="O26" s="6">
        <v>64.471749381149991</v>
      </c>
      <c r="P26" s="6">
        <v>58.473026782935889</v>
      </c>
      <c r="Q26" s="6">
        <v>55.291821001290728</v>
      </c>
      <c r="R26" s="6">
        <v>48.258233464459622</v>
      </c>
      <c r="S26" s="6">
        <v>47.88165494222288</v>
      </c>
      <c r="T26" s="6">
        <v>43.543336678190968</v>
      </c>
      <c r="U26" s="6">
        <v>39.918575685580805</v>
      </c>
      <c r="V26" s="6">
        <v>28.183721696889208</v>
      </c>
    </row>
    <row r="27" spans="2:22" x14ac:dyDescent="0.25">
      <c r="B27" s="3" t="s">
        <v>2</v>
      </c>
      <c r="C27" s="6">
        <v>90.857322870794135</v>
      </c>
      <c r="D27" s="6">
        <v>88.992161882316481</v>
      </c>
      <c r="E27" s="6">
        <v>85.273693567716322</v>
      </c>
      <c r="F27" s="6">
        <v>81.968278380552007</v>
      </c>
      <c r="G27" s="6">
        <v>84.840241895822871</v>
      </c>
      <c r="H27" s="6">
        <v>74.092959867478442</v>
      </c>
      <c r="I27" s="6">
        <v>71.211920914045763</v>
      </c>
      <c r="J27" s="6">
        <v>66.980401048441408</v>
      </c>
      <c r="K27" s="6">
        <v>71.295003752576235</v>
      </c>
      <c r="L27" s="6">
        <v>66.254529325569848</v>
      </c>
      <c r="M27" s="6">
        <v>62.433420870178075</v>
      </c>
      <c r="N27" s="6">
        <v>66.8442776149938</v>
      </c>
      <c r="O27" s="6">
        <v>64.081154617103323</v>
      </c>
      <c r="P27" s="6">
        <v>57.853667360431714</v>
      </c>
      <c r="Q27" s="6">
        <v>54.848315537541382</v>
      </c>
      <c r="R27" s="6">
        <v>47.739062860234398</v>
      </c>
      <c r="S27" s="6">
        <v>47.335344927160357</v>
      </c>
      <c r="T27" s="6">
        <v>43.038049164901736</v>
      </c>
      <c r="U27" s="6">
        <v>39.149429064412075</v>
      </c>
      <c r="V27" s="6">
        <v>27.444160524237109</v>
      </c>
    </row>
    <row r="28" spans="2:22" x14ac:dyDescent="0.25">
      <c r="B28" s="3" t="s">
        <v>3</v>
      </c>
      <c r="C28" s="6">
        <v>90.857322870794135</v>
      </c>
      <c r="D28" s="6">
        <v>88.992161882316481</v>
      </c>
      <c r="E28" s="6">
        <v>85.366798369420309</v>
      </c>
      <c r="F28" s="6">
        <v>82.269923504985755</v>
      </c>
      <c r="G28" s="6">
        <v>84.959951950507261</v>
      </c>
      <c r="H28" s="6">
        <v>74.22519073286179</v>
      </c>
      <c r="I28" s="6">
        <v>71.360985163238198</v>
      </c>
      <c r="J28" s="6">
        <v>67.189043675732762</v>
      </c>
      <c r="K28" s="6">
        <v>71.478521488568035</v>
      </c>
      <c r="L28" s="6">
        <v>66.332514928638687</v>
      </c>
      <c r="M28" s="6">
        <v>62.565724611860993</v>
      </c>
      <c r="N28" s="6">
        <v>66.710168963571689</v>
      </c>
      <c r="O28" s="6">
        <v>64.143054226903786</v>
      </c>
      <c r="P28" s="6">
        <v>57.94769091879143</v>
      </c>
      <c r="Q28" s="6">
        <v>54.885818343507196</v>
      </c>
      <c r="R28" s="6">
        <v>47.88172845880743</v>
      </c>
      <c r="S28" s="6">
        <v>47.543044648577798</v>
      </c>
      <c r="T28" s="6">
        <v>43.061928267552467</v>
      </c>
      <c r="U28" s="6">
        <v>39.472969717530944</v>
      </c>
      <c r="V28" s="6">
        <v>27.637720218232221</v>
      </c>
    </row>
    <row r="29" spans="2:22" x14ac:dyDescent="0.25">
      <c r="B29" s="3" t="s">
        <v>4</v>
      </c>
      <c r="C29" s="6">
        <v>90.857322870794135</v>
      </c>
      <c r="D29" s="6">
        <v>88.992161882316481</v>
      </c>
      <c r="E29" s="6">
        <v>85.366798369420309</v>
      </c>
      <c r="F29" s="6">
        <v>82.269923504985755</v>
      </c>
      <c r="G29" s="6">
        <v>84.959951950507261</v>
      </c>
      <c r="H29" s="6">
        <v>74.22519073286179</v>
      </c>
      <c r="I29" s="6">
        <v>71.360985163238198</v>
      </c>
      <c r="J29" s="6">
        <v>67.263644539835383</v>
      </c>
      <c r="K29" s="6">
        <v>71.600749136446055</v>
      </c>
      <c r="L29" s="6">
        <v>66.450428222554805</v>
      </c>
      <c r="M29" s="6">
        <v>62.523479841824752</v>
      </c>
      <c r="N29" s="6">
        <v>66.812628302226301</v>
      </c>
      <c r="O29" s="6">
        <v>64.379724272986465</v>
      </c>
      <c r="P29" s="6">
        <v>58.255820238358787</v>
      </c>
      <c r="Q29" s="6">
        <v>55.054694960384687</v>
      </c>
      <c r="R29" s="6">
        <v>48.009731691243807</v>
      </c>
      <c r="S29" s="6">
        <v>47.719222299183102</v>
      </c>
      <c r="T29" s="6">
        <v>43.340874405319589</v>
      </c>
      <c r="U29" s="6">
        <v>39.640532998224117</v>
      </c>
      <c r="V29" s="6">
        <v>27.828618046899077</v>
      </c>
    </row>
    <row r="30" spans="2:22" x14ac:dyDescent="0.25">
      <c r="B30" s="3" t="s">
        <v>5</v>
      </c>
      <c r="C30" s="6">
        <v>90.857322870794135</v>
      </c>
      <c r="D30" s="6">
        <v>88.992161882316481</v>
      </c>
      <c r="E30" s="6">
        <v>85.366798369420309</v>
      </c>
      <c r="F30" s="6">
        <v>81.891045428465532</v>
      </c>
      <c r="G30" s="6">
        <v>83.855229102026783</v>
      </c>
      <c r="H30" s="6">
        <v>73.082618280185557</v>
      </c>
      <c r="I30" s="6">
        <v>70.363417462834974</v>
      </c>
      <c r="J30" s="6">
        <v>66.4862399941549</v>
      </c>
      <c r="K30" s="6">
        <v>70.808355447609287</v>
      </c>
      <c r="L30" s="6">
        <v>65.565712777253964</v>
      </c>
      <c r="M30" s="6">
        <v>61.450686779144938</v>
      </c>
      <c r="N30" s="6">
        <v>65.400861544876463</v>
      </c>
      <c r="O30" s="6">
        <v>62.607642403082778</v>
      </c>
      <c r="P30" s="6">
        <v>55.471978115392389</v>
      </c>
      <c r="Q30" s="6">
        <v>52.171791237096066</v>
      </c>
      <c r="R30" s="6">
        <v>44.214057528609622</v>
      </c>
      <c r="S30" s="6">
        <v>43.074626362753413</v>
      </c>
      <c r="T30" s="6">
        <v>37.772866966399846</v>
      </c>
      <c r="U30" s="6">
        <v>32.460265638649311</v>
      </c>
      <c r="V30" s="6">
        <v>18.550851970110358</v>
      </c>
    </row>
    <row r="31" spans="2:22" x14ac:dyDescent="0.25">
      <c r="B31" s="3" t="s">
        <v>6</v>
      </c>
      <c r="C31" s="6">
        <v>90.857322870794135</v>
      </c>
      <c r="D31" s="6">
        <v>88.992161882316481</v>
      </c>
      <c r="E31" s="6">
        <v>85.259396618362487</v>
      </c>
      <c r="F31" s="6">
        <v>81.545328030916096</v>
      </c>
      <c r="G31" s="6">
        <v>83.481977531287583</v>
      </c>
      <c r="H31" s="6">
        <v>72.805183958993581</v>
      </c>
      <c r="I31" s="6">
        <v>70.020294759908069</v>
      </c>
      <c r="J31" s="6">
        <v>66.248162658035994</v>
      </c>
      <c r="K31" s="6">
        <v>70.461608912442799</v>
      </c>
      <c r="L31" s="6">
        <v>65.240454158141176</v>
      </c>
      <c r="M31" s="6">
        <v>61.114038729844701</v>
      </c>
      <c r="N31" s="6">
        <v>65.223231888145307</v>
      </c>
      <c r="O31" s="6">
        <v>62.241448351448341</v>
      </c>
      <c r="P31" s="6">
        <v>55.183351620367453</v>
      </c>
      <c r="Q31" s="6">
        <v>51.832192359173618</v>
      </c>
      <c r="R31" s="6">
        <v>43.880386416989147</v>
      </c>
      <c r="S31" s="6">
        <v>42.781686264254503</v>
      </c>
      <c r="T31" s="6">
        <v>37.507045463086953</v>
      </c>
      <c r="U31" s="6">
        <v>31.933278321041549</v>
      </c>
      <c r="V31" s="6">
        <v>18.109298837452318</v>
      </c>
    </row>
    <row r="32" spans="2:22" x14ac:dyDescent="0.25">
      <c r="B32" s="3" t="s">
        <v>7</v>
      </c>
      <c r="C32" s="6">
        <v>90.857322870794135</v>
      </c>
      <c r="D32" s="6">
        <v>88.992161882316481</v>
      </c>
      <c r="E32" s="6">
        <v>85.25920323853201</v>
      </c>
      <c r="F32" s="6">
        <v>81.265693608094239</v>
      </c>
      <c r="G32" s="6">
        <v>83.0791583471119</v>
      </c>
      <c r="H32" s="6">
        <v>72.457264133856754</v>
      </c>
      <c r="I32" s="6">
        <v>69.598425860528437</v>
      </c>
      <c r="J32" s="6">
        <v>65.656926731242436</v>
      </c>
      <c r="K32" s="6">
        <v>69.809161675076041</v>
      </c>
      <c r="L32" s="6">
        <v>64.761518246603359</v>
      </c>
      <c r="M32" s="6">
        <v>60.56682551352884</v>
      </c>
      <c r="N32" s="6">
        <v>64.718478224662775</v>
      </c>
      <c r="O32" s="6">
        <v>61.727757415311068</v>
      </c>
      <c r="P32" s="6">
        <v>54.292943970111672</v>
      </c>
      <c r="Q32" s="6">
        <v>51.166371491336434</v>
      </c>
      <c r="R32" s="6">
        <v>43.342296664556486</v>
      </c>
      <c r="S32" s="6">
        <v>42.191775794080947</v>
      </c>
      <c r="T32" s="6">
        <v>36.852645359311879</v>
      </c>
      <c r="U32" s="6">
        <v>31.611364360149608</v>
      </c>
      <c r="V32" s="6">
        <v>17.505077379561143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V38"/>
  <sheetViews>
    <sheetView topLeftCell="A25" workbookViewId="0">
      <selection activeCell="E3" sqref="E3"/>
    </sheetView>
  </sheetViews>
  <sheetFormatPr defaultRowHeight="15" x14ac:dyDescent="0.25"/>
  <cols>
    <col min="2" max="2" width="23.5703125" customWidth="1"/>
  </cols>
  <sheetData>
    <row r="2" spans="2:22" x14ac:dyDescent="0.25">
      <c r="B2" s="20" t="s">
        <v>64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2:22" x14ac:dyDescent="0.25">
      <c r="B3" s="20" t="s">
        <v>65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2:22" x14ac:dyDescent="0.25">
      <c r="B4" s="20" t="s">
        <v>66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</row>
    <row r="5" spans="2:22" x14ac:dyDescent="0.25">
      <c r="B5" s="19"/>
      <c r="C5" s="20">
        <v>2017</v>
      </c>
      <c r="D5" s="20">
        <v>2018</v>
      </c>
      <c r="E5" s="20">
        <v>2019</v>
      </c>
      <c r="F5" s="20">
        <v>2020</v>
      </c>
      <c r="G5" s="20">
        <v>2021</v>
      </c>
      <c r="H5" s="20">
        <v>2022</v>
      </c>
      <c r="I5" s="20">
        <v>2023</v>
      </c>
      <c r="J5" s="20">
        <v>2024</v>
      </c>
      <c r="K5" s="20">
        <v>2025</v>
      </c>
      <c r="L5" s="20">
        <v>2026</v>
      </c>
      <c r="M5" s="20">
        <v>2027</v>
      </c>
      <c r="N5" s="20">
        <v>2028</v>
      </c>
      <c r="O5" s="20">
        <v>2029</v>
      </c>
      <c r="P5" s="20">
        <v>2030</v>
      </c>
      <c r="Q5" s="20">
        <v>2031</v>
      </c>
      <c r="R5" s="20">
        <v>2032</v>
      </c>
      <c r="S5" s="20">
        <v>2033</v>
      </c>
      <c r="T5" s="20">
        <v>2034</v>
      </c>
      <c r="U5" s="20">
        <v>2035</v>
      </c>
      <c r="V5" s="19"/>
    </row>
    <row r="6" spans="2:22" x14ac:dyDescent="0.25">
      <c r="B6" s="19" t="s">
        <v>1</v>
      </c>
      <c r="C6" s="22">
        <v>160.21813261808913</v>
      </c>
      <c r="D6" s="22">
        <v>162.76950298964928</v>
      </c>
      <c r="E6" s="22">
        <v>165.41420006702134</v>
      </c>
      <c r="F6" s="22">
        <v>175.94032368871547</v>
      </c>
      <c r="G6" s="22">
        <v>173.59593780473958</v>
      </c>
      <c r="H6" s="22">
        <v>176.91361421157205</v>
      </c>
      <c r="I6" s="22">
        <v>181.74631090333577</v>
      </c>
      <c r="J6" s="22">
        <v>184.45185686929372</v>
      </c>
      <c r="K6" s="22">
        <v>193.49858854932918</v>
      </c>
      <c r="L6" s="22">
        <v>188.45489333516903</v>
      </c>
      <c r="M6" s="22">
        <v>198.44338301910517</v>
      </c>
      <c r="N6" s="22">
        <v>198.85748134818064</v>
      </c>
      <c r="O6" s="22">
        <v>197.7162350799629</v>
      </c>
      <c r="P6" s="22">
        <v>199.85545053707497</v>
      </c>
      <c r="Q6" s="22">
        <v>202.42298557157022</v>
      </c>
      <c r="R6" s="22">
        <v>204.74964459598468</v>
      </c>
      <c r="S6" s="22">
        <v>206.70587849410711</v>
      </c>
      <c r="T6" s="22">
        <v>208.12189291901626</v>
      </c>
      <c r="U6" s="22">
        <v>204.59443129699886</v>
      </c>
      <c r="V6" s="19"/>
    </row>
    <row r="7" spans="2:22" x14ac:dyDescent="0.25">
      <c r="B7" s="19" t="s">
        <v>2</v>
      </c>
      <c r="C7" s="22">
        <v>160.21813261808913</v>
      </c>
      <c r="D7" s="22">
        <v>162.6847572993411</v>
      </c>
      <c r="E7" s="22">
        <v>165.22461990564619</v>
      </c>
      <c r="F7" s="22">
        <v>175.84152076100162</v>
      </c>
      <c r="G7" s="22">
        <v>173.50634605284108</v>
      </c>
      <c r="H7" s="22">
        <v>176.82831808257924</v>
      </c>
      <c r="I7" s="22">
        <v>181.5877524852344</v>
      </c>
      <c r="J7" s="22">
        <v>184.17934647511967</v>
      </c>
      <c r="K7" s="22">
        <v>193.39136697729251</v>
      </c>
      <c r="L7" s="22">
        <v>188.343340267977</v>
      </c>
      <c r="M7" s="22">
        <v>198.32192206965763</v>
      </c>
      <c r="N7" s="22">
        <v>198.71832482099086</v>
      </c>
      <c r="O7" s="22">
        <v>197.43851880301122</v>
      </c>
      <c r="P7" s="22">
        <v>199.72733127658398</v>
      </c>
      <c r="Q7" s="22">
        <v>202.18469282681244</v>
      </c>
      <c r="R7" s="22">
        <v>204.51041762832432</v>
      </c>
      <c r="S7" s="22">
        <v>206.50272634102535</v>
      </c>
      <c r="T7" s="22">
        <v>207.84489959931477</v>
      </c>
      <c r="U7" s="22">
        <v>204.35673430445976</v>
      </c>
      <c r="V7" s="19"/>
    </row>
    <row r="8" spans="2:22" x14ac:dyDescent="0.25">
      <c r="B8" s="19" t="s">
        <v>3</v>
      </c>
      <c r="C8" s="22">
        <v>160.21813261808913</v>
      </c>
      <c r="D8" s="22">
        <v>162.76950298964928</v>
      </c>
      <c r="E8" s="22">
        <v>165.41420006702134</v>
      </c>
      <c r="F8" s="22">
        <v>175.93913634995977</v>
      </c>
      <c r="G8" s="22">
        <v>173.59521544491813</v>
      </c>
      <c r="H8" s="22">
        <v>176.91285983413323</v>
      </c>
      <c r="I8" s="22">
        <v>181.62400566574021</v>
      </c>
      <c r="J8" s="22">
        <v>184.27346390503419</v>
      </c>
      <c r="K8" s="22">
        <v>193.40059926022687</v>
      </c>
      <c r="L8" s="22">
        <v>188.34673981076375</v>
      </c>
      <c r="M8" s="22">
        <v>198.30087601824903</v>
      </c>
      <c r="N8" s="22">
        <v>198.7304092484664</v>
      </c>
      <c r="O8" s="22">
        <v>197.50537476437415</v>
      </c>
      <c r="P8" s="22">
        <v>199.74140225073614</v>
      </c>
      <c r="Q8" s="22">
        <v>202.23608967519249</v>
      </c>
      <c r="R8" s="22">
        <v>204.56887182590933</v>
      </c>
      <c r="S8" s="22">
        <v>206.53005862045072</v>
      </c>
      <c r="T8" s="22">
        <v>207.93290009161953</v>
      </c>
      <c r="U8" s="22">
        <v>204.40973222330072</v>
      </c>
      <c r="V8" s="19"/>
    </row>
    <row r="9" spans="2:22" x14ac:dyDescent="0.25">
      <c r="B9" s="19" t="s">
        <v>4</v>
      </c>
      <c r="C9" s="22">
        <v>160.21813261808913</v>
      </c>
      <c r="D9" s="22">
        <v>162.76950298964928</v>
      </c>
      <c r="E9" s="22">
        <v>165.41420006702134</v>
      </c>
      <c r="F9" s="22">
        <v>175.94032368871547</v>
      </c>
      <c r="G9" s="22">
        <v>173.59593780473958</v>
      </c>
      <c r="H9" s="22">
        <v>176.91361421157205</v>
      </c>
      <c r="I9" s="22">
        <v>181.69299348776499</v>
      </c>
      <c r="J9" s="22">
        <v>184.37544537674918</v>
      </c>
      <c r="K9" s="22">
        <v>193.44727309300356</v>
      </c>
      <c r="L9" s="22">
        <v>188.39055988566298</v>
      </c>
      <c r="M9" s="22">
        <v>198.36766203505582</v>
      </c>
      <c r="N9" s="22">
        <v>198.80987935317884</v>
      </c>
      <c r="O9" s="22">
        <v>197.60476119078174</v>
      </c>
      <c r="P9" s="22">
        <v>199.80764194445237</v>
      </c>
      <c r="Q9" s="22">
        <v>202.31458863902546</v>
      </c>
      <c r="R9" s="22">
        <v>204.65455272766226</v>
      </c>
      <c r="S9" s="22">
        <v>206.61870506358696</v>
      </c>
      <c r="T9" s="22">
        <v>208.01189591494176</v>
      </c>
      <c r="U9" s="22">
        <v>204.47558223919546</v>
      </c>
      <c r="V9" s="19"/>
    </row>
    <row r="10" spans="2:22" x14ac:dyDescent="0.25">
      <c r="B10" s="19" t="s">
        <v>5</v>
      </c>
      <c r="C10" s="22">
        <v>160.21813261808913</v>
      </c>
      <c r="D10" s="22">
        <v>162.76950298964928</v>
      </c>
      <c r="E10" s="22">
        <v>165.21720031830958</v>
      </c>
      <c r="F10" s="22">
        <v>175.22482900096799</v>
      </c>
      <c r="G10" s="22">
        <v>173.0462781183989</v>
      </c>
      <c r="H10" s="22">
        <v>176.45624620094651</v>
      </c>
      <c r="I10" s="22">
        <v>181.44621228309882</v>
      </c>
      <c r="J10" s="22">
        <v>183.929087885515</v>
      </c>
      <c r="K10" s="22">
        <v>193.06731723926492</v>
      </c>
      <c r="L10" s="22">
        <v>187.65673620051138</v>
      </c>
      <c r="M10" s="22">
        <v>197.24670065408429</v>
      </c>
      <c r="N10" s="22">
        <v>197.41968986718757</v>
      </c>
      <c r="O10" s="22">
        <v>195.27341561388528</v>
      </c>
      <c r="P10" s="22">
        <v>197.11432106437877</v>
      </c>
      <c r="Q10" s="22">
        <v>198.44548543238085</v>
      </c>
      <c r="R10" s="22">
        <v>199.67660600455585</v>
      </c>
      <c r="S10" s="22">
        <v>200.62999837038706</v>
      </c>
      <c r="T10" s="22">
        <v>199.58552801045312</v>
      </c>
      <c r="U10" s="22">
        <v>193.56306116405941</v>
      </c>
      <c r="V10" s="19"/>
    </row>
    <row r="11" spans="2:22" x14ac:dyDescent="0.25">
      <c r="B11" s="19" t="s">
        <v>6</v>
      </c>
      <c r="C11" s="22">
        <v>160.21813261808913</v>
      </c>
      <c r="D11" s="22">
        <v>162.67467716929573</v>
      </c>
      <c r="E11" s="22">
        <v>164.99272105889048</v>
      </c>
      <c r="F11" s="22">
        <v>174.96626381811197</v>
      </c>
      <c r="G11" s="22">
        <v>172.80954363718416</v>
      </c>
      <c r="H11" s="22">
        <v>176.20763586781968</v>
      </c>
      <c r="I11" s="22">
        <v>181.22579568459869</v>
      </c>
      <c r="J11" s="22">
        <v>183.64666409782882</v>
      </c>
      <c r="K11" s="22">
        <v>192.8403706544868</v>
      </c>
      <c r="L11" s="22">
        <v>187.43220780832681</v>
      </c>
      <c r="M11" s="22">
        <v>197.03622308868069</v>
      </c>
      <c r="N11" s="22">
        <v>197.1943176973092</v>
      </c>
      <c r="O11" s="22">
        <v>195.01516817178356</v>
      </c>
      <c r="P11" s="22">
        <v>196.89751918326778</v>
      </c>
      <c r="Q11" s="22">
        <v>198.19675593295594</v>
      </c>
      <c r="R11" s="22">
        <v>199.43385748883213</v>
      </c>
      <c r="S11" s="22">
        <v>200.39044609960848</v>
      </c>
      <c r="T11" s="22">
        <v>199.29033026474178</v>
      </c>
      <c r="U11" s="22">
        <v>193.3131491565702</v>
      </c>
      <c r="V11" s="19"/>
    </row>
    <row r="12" spans="2:22" x14ac:dyDescent="0.25">
      <c r="B12" s="19" t="s">
        <v>7</v>
      </c>
      <c r="C12" s="22">
        <v>160.21813261808913</v>
      </c>
      <c r="D12" s="22">
        <v>162.67453199073753</v>
      </c>
      <c r="E12" s="22">
        <v>164.75486249574053</v>
      </c>
      <c r="F12" s="22">
        <v>174.67291322038031</v>
      </c>
      <c r="G12" s="22">
        <v>172.52748595966892</v>
      </c>
      <c r="H12" s="22">
        <v>175.92045377242778</v>
      </c>
      <c r="I12" s="22">
        <v>180.83899735775725</v>
      </c>
      <c r="J12" s="22">
        <v>183.09506426995995</v>
      </c>
      <c r="K12" s="22">
        <v>192.50268595498753</v>
      </c>
      <c r="L12" s="22">
        <v>187.07596734126747</v>
      </c>
      <c r="M12" s="22">
        <v>196.66124267091018</v>
      </c>
      <c r="N12" s="22">
        <v>196.90416515608251</v>
      </c>
      <c r="O12" s="22">
        <v>194.49926468461058</v>
      </c>
      <c r="P12" s="22">
        <v>196.54479605604044</v>
      </c>
      <c r="Q12" s="22">
        <v>198.03749128638225</v>
      </c>
      <c r="R12" s="22">
        <v>198.99841273106543</v>
      </c>
      <c r="S12" s="22">
        <v>199.96077794188318</v>
      </c>
      <c r="T12" s="22">
        <v>198.89335297658272</v>
      </c>
      <c r="U12" s="22">
        <v>192.92342062348916</v>
      </c>
      <c r="V12" s="19"/>
    </row>
    <row r="14" spans="2:22" x14ac:dyDescent="0.25">
      <c r="B14" s="20" t="s">
        <v>67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0" t="s">
        <v>68</v>
      </c>
    </row>
    <row r="15" spans="2:22" x14ac:dyDescent="0.25">
      <c r="B15" s="19" t="s">
        <v>58</v>
      </c>
      <c r="C15" s="22">
        <v>0</v>
      </c>
      <c r="D15" s="22">
        <v>-9.4970998911747984E-2</v>
      </c>
      <c r="E15" s="22">
        <v>-0.65933757128081538</v>
      </c>
      <c r="F15" s="22">
        <v>-1.2674104683351572</v>
      </c>
      <c r="G15" s="22">
        <v>-1.0684518450706548</v>
      </c>
      <c r="H15" s="22">
        <v>-0.9931604391442761</v>
      </c>
      <c r="I15" s="22">
        <v>-0.90731354557851773</v>
      </c>
      <c r="J15" s="22">
        <v>-1.3567925993337724</v>
      </c>
      <c r="K15" s="22">
        <v>-0.99590259434165773</v>
      </c>
      <c r="L15" s="22">
        <v>-1.3789259939015608</v>
      </c>
      <c r="M15" s="22">
        <v>-1.7821403481949858</v>
      </c>
      <c r="N15" s="22">
        <v>-1.9533161920981286</v>
      </c>
      <c r="O15" s="22">
        <v>-3.2169703953523197</v>
      </c>
      <c r="P15" s="22">
        <v>-3.3106544810345326</v>
      </c>
      <c r="Q15" s="22">
        <v>-4.3854942851879741</v>
      </c>
      <c r="R15" s="22">
        <v>-5.751231864919248</v>
      </c>
      <c r="S15" s="22">
        <v>-6.7451005522239313</v>
      </c>
      <c r="T15" s="22">
        <v>-9.2285399424335424</v>
      </c>
      <c r="U15" s="22">
        <v>-11.671010673509699</v>
      </c>
      <c r="V15" s="19" t="s">
        <v>69</v>
      </c>
    </row>
    <row r="16" spans="2:22" x14ac:dyDescent="0.25">
      <c r="B16" s="19" t="s">
        <v>70</v>
      </c>
      <c r="C16" s="22">
        <v>0</v>
      </c>
      <c r="D16" s="22">
        <v>-8.474569030818202E-2</v>
      </c>
      <c r="E16" s="22">
        <v>-0.18958016137514733</v>
      </c>
      <c r="F16" s="22">
        <v>-9.8802927713848021E-2</v>
      </c>
      <c r="G16" s="22">
        <v>-8.9591751898495886E-2</v>
      </c>
      <c r="H16" s="22">
        <v>-8.5296128992808917E-2</v>
      </c>
      <c r="I16" s="22">
        <v>-0.1585584181013644</v>
      </c>
      <c r="J16" s="22">
        <v>-0.27251039417404854</v>
      </c>
      <c r="K16" s="22">
        <v>-0.10722157203667848</v>
      </c>
      <c r="L16" s="22">
        <v>-0.11155306719203395</v>
      </c>
      <c r="M16" s="22">
        <v>-0.12146094944753827</v>
      </c>
      <c r="N16" s="22">
        <v>-0.13915652718978322</v>
      </c>
      <c r="O16" s="22">
        <v>-0.27771627695167922</v>
      </c>
      <c r="P16" s="22">
        <v>-0.12811926049099043</v>
      </c>
      <c r="Q16" s="22">
        <v>-0.23829274475778561</v>
      </c>
      <c r="R16" s="22">
        <v>-0.23922696766035756</v>
      </c>
      <c r="S16" s="22">
        <v>-0.20315215308175993</v>
      </c>
      <c r="T16" s="22">
        <v>-0.27699331970148933</v>
      </c>
      <c r="U16" s="22">
        <v>-0.23769699253909948</v>
      </c>
      <c r="V16" s="19" t="s">
        <v>71</v>
      </c>
    </row>
    <row r="17" spans="2:22" x14ac:dyDescent="0.25">
      <c r="B17" s="19" t="s">
        <v>72</v>
      </c>
      <c r="C17" s="22">
        <v>0</v>
      </c>
      <c r="D17" s="22">
        <v>0</v>
      </c>
      <c r="E17" s="22">
        <v>0</v>
      </c>
      <c r="F17" s="22">
        <v>-1.1873387556988746E-3</v>
      </c>
      <c r="G17" s="22">
        <v>-7.2235982145230082E-4</v>
      </c>
      <c r="H17" s="22">
        <v>-7.5437743882389441E-4</v>
      </c>
      <c r="I17" s="22">
        <v>-0.12230523759555467</v>
      </c>
      <c r="J17" s="22">
        <v>-0.17839296425952966</v>
      </c>
      <c r="K17" s="22">
        <v>-9.7989289102315524E-2</v>
      </c>
      <c r="L17" s="22">
        <v>-0.10815352440528159</v>
      </c>
      <c r="M17" s="22">
        <v>-0.14250700085614199</v>
      </c>
      <c r="N17" s="22">
        <v>-0.12707209971424049</v>
      </c>
      <c r="O17" s="22">
        <v>-0.21086031558874652</v>
      </c>
      <c r="P17" s="22">
        <v>-0.11404828633882858</v>
      </c>
      <c r="Q17" s="22">
        <v>-0.18689589637773452</v>
      </c>
      <c r="R17" s="22">
        <v>-0.18077277007535031</v>
      </c>
      <c r="S17" s="22">
        <v>-0.17581987365639407</v>
      </c>
      <c r="T17" s="22">
        <v>-0.1889928273967314</v>
      </c>
      <c r="U17" s="22">
        <v>-0.18469907369814109</v>
      </c>
      <c r="V17" s="19" t="s">
        <v>73</v>
      </c>
    </row>
    <row r="18" spans="2:22" x14ac:dyDescent="0.25">
      <c r="B18" s="19" t="s">
        <v>74</v>
      </c>
      <c r="C18" s="22">
        <v>0</v>
      </c>
      <c r="D18" s="22">
        <v>-8.474569030818202E-2</v>
      </c>
      <c r="E18" s="22">
        <v>-0.18958016137514733</v>
      </c>
      <c r="F18" s="22">
        <v>-9.7615588958149146E-2</v>
      </c>
      <c r="G18" s="22">
        <v>-8.8869392077043585E-2</v>
      </c>
      <c r="H18" s="22">
        <v>-8.4541751553985023E-2</v>
      </c>
      <c r="I18" s="22">
        <v>-3.6253180505809723E-2</v>
      </c>
      <c r="J18" s="22">
        <v>-9.411742991451888E-2</v>
      </c>
      <c r="K18" s="22">
        <v>-9.2322829343629564E-3</v>
      </c>
      <c r="L18" s="22">
        <v>-3.3995427867523631E-3</v>
      </c>
      <c r="M18" s="22">
        <v>2.1046051408603716E-2</v>
      </c>
      <c r="N18" s="22">
        <v>-1.2084427475542725E-2</v>
      </c>
      <c r="O18" s="22">
        <v>-6.6855961362932703E-2</v>
      </c>
      <c r="P18" s="22">
        <v>-1.4070974152161853E-2</v>
      </c>
      <c r="Q18" s="22">
        <v>-5.1396848380051097E-2</v>
      </c>
      <c r="R18" s="22">
        <v>-5.845419758500725E-2</v>
      </c>
      <c r="S18" s="22">
        <v>-2.7332279425365869E-2</v>
      </c>
      <c r="T18" s="22">
        <v>-8.8000492304757927E-2</v>
      </c>
      <c r="U18" s="22">
        <v>-5.2997918840958391E-2</v>
      </c>
      <c r="V18" s="19" t="s">
        <v>25</v>
      </c>
    </row>
    <row r="19" spans="2:22" x14ac:dyDescent="0.25">
      <c r="B19" s="19" t="s">
        <v>56</v>
      </c>
      <c r="C19" s="22">
        <v>0</v>
      </c>
      <c r="D19" s="22">
        <v>0</v>
      </c>
      <c r="E19" s="22">
        <v>-0.19699974871176096</v>
      </c>
      <c r="F19" s="22">
        <v>-0.71549468774747993</v>
      </c>
      <c r="G19" s="22">
        <v>-0.54965968634067508</v>
      </c>
      <c r="H19" s="22">
        <v>-0.45736801062554377</v>
      </c>
      <c r="I19" s="22">
        <v>-0.30009862023695177</v>
      </c>
      <c r="J19" s="22">
        <v>-0.52276898377871817</v>
      </c>
      <c r="K19" s="22">
        <v>-0.43127131006426112</v>
      </c>
      <c r="L19" s="22">
        <v>-0.79815713465765725</v>
      </c>
      <c r="M19" s="22">
        <v>-1.1966823650208767</v>
      </c>
      <c r="N19" s="22">
        <v>-1.4377914809930701</v>
      </c>
      <c r="O19" s="22">
        <v>-2.4428194660776228</v>
      </c>
      <c r="P19" s="22">
        <v>-2.7411294726962012</v>
      </c>
      <c r="Q19" s="22">
        <v>-3.9775001391893738</v>
      </c>
      <c r="R19" s="22">
        <v>-5.0730385914288263</v>
      </c>
      <c r="S19" s="22">
        <v>-6.0758801237200544</v>
      </c>
      <c r="T19" s="22">
        <v>-8.5363649085631437</v>
      </c>
      <c r="U19" s="22">
        <v>-11.031370132939458</v>
      </c>
      <c r="V19" s="19" t="s">
        <v>38</v>
      </c>
    </row>
    <row r="20" spans="2:22" x14ac:dyDescent="0.25">
      <c r="B20" s="19" t="s">
        <v>75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-5.3317415570774074E-2</v>
      </c>
      <c r="J20" s="22">
        <v>-7.6411492544536941E-2</v>
      </c>
      <c r="K20" s="22">
        <v>-5.1315456325625064E-2</v>
      </c>
      <c r="L20" s="22">
        <v>-6.4333449506051466E-2</v>
      </c>
      <c r="M20" s="22">
        <v>-7.5720984049354456E-2</v>
      </c>
      <c r="N20" s="22">
        <v>-4.7601995001798514E-2</v>
      </c>
      <c r="O20" s="22">
        <v>-0.11147388918115553</v>
      </c>
      <c r="P20" s="22">
        <v>-4.7808592622601509E-2</v>
      </c>
      <c r="Q20" s="22">
        <v>-0.10839693254476401</v>
      </c>
      <c r="R20" s="22">
        <v>-9.509186832241312E-2</v>
      </c>
      <c r="S20" s="22">
        <v>-8.7173430520152806E-2</v>
      </c>
      <c r="T20" s="22">
        <v>-0.10999700407450064</v>
      </c>
      <c r="U20" s="22">
        <v>-0.11884905780340205</v>
      </c>
      <c r="V20" s="19" t="s">
        <v>30</v>
      </c>
    </row>
    <row r="21" spans="2:22" x14ac:dyDescent="0.25">
      <c r="B21" s="19" t="s">
        <v>76</v>
      </c>
      <c r="C21" s="22">
        <v>0</v>
      </c>
      <c r="D21" s="22">
        <v>0</v>
      </c>
      <c r="E21" s="22">
        <v>0</v>
      </c>
      <c r="F21" s="22">
        <v>-1.1873387556988746E-3</v>
      </c>
      <c r="G21" s="22">
        <v>-7.2235982145230082E-4</v>
      </c>
      <c r="H21" s="22">
        <v>-7.5437743882389441E-4</v>
      </c>
      <c r="I21" s="22">
        <v>-6.8987822024780598E-2</v>
      </c>
      <c r="J21" s="22">
        <v>-0.10198147171499272</v>
      </c>
      <c r="K21" s="22">
        <v>-4.667383277669046E-2</v>
      </c>
      <c r="L21" s="22">
        <v>-4.3820074899230121E-2</v>
      </c>
      <c r="M21" s="22">
        <v>-6.6786016806787529E-2</v>
      </c>
      <c r="N21" s="22">
        <v>-7.947010471244198E-2</v>
      </c>
      <c r="O21" s="22">
        <v>-9.9386426407590989E-2</v>
      </c>
      <c r="P21" s="22">
        <v>-6.6239693716227066E-2</v>
      </c>
      <c r="Q21" s="22">
        <v>-7.8498963832970503E-2</v>
      </c>
      <c r="R21" s="22">
        <v>-8.5680901752937189E-2</v>
      </c>
      <c r="S21" s="22">
        <v>-8.864644313624126E-2</v>
      </c>
      <c r="T21" s="22">
        <v>-7.8995823322230763E-2</v>
      </c>
      <c r="U21" s="22">
        <v>-6.5850015894739045E-2</v>
      </c>
      <c r="V21" s="19" t="s">
        <v>77</v>
      </c>
    </row>
    <row r="22" spans="2:22" x14ac:dyDescent="0.25">
      <c r="B22" s="19" t="s">
        <v>78</v>
      </c>
      <c r="C22" s="22">
        <v>0</v>
      </c>
      <c r="D22" s="22">
        <v>-9.4825820353548806E-2</v>
      </c>
      <c r="E22" s="22">
        <v>-0.42147900813085926</v>
      </c>
      <c r="F22" s="22">
        <v>-0.9740598706034973</v>
      </c>
      <c r="G22" s="22">
        <v>-0.78639416755541447</v>
      </c>
      <c r="H22" s="22">
        <v>-0.70597834375237767</v>
      </c>
      <c r="I22" s="22">
        <v>-0.52051521873707429</v>
      </c>
      <c r="J22" s="22">
        <v>-0.80519277146490253</v>
      </c>
      <c r="K22" s="22">
        <v>-0.65821789484238025</v>
      </c>
      <c r="L22" s="22">
        <v>-1.0226855268422241</v>
      </c>
      <c r="M22" s="22">
        <v>-1.4071599304244842</v>
      </c>
      <c r="N22" s="22">
        <v>-1.6631636508714394</v>
      </c>
      <c r="O22" s="22">
        <v>-2.7010669081793424</v>
      </c>
      <c r="P22" s="22">
        <v>-2.9579313538071972</v>
      </c>
      <c r="Q22" s="22">
        <v>-4.226229638614285</v>
      </c>
      <c r="R22" s="22">
        <v>-5.3157871071525449</v>
      </c>
      <c r="S22" s="22">
        <v>-6.3154323944986288</v>
      </c>
      <c r="T22" s="22">
        <v>-8.8315626542744781</v>
      </c>
      <c r="U22" s="22">
        <v>-11.281282140428658</v>
      </c>
      <c r="V22" s="19" t="s">
        <v>79</v>
      </c>
    </row>
    <row r="23" spans="2:22" x14ac:dyDescent="0.25">
      <c r="B23" s="19" t="s">
        <v>54</v>
      </c>
      <c r="C23" s="22">
        <v>0</v>
      </c>
      <c r="D23" s="22">
        <v>-9.4825820353548806E-2</v>
      </c>
      <c r="E23" s="22">
        <v>-0.2244792594190983</v>
      </c>
      <c r="F23" s="22">
        <v>-0.25856518285601737</v>
      </c>
      <c r="G23" s="22">
        <v>-0.23673448121473939</v>
      </c>
      <c r="H23" s="22">
        <v>-0.24861033312683389</v>
      </c>
      <c r="I23" s="22">
        <v>-0.22041659850012252</v>
      </c>
      <c r="J23" s="22">
        <v>-0.28242378768618437</v>
      </c>
      <c r="K23" s="22">
        <v>-0.22694658477811913</v>
      </c>
      <c r="L23" s="22">
        <v>-0.22452839218456688</v>
      </c>
      <c r="M23" s="22">
        <v>-0.21047756540360751</v>
      </c>
      <c r="N23" s="22">
        <v>-0.22537216987836928</v>
      </c>
      <c r="O23" s="22">
        <v>-0.25824744210171957</v>
      </c>
      <c r="P23" s="22">
        <v>-0.21680188111099596</v>
      </c>
      <c r="Q23" s="22">
        <v>-0.24872949942491118</v>
      </c>
      <c r="R23" s="22">
        <v>-0.24274851572371858</v>
      </c>
      <c r="S23" s="22">
        <v>-0.23955227077857444</v>
      </c>
      <c r="T23" s="22">
        <v>-0.29519774571133439</v>
      </c>
      <c r="U23" s="22">
        <v>-0.24991200748920051</v>
      </c>
      <c r="V23" s="19" t="s">
        <v>80</v>
      </c>
    </row>
    <row r="28" spans="2:22" x14ac:dyDescent="0.25">
      <c r="B28" s="131"/>
      <c r="C28" s="132" t="s">
        <v>215</v>
      </c>
      <c r="D28" s="132">
        <v>2017</v>
      </c>
      <c r="E28" s="132">
        <v>2018</v>
      </c>
      <c r="F28" s="132">
        <v>2019</v>
      </c>
      <c r="G28" s="132">
        <v>2020</v>
      </c>
      <c r="H28" s="132">
        <v>2021</v>
      </c>
      <c r="I28" s="132">
        <v>2022</v>
      </c>
      <c r="J28" s="132">
        <v>2023</v>
      </c>
      <c r="K28" s="132">
        <v>2024</v>
      </c>
      <c r="L28" s="132">
        <v>2025</v>
      </c>
      <c r="M28" s="132">
        <v>2026</v>
      </c>
      <c r="N28" s="132">
        <v>2027</v>
      </c>
      <c r="O28" s="132">
        <v>2028</v>
      </c>
      <c r="P28" s="132">
        <v>2029</v>
      </c>
      <c r="Q28" s="132">
        <v>2030</v>
      </c>
      <c r="R28" s="132">
        <v>2031</v>
      </c>
      <c r="S28" s="132">
        <v>2032</v>
      </c>
      <c r="T28" s="132">
        <v>2033</v>
      </c>
      <c r="U28" s="132">
        <v>2034</v>
      </c>
      <c r="V28" s="132">
        <v>2035</v>
      </c>
    </row>
    <row r="29" spans="2:22" x14ac:dyDescent="0.25">
      <c r="B29" s="133" t="s">
        <v>139</v>
      </c>
      <c r="C29" s="134">
        <v>36.423125000000006</v>
      </c>
      <c r="D29" s="135">
        <v>38.019490441326525</v>
      </c>
      <c r="E29" s="135">
        <v>39.633948873778159</v>
      </c>
      <c r="F29" s="135">
        <v>41.222656913227944</v>
      </c>
      <c r="G29" s="135">
        <v>42.797942445043994</v>
      </c>
      <c r="H29" s="135">
        <v>44.378402452287126</v>
      </c>
      <c r="I29" s="135">
        <v>45.663424001077992</v>
      </c>
      <c r="J29" s="135">
        <v>47.20969863928029</v>
      </c>
      <c r="K29" s="135">
        <v>48.613297230773959</v>
      </c>
      <c r="L29" s="135">
        <v>50.156746064658435</v>
      </c>
      <c r="M29" s="135">
        <v>51.723075701534697</v>
      </c>
      <c r="N29" s="135">
        <v>53.122695719172505</v>
      </c>
      <c r="O29" s="135">
        <v>54.384363899507314</v>
      </c>
      <c r="P29" s="135">
        <v>55.889720282029714</v>
      </c>
      <c r="Q29" s="135">
        <v>57.318515399600869</v>
      </c>
      <c r="R29" s="135">
        <v>58.811186536566751</v>
      </c>
      <c r="S29" s="135">
        <v>60.139183771962621</v>
      </c>
      <c r="T29" s="135">
        <v>61.357628662343842</v>
      </c>
      <c r="U29" s="135">
        <v>62.396013016676662</v>
      </c>
      <c r="V29" s="135">
        <v>63.351270708220362</v>
      </c>
    </row>
    <row r="30" spans="2:22" x14ac:dyDescent="0.25">
      <c r="B30" s="133" t="s">
        <v>140</v>
      </c>
      <c r="C30" s="134">
        <v>12.579603000000001</v>
      </c>
      <c r="D30" s="135">
        <v>12.87543763409634</v>
      </c>
      <c r="E30" s="135">
        <v>13.17460191544199</v>
      </c>
      <c r="F30" s="135">
        <v>13.554244285511553</v>
      </c>
      <c r="G30" s="135">
        <v>14.421014606369811</v>
      </c>
      <c r="H30" s="135">
        <v>14.674721300242917</v>
      </c>
      <c r="I30" s="135">
        <v>15.31729361035462</v>
      </c>
      <c r="J30" s="135">
        <v>15.590242974842385</v>
      </c>
      <c r="K30" s="135">
        <v>15.851152264216555</v>
      </c>
      <c r="L30" s="135">
        <v>16.223316986623075</v>
      </c>
      <c r="M30" s="135">
        <v>16.611139070056499</v>
      </c>
      <c r="N30" s="135">
        <v>16.967627242461692</v>
      </c>
      <c r="O30" s="135">
        <v>17.271405528682731</v>
      </c>
      <c r="P30" s="135">
        <v>17.619326237574821</v>
      </c>
      <c r="Q30" s="135">
        <v>17.947256160451698</v>
      </c>
      <c r="R30" s="135">
        <v>18.286908029629632</v>
      </c>
      <c r="S30" s="135">
        <v>18.602231008437382</v>
      </c>
      <c r="T30" s="135">
        <v>19.707611229658397</v>
      </c>
      <c r="U30" s="135">
        <v>19.959054480060974</v>
      </c>
      <c r="V30" s="135">
        <v>20.193241690896784</v>
      </c>
    </row>
    <row r="31" spans="2:22" ht="39" x14ac:dyDescent="0.25">
      <c r="B31" s="136" t="s">
        <v>216</v>
      </c>
      <c r="C31" s="134">
        <v>4.8608350000000007</v>
      </c>
      <c r="D31" s="135">
        <v>5.7197934015309295</v>
      </c>
      <c r="E31" s="135">
        <v>5.890857807562174</v>
      </c>
      <c r="F31" s="135">
        <v>5.988401726565173</v>
      </c>
      <c r="G31" s="135">
        <v>6.2099401284600679</v>
      </c>
      <c r="H31" s="135">
        <v>6.4982016609414597</v>
      </c>
      <c r="I31" s="135">
        <v>6.6977031698709482</v>
      </c>
      <c r="J31" s="135">
        <v>7.0726113830216883</v>
      </c>
      <c r="K31" s="135">
        <v>7.1325520282674848</v>
      </c>
      <c r="L31" s="135">
        <v>7.7477683705247982</v>
      </c>
      <c r="M31" s="135">
        <v>7.8473584212751524</v>
      </c>
      <c r="N31" s="135">
        <v>8.0359435654958773</v>
      </c>
      <c r="O31" s="135">
        <v>8.159876520001756</v>
      </c>
      <c r="P31" s="135">
        <v>8.3390633220130912</v>
      </c>
      <c r="Q31" s="135">
        <v>8.4828591233886108</v>
      </c>
      <c r="R31" s="135">
        <v>8.7812344340902087</v>
      </c>
      <c r="S31" s="135">
        <v>8.8024877471644665</v>
      </c>
      <c r="T31" s="135">
        <v>8.9793972692781328</v>
      </c>
      <c r="U31" s="135">
        <v>9.0986949792503182</v>
      </c>
      <c r="V31" s="135">
        <v>9.3562878207677933</v>
      </c>
    </row>
    <row r="32" spans="2:22" x14ac:dyDescent="0.25">
      <c r="B32" s="133" t="s">
        <v>142</v>
      </c>
      <c r="C32" s="134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</row>
    <row r="33" spans="2:22" x14ac:dyDescent="0.25">
      <c r="B33" s="133" t="s">
        <v>153</v>
      </c>
      <c r="C33" s="134">
        <v>90.815939999999998</v>
      </c>
      <c r="D33" s="135">
        <v>95.973976254559659</v>
      </c>
      <c r="E33" s="135">
        <v>96.319165679074146</v>
      </c>
      <c r="F33" s="135">
        <v>96.772030471858528</v>
      </c>
      <c r="G33" s="135">
        <v>104.13331585699798</v>
      </c>
      <c r="H33" s="135">
        <v>99.778139162470922</v>
      </c>
      <c r="I33" s="135">
        <v>100.81073561066982</v>
      </c>
      <c r="J33" s="135">
        <v>103.2191716726992</v>
      </c>
      <c r="K33" s="135">
        <v>104.07143359035507</v>
      </c>
      <c r="L33" s="135">
        <v>110.15653862517387</v>
      </c>
      <c r="M33" s="135">
        <v>103.29927760253274</v>
      </c>
      <c r="N33" s="135">
        <v>110.86743158630344</v>
      </c>
      <c r="O33" s="135">
        <v>109.57243152626597</v>
      </c>
      <c r="P33" s="135">
        <v>106.45306642501369</v>
      </c>
      <c r="Q33" s="135">
        <v>106.58989363758259</v>
      </c>
      <c r="R33" s="135">
        <v>106.90446678216125</v>
      </c>
      <c r="S33" s="135">
        <v>107.45575899242095</v>
      </c>
      <c r="T33" s="135">
        <v>106.81810426167877</v>
      </c>
      <c r="U33" s="135">
        <v>106.75756411355133</v>
      </c>
      <c r="V33" s="135">
        <v>101.95103911059019</v>
      </c>
    </row>
    <row r="34" spans="2:22" x14ac:dyDescent="0.25">
      <c r="B34" s="137" t="s">
        <v>175</v>
      </c>
      <c r="C34" s="138">
        <v>144.67950300000001</v>
      </c>
      <c r="D34" s="139">
        <v>152.58869773151346</v>
      </c>
      <c r="E34" s="139">
        <v>155.01857427585645</v>
      </c>
      <c r="F34" s="139">
        <v>157.5373333971632</v>
      </c>
      <c r="G34" s="139">
        <v>167.56221303687187</v>
      </c>
      <c r="H34" s="139">
        <v>165.32946457594244</v>
      </c>
      <c r="I34" s="139">
        <v>168.48915639197338</v>
      </c>
      <c r="J34" s="139">
        <v>173.09172466984359</v>
      </c>
      <c r="K34" s="139">
        <v>175.66843511361307</v>
      </c>
      <c r="L34" s="139">
        <v>184.28437004698017</v>
      </c>
      <c r="M34" s="139">
        <v>179.48085079539908</v>
      </c>
      <c r="N34" s="139">
        <v>188.99369811343351</v>
      </c>
      <c r="O34" s="139">
        <v>189.38807747445776</v>
      </c>
      <c r="P34" s="139">
        <v>188.30117626663133</v>
      </c>
      <c r="Q34" s="139">
        <v>190.33852432102378</v>
      </c>
      <c r="R34" s="139">
        <v>192.78379578244784</v>
      </c>
      <c r="S34" s="139">
        <v>194.99966151998541</v>
      </c>
      <c r="T34" s="139">
        <v>196.86274142295915</v>
      </c>
      <c r="U34" s="139">
        <v>198.21132658953928</v>
      </c>
      <c r="V34" s="139">
        <v>194.85183933047512</v>
      </c>
    </row>
    <row r="35" spans="2:22" x14ac:dyDescent="0.25">
      <c r="B35" s="133" t="s">
        <v>156</v>
      </c>
      <c r="C35" s="134">
        <v>18.808335390000003</v>
      </c>
      <c r="D35" s="134">
        <v>19.836530705096752</v>
      </c>
      <c r="E35" s="134">
        <v>20.152414655861339</v>
      </c>
      <c r="F35" s="134">
        <v>20.479853341631216</v>
      </c>
      <c r="G35" s="134">
        <v>21.783087694793345</v>
      </c>
      <c r="H35" s="134">
        <v>21.492830394872517</v>
      </c>
      <c r="I35" s="134">
        <v>21.90359033095654</v>
      </c>
      <c r="J35" s="134">
        <v>22.501924207079668</v>
      </c>
      <c r="K35" s="134">
        <v>22.836896564769699</v>
      </c>
      <c r="L35" s="134">
        <v>23.956968106107425</v>
      </c>
      <c r="M35" s="134">
        <v>23.332510603401882</v>
      </c>
      <c r="N35" s="134">
        <v>24.569180754746355</v>
      </c>
      <c r="O35" s="134">
        <v>24.62045007167951</v>
      </c>
      <c r="P35" s="134">
        <v>24.479152914662073</v>
      </c>
      <c r="Q35" s="134">
        <v>24.744008161733092</v>
      </c>
      <c r="R35" s="134">
        <v>25.06189345171822</v>
      </c>
      <c r="S35" s="134">
        <v>25.349955997598105</v>
      </c>
      <c r="T35" s="134">
        <v>25.59215638498469</v>
      </c>
      <c r="U35" s="134">
        <v>25.767472456640107</v>
      </c>
      <c r="V35" s="134">
        <v>25.330739112961766</v>
      </c>
    </row>
    <row r="36" spans="2:22" x14ac:dyDescent="0.25">
      <c r="B36" s="133" t="s">
        <v>217</v>
      </c>
      <c r="C36" s="134"/>
      <c r="D36" s="140">
        <v>-12.207095818521077</v>
      </c>
      <c r="E36" s="140">
        <v>-12.401485942068517</v>
      </c>
      <c r="F36" s="140">
        <v>-12.602986671773056</v>
      </c>
      <c r="G36" s="140">
        <v>-13.404977042949749</v>
      </c>
      <c r="H36" s="140">
        <v>-13.226357166075395</v>
      </c>
      <c r="I36" s="140">
        <v>-13.479132511357871</v>
      </c>
      <c r="J36" s="140">
        <v>-13.847337973587488</v>
      </c>
      <c r="K36" s="140">
        <v>-14.053474809089046</v>
      </c>
      <c r="L36" s="140">
        <v>-14.742749603758414</v>
      </c>
      <c r="M36" s="140">
        <v>-14.358468063631927</v>
      </c>
      <c r="N36" s="140">
        <v>-15.119495849074681</v>
      </c>
      <c r="O36" s="140">
        <v>-15.151046197956621</v>
      </c>
      <c r="P36" s="140">
        <v>-15.064094101330507</v>
      </c>
      <c r="Q36" s="140">
        <v>-15.227081945681903</v>
      </c>
      <c r="R36" s="140">
        <v>-15.422703662595827</v>
      </c>
      <c r="S36" s="140">
        <v>-15.599972921598834</v>
      </c>
      <c r="T36" s="140">
        <v>-15.749019313836731</v>
      </c>
      <c r="U36" s="140">
        <v>-15.856906127163143</v>
      </c>
      <c r="V36" s="140">
        <v>-15.588147146438009</v>
      </c>
    </row>
    <row r="37" spans="2:22" x14ac:dyDescent="0.25">
      <c r="B37" s="137" t="s">
        <v>218</v>
      </c>
      <c r="C37" s="141">
        <v>163.48783839000001</v>
      </c>
      <c r="D37" s="142">
        <v>160.21813261808913</v>
      </c>
      <c r="E37" s="142">
        <v>162.76950298964928</v>
      </c>
      <c r="F37" s="142">
        <v>165.41420006702134</v>
      </c>
      <c r="G37" s="142">
        <v>175.94032368871547</v>
      </c>
      <c r="H37" s="142">
        <v>173.59593780473958</v>
      </c>
      <c r="I37" s="142">
        <v>176.91361421157205</v>
      </c>
      <c r="J37" s="142">
        <v>181.74631090333577</v>
      </c>
      <c r="K37" s="142">
        <v>184.45185686929372</v>
      </c>
      <c r="L37" s="142">
        <v>193.49858854932918</v>
      </c>
      <c r="M37" s="142">
        <v>188.45489333516903</v>
      </c>
      <c r="N37" s="142">
        <v>198.44338301910517</v>
      </c>
      <c r="O37" s="142">
        <v>198.85748134818064</v>
      </c>
      <c r="P37" s="142">
        <v>197.7162350799629</v>
      </c>
      <c r="Q37" s="142">
        <v>199.85545053707497</v>
      </c>
      <c r="R37" s="142">
        <v>202.42298557157022</v>
      </c>
      <c r="S37" s="142">
        <v>204.74964459598468</v>
      </c>
      <c r="T37" s="142">
        <v>206.70587849410711</v>
      </c>
      <c r="U37" s="142">
        <v>208.12189291901626</v>
      </c>
      <c r="V37" s="142">
        <v>204.59443129699886</v>
      </c>
    </row>
    <row r="38" spans="2:22" x14ac:dyDescent="0.25"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24"/>
  <sheetViews>
    <sheetView workbookViewId="0">
      <selection activeCell="C23" sqref="C23"/>
    </sheetView>
  </sheetViews>
  <sheetFormatPr defaultRowHeight="15" x14ac:dyDescent="0.25"/>
  <cols>
    <col min="2" max="2" width="37" customWidth="1"/>
    <col min="3" max="7" width="11.42578125" customWidth="1"/>
    <col min="8" max="8" width="18.85546875" customWidth="1"/>
  </cols>
  <sheetData>
    <row r="1" spans="1:8" x14ac:dyDescent="0.25">
      <c r="A1" t="s">
        <v>114</v>
      </c>
    </row>
    <row r="2" spans="1:8" x14ac:dyDescent="0.25">
      <c r="B2" s="53"/>
      <c r="C2" s="172" t="s">
        <v>112</v>
      </c>
      <c r="D2" s="172"/>
      <c r="E2" s="172"/>
      <c r="F2" s="172"/>
      <c r="G2" s="172"/>
    </row>
    <row r="3" spans="1:8" x14ac:dyDescent="0.25">
      <c r="B3" s="53"/>
      <c r="C3" s="53">
        <v>0.8</v>
      </c>
      <c r="D3" s="53">
        <v>0.9</v>
      </c>
      <c r="E3" s="53">
        <v>1</v>
      </c>
      <c r="F3" s="53">
        <v>1.1000000000000001</v>
      </c>
      <c r="G3" s="53">
        <v>1.2</v>
      </c>
    </row>
    <row r="4" spans="1:8" x14ac:dyDescent="0.25">
      <c r="B4" s="53">
        <v>2014</v>
      </c>
      <c r="C4" s="53">
        <v>1.1338261782107681</v>
      </c>
      <c r="D4" s="53">
        <v>1.0669529894987013</v>
      </c>
      <c r="E4" s="53">
        <v>1</v>
      </c>
      <c r="F4" s="53">
        <v>0.93312157625304137</v>
      </c>
      <c r="G4" s="53">
        <v>0.86617457968384959</v>
      </c>
    </row>
    <row r="5" spans="1:8" x14ac:dyDescent="0.25">
      <c r="B5" s="53">
        <v>2015</v>
      </c>
      <c r="C5" s="53">
        <v>1.0741901569358097</v>
      </c>
      <c r="D5" s="53">
        <v>1.0371112891821022</v>
      </c>
      <c r="E5" s="53">
        <v>1</v>
      </c>
      <c r="F5" s="53">
        <v>0.9629311327648381</v>
      </c>
      <c r="G5" s="53">
        <v>0.92587468592097977</v>
      </c>
    </row>
    <row r="6" spans="1:8" x14ac:dyDescent="0.25">
      <c r="B6" s="53">
        <v>2016</v>
      </c>
      <c r="C6" s="53">
        <v>1.1271858733608593</v>
      </c>
      <c r="D6" s="53">
        <v>1.0635493316004083</v>
      </c>
      <c r="E6" s="53">
        <v>1</v>
      </c>
      <c r="F6" s="53">
        <v>0.93640788107926587</v>
      </c>
      <c r="G6" s="53">
        <v>0.87276571927303659</v>
      </c>
    </row>
    <row r="7" spans="1:8" x14ac:dyDescent="0.25">
      <c r="B7" s="53">
        <v>2017</v>
      </c>
      <c r="C7" s="53">
        <v>1.0990898329253282</v>
      </c>
      <c r="D7" s="53">
        <v>1.049518075077817</v>
      </c>
      <c r="E7" s="53">
        <v>1</v>
      </c>
      <c r="F7" s="53">
        <v>0.95045626309896591</v>
      </c>
      <c r="G7" s="53">
        <v>0.90091781721474429</v>
      </c>
      <c r="H7" s="173" t="s">
        <v>116</v>
      </c>
    </row>
    <row r="8" spans="1:8" x14ac:dyDescent="0.25">
      <c r="B8" s="53">
        <v>2018</v>
      </c>
      <c r="C8" s="53">
        <v>1.1109445833291107</v>
      </c>
      <c r="D8" s="53">
        <v>1.0555094039932278</v>
      </c>
      <c r="E8" s="53">
        <v>1</v>
      </c>
      <c r="F8" s="53">
        <v>0.94452207481037254</v>
      </c>
      <c r="G8" s="53">
        <v>0.88908591879550236</v>
      </c>
      <c r="H8" s="173"/>
    </row>
    <row r="9" spans="1:8" x14ac:dyDescent="0.25">
      <c r="B9" s="53">
        <v>2019</v>
      </c>
      <c r="C9" s="53">
        <v>1.1289172112505808</v>
      </c>
      <c r="D9" s="53">
        <v>1.0644178377542566</v>
      </c>
      <c r="E9" s="53">
        <v>1</v>
      </c>
      <c r="F9" s="53">
        <v>0.93556265247350712</v>
      </c>
      <c r="G9" s="53">
        <v>0.87115728401849313</v>
      </c>
      <c r="H9" s="173"/>
    </row>
    <row r="10" spans="1:8" x14ac:dyDescent="0.25">
      <c r="B10" s="53">
        <v>2020</v>
      </c>
      <c r="C10" s="53">
        <v>1.1651029989039912</v>
      </c>
      <c r="D10" s="53">
        <v>1.0825565631457379</v>
      </c>
      <c r="E10" s="53">
        <v>1</v>
      </c>
      <c r="F10" s="53">
        <v>0.9174197429984603</v>
      </c>
      <c r="G10" s="53">
        <v>0.83478411645846473</v>
      </c>
      <c r="H10" s="173"/>
    </row>
    <row r="11" spans="1:8" x14ac:dyDescent="0.25">
      <c r="B11" s="53">
        <v>2021</v>
      </c>
      <c r="C11" s="53">
        <v>1.1792292849357333</v>
      </c>
      <c r="D11" s="53">
        <v>1.0896946807150134</v>
      </c>
      <c r="E11" s="53">
        <v>1</v>
      </c>
      <c r="F11" s="53">
        <v>0.91035671750608349</v>
      </c>
      <c r="G11" s="53">
        <v>0.82066247281734783</v>
      </c>
      <c r="H11" s="173"/>
    </row>
    <row r="12" spans="1:8" x14ac:dyDescent="0.25">
      <c r="B12" s="53">
        <v>2022</v>
      </c>
      <c r="C12" s="53">
        <v>1.1714080628618264</v>
      </c>
      <c r="D12" s="53">
        <v>1.0857155696269059</v>
      </c>
      <c r="E12" s="53">
        <v>1</v>
      </c>
      <c r="F12" s="53">
        <v>0.91430963062107962</v>
      </c>
      <c r="G12" s="53">
        <v>0.82863808992214427</v>
      </c>
      <c r="H12" s="173"/>
    </row>
    <row r="13" spans="1:8" x14ac:dyDescent="0.25">
      <c r="B13" s="53">
        <v>2023</v>
      </c>
      <c r="C13" s="53">
        <v>1.2349879853590884</v>
      </c>
      <c r="D13" s="53">
        <v>1.1175234404985546</v>
      </c>
      <c r="E13" s="53">
        <v>1</v>
      </c>
      <c r="F13" s="53">
        <v>0.88254672479523366</v>
      </c>
      <c r="G13" s="53">
        <v>0.76512980591695368</v>
      </c>
      <c r="H13" t="s">
        <v>115</v>
      </c>
    </row>
    <row r="14" spans="1:8" x14ac:dyDescent="0.25">
      <c r="B14" s="54" t="s">
        <v>113</v>
      </c>
      <c r="C14" s="56">
        <v>1.1424486623677619</v>
      </c>
      <c r="D14" s="56">
        <v>1.0712353550521598</v>
      </c>
      <c r="E14" s="56">
        <v>1</v>
      </c>
      <c r="F14" s="56">
        <v>0.92877118025141137</v>
      </c>
      <c r="G14" s="56">
        <v>0.85754094987111606</v>
      </c>
    </row>
    <row r="19" spans="2:7" x14ac:dyDescent="0.25">
      <c r="B19" t="s">
        <v>112</v>
      </c>
      <c r="C19" s="39">
        <v>-0.2</v>
      </c>
      <c r="D19" s="39">
        <v>-0.1</v>
      </c>
      <c r="E19" s="39">
        <v>0</v>
      </c>
      <c r="F19" s="39">
        <v>0.1</v>
      </c>
      <c r="G19" s="39">
        <v>0.2</v>
      </c>
    </row>
    <row r="20" spans="2:7" x14ac:dyDescent="0.25">
      <c r="B20" t="s">
        <v>117</v>
      </c>
      <c r="C20" s="39">
        <f>C14-1</f>
        <v>0.14244866236776188</v>
      </c>
      <c r="D20" s="39">
        <f t="shared" ref="D20:G20" si="0">D14-1</f>
        <v>7.1235355052159832E-2</v>
      </c>
      <c r="E20" s="39">
        <f t="shared" si="0"/>
        <v>0</v>
      </c>
      <c r="F20" s="39">
        <f t="shared" si="0"/>
        <v>-7.1228819748588634E-2</v>
      </c>
      <c r="G20" s="39">
        <f t="shared" si="0"/>
        <v>-0.14245905012888394</v>
      </c>
    </row>
    <row r="21" spans="2:7" x14ac:dyDescent="0.25">
      <c r="B21" t="s">
        <v>118</v>
      </c>
      <c r="C21" s="39">
        <f>C20/C19</f>
        <v>-0.7122433118388094</v>
      </c>
      <c r="D21" s="39">
        <f t="shared" ref="D21:G21" si="1">D20/D19</f>
        <v>-0.71235355052159832</v>
      </c>
      <c r="E21" s="39"/>
      <c r="F21" s="39">
        <f t="shared" si="1"/>
        <v>-0.71228819748588634</v>
      </c>
      <c r="G21" s="39">
        <f t="shared" si="1"/>
        <v>-0.71229525064441968</v>
      </c>
    </row>
    <row r="22" spans="2:7" x14ac:dyDescent="0.25">
      <c r="B22" s="54" t="s">
        <v>119</v>
      </c>
      <c r="C22" s="174">
        <v>-1</v>
      </c>
      <c r="D22" s="175"/>
      <c r="E22" s="175"/>
      <c r="F22" s="175"/>
      <c r="G22" s="175"/>
    </row>
    <row r="23" spans="2:7" x14ac:dyDescent="0.25">
      <c r="C23" s="53"/>
      <c r="D23" s="53"/>
      <c r="E23" s="53"/>
      <c r="G23" s="53"/>
    </row>
    <row r="24" spans="2:7" x14ac:dyDescent="0.25">
      <c r="D24" s="39"/>
    </row>
  </sheetData>
  <mergeCells count="3">
    <mergeCell ref="C2:G2"/>
    <mergeCell ref="H7:H12"/>
    <mergeCell ref="C22:G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AJ15"/>
  <sheetViews>
    <sheetView workbookViewId="0"/>
  </sheetViews>
  <sheetFormatPr defaultRowHeight="15" x14ac:dyDescent="0.25"/>
  <cols>
    <col min="2" max="2" width="23.42578125" customWidth="1"/>
  </cols>
  <sheetData>
    <row r="1" spans="1:36" x14ac:dyDescent="0.25">
      <c r="B1" s="54" t="s">
        <v>238</v>
      </c>
    </row>
    <row r="2" spans="1:36" x14ac:dyDescent="0.25">
      <c r="B2" s="25"/>
      <c r="C2" s="24">
        <v>2017</v>
      </c>
      <c r="D2" s="24">
        <v>2018</v>
      </c>
      <c r="E2" s="24">
        <v>2019</v>
      </c>
      <c r="F2" s="24">
        <v>2020</v>
      </c>
      <c r="G2" s="24">
        <v>2021</v>
      </c>
      <c r="H2" s="24">
        <v>2022</v>
      </c>
      <c r="I2" s="24">
        <v>2023</v>
      </c>
      <c r="J2" s="24">
        <v>2024</v>
      </c>
      <c r="K2" s="24">
        <v>2025</v>
      </c>
      <c r="L2" s="24">
        <v>2026</v>
      </c>
      <c r="M2" s="24">
        <v>2027</v>
      </c>
      <c r="N2" s="24">
        <v>2028</v>
      </c>
      <c r="O2" s="24">
        <v>2029</v>
      </c>
      <c r="P2" s="24">
        <v>2030</v>
      </c>
      <c r="Q2" s="24">
        <v>2031</v>
      </c>
      <c r="R2" s="24">
        <v>2032</v>
      </c>
      <c r="S2" s="24">
        <v>2033</v>
      </c>
      <c r="T2" s="24">
        <v>2034</v>
      </c>
      <c r="U2" s="24">
        <v>2035</v>
      </c>
      <c r="V2" s="24">
        <v>2036</v>
      </c>
      <c r="W2" s="24">
        <v>2037</v>
      </c>
      <c r="X2" s="24">
        <v>2038</v>
      </c>
      <c r="Y2" s="24">
        <v>2039</v>
      </c>
      <c r="Z2" s="24">
        <v>2040</v>
      </c>
      <c r="AA2" s="24">
        <v>2041</v>
      </c>
      <c r="AB2" s="24">
        <v>2042</v>
      </c>
      <c r="AC2" s="24">
        <v>2043</v>
      </c>
      <c r="AD2" s="24">
        <v>2044</v>
      </c>
      <c r="AE2" s="24">
        <v>2045</v>
      </c>
      <c r="AF2" s="24">
        <v>2046</v>
      </c>
      <c r="AG2" s="24">
        <v>2047</v>
      </c>
      <c r="AH2" s="24">
        <v>2048</v>
      </c>
      <c r="AI2" s="24">
        <v>2049</v>
      </c>
      <c r="AJ2" s="24">
        <v>2050</v>
      </c>
    </row>
    <row r="3" spans="1:36" s="105" customFormat="1" x14ac:dyDescent="0.25">
      <c r="B3" s="156" t="s">
        <v>239</v>
      </c>
      <c r="C3" s="157">
        <f>Calcs!D21</f>
        <v>12095.369682235045</v>
      </c>
      <c r="D3" s="157">
        <f>Calcs!E21</f>
        <v>11834.680968387356</v>
      </c>
      <c r="E3" s="157">
        <f>Calcs!F21</f>
        <v>11552.105152780023</v>
      </c>
      <c r="F3" s="157">
        <f>Calcs!G21</f>
        <v>12168.427804857231</v>
      </c>
      <c r="G3" s="157">
        <f>Calcs!H21</f>
        <v>10843.555476184305</v>
      </c>
      <c r="H3" s="157">
        <f>Calcs!I21</f>
        <v>10633.626262038733</v>
      </c>
      <c r="I3" s="157">
        <f>Calcs!J21</f>
        <v>10243.432169611806</v>
      </c>
      <c r="J3" s="157">
        <f>Calcs!K21</f>
        <v>11128.119052974123</v>
      </c>
      <c r="K3" s="157">
        <f>Calcs!L21</f>
        <v>10527.01808843752</v>
      </c>
      <c r="L3" s="157">
        <f>Calcs!M21</f>
        <v>10033.287200750003</v>
      </c>
      <c r="M3" s="157">
        <f>Calcs!N21</f>
        <v>11042.844229096907</v>
      </c>
      <c r="N3" s="157">
        <f>Calcs!O21</f>
        <v>10819.097642104838</v>
      </c>
      <c r="O3" s="157">
        <f>Calcs!P21</f>
        <v>10008.692180866097</v>
      </c>
      <c r="P3" s="157">
        <f>Calcs!Q21</f>
        <v>9721.4381123383864</v>
      </c>
      <c r="Q3" s="157">
        <f>Calcs!R21</f>
        <v>8654.4846953957476</v>
      </c>
      <c r="R3" s="157">
        <f>Calcs!S21</f>
        <v>8819.9388296880807</v>
      </c>
      <c r="S3" s="157">
        <f>Calcs!T21</f>
        <v>8238.0383223817407</v>
      </c>
      <c r="T3" s="157">
        <f>Calcs!U21</f>
        <v>7756.4351319563648</v>
      </c>
      <c r="U3" s="157">
        <f>Calcs!V21</f>
        <v>5662.3211916579985</v>
      </c>
      <c r="V3" s="157">
        <f>Calcs!W21</f>
        <v>5388.8445108572041</v>
      </c>
      <c r="W3" s="157">
        <f>Calcs!X21</f>
        <v>5128.5761049688263</v>
      </c>
      <c r="X3" s="157">
        <f>Calcs!Y21</f>
        <v>4880.8780456486584</v>
      </c>
      <c r="Y3" s="157">
        <f>Calcs!Z21</f>
        <v>4645.1432149781613</v>
      </c>
      <c r="Z3" s="157">
        <f>Calcs!AA21</f>
        <v>4420.7938173939892</v>
      </c>
      <c r="AA3" s="157">
        <f>Calcs!AB21</f>
        <v>4207.2799634878011</v>
      </c>
      <c r="AB3" s="157">
        <f>Calcs!AC21</f>
        <v>4004.0783222051691</v>
      </c>
      <c r="AC3" s="157">
        <f>Calcs!AD21</f>
        <v>3810.6908381400954</v>
      </c>
      <c r="AD3" s="157">
        <f>Calcs!AE21</f>
        <v>3626.6435107811549</v>
      </c>
      <c r="AE3" s="157">
        <f>Calcs!AF21</f>
        <v>3451.4852327171438</v>
      </c>
      <c r="AF3" s="157">
        <f>Calcs!AG21</f>
        <v>3284.7866839546605</v>
      </c>
      <c r="AG3" s="157">
        <f>Calcs!AH21</f>
        <v>3126.139279637503</v>
      </c>
      <c r="AH3" s="157">
        <f>Calcs!AI21</f>
        <v>2975.1541685887391</v>
      </c>
      <c r="AI3" s="157">
        <f>Calcs!AJ21</f>
        <v>2831.4612802208057</v>
      </c>
      <c r="AJ3" s="157">
        <f>Calcs!AK21</f>
        <v>2694.7084174775991</v>
      </c>
    </row>
    <row r="4" spans="1:36" s="105" customFormat="1" x14ac:dyDescent="0.25">
      <c r="B4" s="154" t="s">
        <v>246</v>
      </c>
      <c r="C4" s="32">
        <f>'1d'!F45</f>
        <v>9856.3916075683774</v>
      </c>
      <c r="D4" s="32">
        <f>'1d'!G45</f>
        <v>9602.3319923873551</v>
      </c>
      <c r="E4" s="32">
        <f>'1d'!H45</f>
        <v>9337.8355367800232</v>
      </c>
      <c r="F4" s="32">
        <f>'1d'!I45</f>
        <v>9344.4317728572314</v>
      </c>
      <c r="G4" s="32">
        <f>'1d'!J45</f>
        <v>8532.1904255176378</v>
      </c>
      <c r="H4" s="32">
        <f>'1d'!K45</f>
        <v>8702.8342340279905</v>
      </c>
      <c r="I4" s="32">
        <f>'1d'!L45</f>
        <v>8876.8909187085483</v>
      </c>
      <c r="J4" s="32">
        <f>'1d'!M45</f>
        <v>9054.4287370827205</v>
      </c>
      <c r="K4" s="32">
        <f>'1d'!N45</f>
        <v>9235.5173118243747</v>
      </c>
      <c r="L4" s="32">
        <f>'1d'!O45</f>
        <v>9420.2276580608632</v>
      </c>
      <c r="M4" s="32">
        <f>'1d'!P45</f>
        <v>9608.6322112220787</v>
      </c>
      <c r="N4" s="32">
        <f>'1d'!Q45</f>
        <v>9800.8048554465222</v>
      </c>
      <c r="O4" s="32">
        <f>'1d'!R45</f>
        <v>9996.8209525554503</v>
      </c>
      <c r="P4" s="32">
        <f>'1d'!S45</f>
        <v>10196.757371606562</v>
      </c>
      <c r="Q4" s="32">
        <f>'1d'!T45</f>
        <v>10400.69251903869</v>
      </c>
      <c r="R4" s="32">
        <f>'1d'!U45</f>
        <v>10608.706369419466</v>
      </c>
      <c r="S4" s="32">
        <f>'1d'!V45</f>
        <v>10820.880496807855</v>
      </c>
      <c r="T4" s="32">
        <f>'1d'!W45</f>
        <v>10982.880326319384</v>
      </c>
      <c r="U4" s="32">
        <f>'1d'!X45</f>
        <v>8888.7663860210178</v>
      </c>
      <c r="V4" s="32">
        <f>'1d'!Y45</f>
        <v>8615.2897052202243</v>
      </c>
      <c r="W4" s="32">
        <f>'1d'!Z45</f>
        <v>8355.0212993318455</v>
      </c>
      <c r="X4" s="32">
        <f>'1d'!AA45</f>
        <v>8107.3232400116776</v>
      </c>
      <c r="Y4" s="32">
        <f>'1d'!AB45</f>
        <v>7871.5884093411805</v>
      </c>
      <c r="Z4" s="32">
        <f>'1d'!AC45</f>
        <v>7647.2390117570085</v>
      </c>
      <c r="AA4" s="32">
        <f>'1d'!AD45</f>
        <v>7433.7251578508203</v>
      </c>
      <c r="AB4" s="32">
        <f>'1d'!AE45</f>
        <v>7230.5235165681888</v>
      </c>
      <c r="AC4" s="32">
        <f>'1d'!AF45</f>
        <v>7037.1360325031146</v>
      </c>
      <c r="AD4" s="32">
        <f>'1d'!AG45</f>
        <v>6853.088705144175</v>
      </c>
      <c r="AE4" s="32">
        <f>'1d'!AH45</f>
        <v>6677.930427080164</v>
      </c>
      <c r="AF4" s="32">
        <f>'1d'!AI45</f>
        <v>6511.2318783176797</v>
      </c>
      <c r="AG4" s="32">
        <f>'1d'!AJ45</f>
        <v>6352.5844740005232</v>
      </c>
      <c r="AH4" s="32">
        <f>'1d'!AK45</f>
        <v>2975.1541685887391</v>
      </c>
      <c r="AI4" s="32">
        <f>'1d'!AL45</f>
        <v>2831.4612802208057</v>
      </c>
      <c r="AJ4" s="32">
        <f>'1d'!AM45</f>
        <v>2694.7084174775991</v>
      </c>
    </row>
    <row r="5" spans="1:36" s="105" customFormat="1" x14ac:dyDescent="0.25">
      <c r="B5" s="154" t="s">
        <v>247</v>
      </c>
      <c r="C5" s="32">
        <f>'1e'!F45</f>
        <v>10536.702858235039</v>
      </c>
      <c r="D5" s="32">
        <f>'1e'!G45</f>
        <v>10295.901440387348</v>
      </c>
      <c r="E5" s="32">
        <f>'1e'!H45</f>
        <v>10040.543174113349</v>
      </c>
      <c r="F5" s="32">
        <f>'1e'!I45</f>
        <v>10061.127735523905</v>
      </c>
      <c r="G5" s="32">
        <f>'1e'!J45</f>
        <v>9152.6137961843142</v>
      </c>
      <c r="H5" s="32">
        <f>'1e'!K45</f>
        <v>9335.6660721080007</v>
      </c>
      <c r="I5" s="32">
        <f>'1e'!L45</f>
        <v>9522.3793935501581</v>
      </c>
      <c r="J5" s="32">
        <f>'1e'!M45</f>
        <v>9712.8269814211617</v>
      </c>
      <c r="K5" s="32">
        <f>'1e'!N45</f>
        <v>9907.0835210495861</v>
      </c>
      <c r="L5" s="32">
        <f>'1e'!O45</f>
        <v>10105.225191470578</v>
      </c>
      <c r="M5" s="32">
        <f>'1e'!P45</f>
        <v>10307.329695299988</v>
      </c>
      <c r="N5" s="32">
        <f>'1e'!Q45</f>
        <v>10513.476289205988</v>
      </c>
      <c r="O5" s="32">
        <f>'1e'!R45</f>
        <v>10723.745814990109</v>
      </c>
      <c r="P5" s="32">
        <f>'1e'!S45</f>
        <v>10938.220731289912</v>
      </c>
      <c r="Q5" s="32">
        <f>'1e'!T45</f>
        <v>10382.721319312956</v>
      </c>
      <c r="R5" s="32">
        <f>'1e'!U45</f>
        <v>10548.175453605289</v>
      </c>
      <c r="S5" s="32">
        <f>'1e'!V45</f>
        <v>9966.2749462989486</v>
      </c>
      <c r="T5" s="32">
        <f>'1e'!W45</f>
        <v>9484.6717558735727</v>
      </c>
      <c r="U5" s="32">
        <f>'1e'!X45</f>
        <v>7390.5578155752055</v>
      </c>
      <c r="V5" s="32">
        <f>'1e'!Y45</f>
        <v>7117.0811347744111</v>
      </c>
      <c r="W5" s="32">
        <f>'1e'!Z45</f>
        <v>6856.8127288860333</v>
      </c>
      <c r="X5" s="32">
        <f>'1e'!AA45</f>
        <v>6609.1146695658654</v>
      </c>
      <c r="Y5" s="32">
        <f>'1e'!AB45</f>
        <v>6373.3798388953683</v>
      </c>
      <c r="Z5" s="32">
        <f>'1e'!AC45</f>
        <v>6149.0304413111962</v>
      </c>
      <c r="AA5" s="32">
        <f>'1e'!AD45</f>
        <v>5935.5165874050081</v>
      </c>
      <c r="AB5" s="32">
        <f>'1e'!AE45</f>
        <v>5732.3149461223766</v>
      </c>
      <c r="AC5" s="32">
        <f>'1e'!AF45</f>
        <v>5538.9274620573024</v>
      </c>
      <c r="AD5" s="32">
        <f>'1e'!AG45</f>
        <v>5354.8801346983619</v>
      </c>
      <c r="AE5" s="32">
        <f>'1e'!AH45</f>
        <v>5179.7218566343508</v>
      </c>
      <c r="AF5" s="32">
        <f>'1e'!AI45</f>
        <v>5013.0233078718675</v>
      </c>
      <c r="AG5" s="32">
        <f>'1e'!AJ45</f>
        <v>4854.37590355471</v>
      </c>
      <c r="AH5" s="32">
        <f>'1e'!AK45</f>
        <v>2975.1541685887391</v>
      </c>
      <c r="AI5" s="32">
        <f>'1e'!AL45</f>
        <v>2831.4612802208057</v>
      </c>
      <c r="AJ5" s="32">
        <f>'1e'!AM45</f>
        <v>2694.7084174775991</v>
      </c>
    </row>
    <row r="6" spans="1:36" s="105" customFormat="1" x14ac:dyDescent="0.25">
      <c r="B6" s="154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</row>
    <row r="7" spans="1:36" s="105" customFormat="1" x14ac:dyDescent="0.25">
      <c r="B7" s="154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</row>
    <row r="8" spans="1:36" x14ac:dyDescent="0.25">
      <c r="B8" s="154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</row>
    <row r="9" spans="1:36" x14ac:dyDescent="0.25">
      <c r="A9" s="105"/>
      <c r="B9" s="154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</row>
    <row r="10" spans="1:36" x14ac:dyDescent="0.25">
      <c r="A10" s="105"/>
      <c r="B10" s="154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</row>
    <row r="11" spans="1:36" x14ac:dyDescent="0.25">
      <c r="A11" s="105"/>
      <c r="B11" s="154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</row>
    <row r="12" spans="1:36" x14ac:dyDescent="0.25">
      <c r="A12" s="105"/>
      <c r="B12" s="154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</row>
    <row r="13" spans="1:36" x14ac:dyDescent="0.25">
      <c r="A13" s="105"/>
      <c r="B13" s="154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</row>
    <row r="14" spans="1:36" x14ac:dyDescent="0.25">
      <c r="A14" s="105"/>
      <c r="B14" s="154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</row>
    <row r="15" spans="1:36" x14ac:dyDescent="0.25">
      <c r="A15" s="105"/>
      <c r="B15" s="154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BT57"/>
  <sheetViews>
    <sheetView zoomScale="85" zoomScaleNormal="85" workbookViewId="0">
      <selection activeCell="A41" sqref="A41"/>
    </sheetView>
  </sheetViews>
  <sheetFormatPr defaultRowHeight="15" x14ac:dyDescent="0.25"/>
  <cols>
    <col min="1" max="1" width="16.5703125" bestFit="1" customWidth="1"/>
    <col min="2" max="2" width="57.140625" customWidth="1"/>
    <col min="3" max="3" width="31" customWidth="1"/>
    <col min="4" max="4" width="12" bestFit="1" customWidth="1"/>
    <col min="5" max="5" width="12.42578125" bestFit="1" customWidth="1"/>
    <col min="6" max="6" width="29" customWidth="1"/>
    <col min="9" max="9" width="33.140625" bestFit="1" customWidth="1"/>
    <col min="40" max="40" width="31.7109375" customWidth="1"/>
    <col min="41" max="52" width="5.28515625" bestFit="1" customWidth="1"/>
    <col min="53" max="71" width="4.7109375" bestFit="1" customWidth="1"/>
    <col min="72" max="72" width="4.28515625" customWidth="1"/>
  </cols>
  <sheetData>
    <row r="1" spans="1:72" x14ac:dyDescent="0.25">
      <c r="A1" s="54"/>
      <c r="B1" s="46"/>
      <c r="I1" t="s">
        <v>232</v>
      </c>
      <c r="J1">
        <v>2</v>
      </c>
      <c r="L1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I3" s="105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1"/>
      <c r="AO3" s="152">
        <v>2017</v>
      </c>
      <c r="AP3" s="152">
        <v>2018</v>
      </c>
      <c r="AQ3" s="152">
        <v>2019</v>
      </c>
      <c r="AR3" s="152">
        <v>2020</v>
      </c>
      <c r="AS3" s="152">
        <v>2021</v>
      </c>
      <c r="AT3" s="152">
        <v>2022</v>
      </c>
      <c r="AU3" s="152">
        <v>2023</v>
      </c>
      <c r="AV3" s="152">
        <v>2024</v>
      </c>
      <c r="AW3" s="152">
        <v>2025</v>
      </c>
      <c r="AX3" s="152">
        <v>2026</v>
      </c>
      <c r="AY3" s="152">
        <v>2027</v>
      </c>
      <c r="AZ3" s="152">
        <v>2028</v>
      </c>
      <c r="BA3" s="152">
        <v>2029</v>
      </c>
      <c r="BB3" s="152">
        <v>2030</v>
      </c>
      <c r="BC3" s="152">
        <v>2031</v>
      </c>
      <c r="BD3" s="152">
        <v>2032</v>
      </c>
      <c r="BE3" s="152">
        <v>2033</v>
      </c>
      <c r="BF3" s="152">
        <v>2034</v>
      </c>
      <c r="BG3" s="152">
        <v>2035</v>
      </c>
      <c r="BH3" s="152">
        <v>2036</v>
      </c>
      <c r="BI3" s="152">
        <v>2037</v>
      </c>
      <c r="BJ3" s="152">
        <v>2038</v>
      </c>
      <c r="BK3" s="152">
        <v>2039</v>
      </c>
      <c r="BL3" s="152">
        <v>2040</v>
      </c>
      <c r="BM3" s="152">
        <v>2041</v>
      </c>
      <c r="BN3" s="152">
        <v>2042</v>
      </c>
      <c r="BO3" s="152">
        <v>2043</v>
      </c>
      <c r="BP3" s="152">
        <v>2044</v>
      </c>
      <c r="BQ3" s="152">
        <v>2045</v>
      </c>
      <c r="BR3" s="152">
        <v>2046</v>
      </c>
      <c r="BS3" s="152">
        <v>2047</v>
      </c>
      <c r="BT3" s="152">
        <v>2048</v>
      </c>
    </row>
    <row r="4" spans="1:72" ht="30" x14ac:dyDescent="0.25">
      <c r="C4" s="124"/>
      <c r="D4" s="32"/>
      <c r="I4" s="105" t="s">
        <v>237</v>
      </c>
      <c r="J4" s="59">
        <f ca="1">OFFSET('Impact Summary'!U$2, Summary!$J$1, 0)</f>
        <v>-18.810000000000002</v>
      </c>
      <c r="K4" s="59">
        <f ca="1">OFFSET('Impact Summary'!V$2, Summary!$J$1, 0)</f>
        <v>-18.57</v>
      </c>
      <c r="L4" s="59">
        <f ca="1">OFFSET('Impact Summary'!W$2, Summary!$J$1, 0)</f>
        <v>-18.369999999999997</v>
      </c>
      <c r="M4" s="59">
        <f ca="1">OFFSET('Impact Summary'!X$2, Summary!$J$1, 0)</f>
        <v>-25.61</v>
      </c>
      <c r="N4" s="59">
        <f ca="1">OFFSET('Impact Summary'!Y$2, Summary!$J$1, 0)</f>
        <v>-20.55</v>
      </c>
      <c r="AN4" s="130" t="s">
        <v>221</v>
      </c>
      <c r="AO4" s="150">
        <f ca="1">Summary!F55/1.13</f>
        <v>-18.810000000000056</v>
      </c>
      <c r="AP4" s="150">
        <f ca="1">Summary!G55/1.13</f>
        <v>-18.570000000000089</v>
      </c>
      <c r="AQ4" s="150">
        <f ca="1">Summary!H55/1.13</f>
        <v>-18.37000000000009</v>
      </c>
      <c r="AR4" s="150">
        <f ca="1">Summary!I55/1.13</f>
        <v>-25.609999999999904</v>
      </c>
      <c r="AS4" s="150">
        <f ca="1">Summary!J55/1.13</f>
        <v>-20.549999999999894</v>
      </c>
      <c r="AT4" s="150">
        <f ca="1">Summary!K55/1.13</f>
        <v>-15.774099259932223</v>
      </c>
      <c r="AU4" s="150">
        <f ca="1">Summary!L55/1.13</f>
        <v>-8.7629483165066127</v>
      </c>
      <c r="AV4" s="150">
        <f ca="1">Summary!M55/1.13</f>
        <v>-17.200032629400532</v>
      </c>
      <c r="AW4" s="150">
        <f ca="1">Summary!N55/1.13</f>
        <v>-7.5340595778690833</v>
      </c>
      <c r="AX4" s="150">
        <f ca="1">Summary!O55/1.13</f>
        <v>0.88046223380479816</v>
      </c>
      <c r="AY4" s="150">
        <f ca="1">Summary!P55/1.13</f>
        <v>-8.9387019365012481</v>
      </c>
      <c r="AZ4" s="150">
        <f ca="1">Summary!Q55/1.13</f>
        <v>-3.7142137285724632</v>
      </c>
      <c r="BA4" s="150">
        <f ca="1">Summary!R55/1.13</f>
        <v>8.690040795048855</v>
      </c>
      <c r="BB4" s="150">
        <f ca="1">Summary!S55/1.13</f>
        <v>14.684139490273903</v>
      </c>
      <c r="BC4" s="150">
        <f ca="1">Summary!T55/1.13</f>
        <v>20.856369299281798</v>
      </c>
      <c r="BD4" s="150">
        <f ca="1">Summary!U55/1.13</f>
        <v>20.711533401370129</v>
      </c>
      <c r="BE4" s="150">
        <f ca="1">Summary!V55/1.13</f>
        <v>20.56869523998137</v>
      </c>
      <c r="BF4" s="150">
        <f ca="1">Summary!W55/1.13</f>
        <v>20.427813765734935</v>
      </c>
      <c r="BG4" s="150">
        <f ca="1">Summary!X55/1.13</f>
        <v>20.151762228360127</v>
      </c>
      <c r="BH4" s="150">
        <f ca="1">Summary!Y55/1.13</f>
        <v>20.068228564347802</v>
      </c>
      <c r="BI4" s="150">
        <f ca="1">Summary!Z55/1.13</f>
        <v>19.985041166480556</v>
      </c>
      <c r="BJ4" s="150">
        <f ca="1">Summary!AA55/1.13</f>
        <v>19.902198599406027</v>
      </c>
      <c r="BK4" s="150">
        <f ca="1">Summary!AB55/1.13</f>
        <v>19.81969943372167</v>
      </c>
      <c r="BL4" s="150">
        <f ca="1">Summary!AC55/1.13</f>
        <v>19.737542245950213</v>
      </c>
      <c r="BM4" s="150">
        <f ca="1">Summary!AD55/1.13</f>
        <v>19.655725618514932</v>
      </c>
      <c r="BN4" s="150">
        <f ca="1">Summary!AE55/1.13</f>
        <v>19.574248139715355</v>
      </c>
      <c r="BO4" s="150">
        <f ca="1">Summary!AF55/1.13</f>
        <v>19.493108403702813</v>
      </c>
      <c r="BP4" s="150">
        <f ca="1">Summary!AG55/1.13</f>
        <v>19.412305010456194</v>
      </c>
      <c r="BQ4" s="150">
        <f ca="1">Summary!AH55/1.13</f>
        <v>19.331836565757801</v>
      </c>
      <c r="BR4" s="150">
        <f ca="1">Summary!AI55/1.13</f>
        <v>19.251701681169298</v>
      </c>
      <c r="BS4" s="150">
        <f ca="1">Summary!AJ55/1.13</f>
        <v>19.171898974007696</v>
      </c>
      <c r="BT4" s="150">
        <f ca="1">Summary!AK55/1.13</f>
        <v>0</v>
      </c>
    </row>
    <row r="5" spans="1:72" x14ac:dyDescent="0.25">
      <c r="B5" s="25"/>
      <c r="C5" s="45" t="s">
        <v>209</v>
      </c>
      <c r="I5" s="147"/>
      <c r="J5" s="146"/>
      <c r="K5" s="121"/>
      <c r="L5" s="54"/>
      <c r="M5" s="105"/>
      <c r="N5" s="105"/>
      <c r="AN5" s="130" t="s">
        <v>213</v>
      </c>
      <c r="AO5" s="150">
        <f>Summary!F46/1000</f>
        <v>1.5586668240000054</v>
      </c>
      <c r="AP5" s="150">
        <f>Summary!G46/1000</f>
        <v>3.1771877467158536</v>
      </c>
      <c r="AQ5" s="150">
        <f>Summary!H46/1000</f>
        <v>4.8512946505045109</v>
      </c>
      <c r="AR5" s="150">
        <f>Summary!I46/1000</f>
        <v>7.2067869541576473</v>
      </c>
      <c r="AS5" s="150">
        <f>Summary!J46/1000</f>
        <v>9.2664278547323455</v>
      </c>
      <c r="AT5" s="150">
        <f>Summary!K46/1000</f>
        <v>11.038458493711184</v>
      </c>
      <c r="AU5" s="150">
        <f>Summary!L46/1000</f>
        <v>12.324238806311097</v>
      </c>
      <c r="AV5" s="150">
        <f>Summary!M46/1000</f>
        <v>14.370038935194936</v>
      </c>
      <c r="AW5" s="150">
        <f>Summary!N46/1000</f>
        <v>15.725144694507444</v>
      </c>
      <c r="AX5" s="150">
        <f>Summary!O46/1000</f>
        <v>16.457705106357871</v>
      </c>
      <c r="AY5" s="150">
        <f>Summary!P46/1000</f>
        <v>18.035195833396056</v>
      </c>
      <c r="AZ5" s="150">
        <f>Summary!Q46/1000</f>
        <v>19.263497805131454</v>
      </c>
      <c r="BA5" s="150">
        <f>Summary!R46/1000</f>
        <v>19.533964718717968</v>
      </c>
      <c r="BB5" s="150">
        <f>Summary!S46/1000</f>
        <v>19.316539734776054</v>
      </c>
      <c r="BC5" s="150">
        <f>Summary!T46/1000</f>
        <v>18.576537283689991</v>
      </c>
      <c r="BD5" s="150">
        <f>Summary!U46/1000</f>
        <v>17.798676307206367</v>
      </c>
      <c r="BE5" s="150">
        <f>Summary!V46/1000</f>
        <v>16.981019963165835</v>
      </c>
      <c r="BF5" s="150">
        <f>Summary!W46/1000</f>
        <v>16.121532320564196</v>
      </c>
      <c r="BG5" s="150">
        <f>Summary!X46/1000</f>
        <v>15.218073290167053</v>
      </c>
      <c r="BH5" s="150">
        <f>Summary!Y46/1000</f>
        <v>14.268393295774793</v>
      </c>
      <c r="BI5" s="150">
        <f>Summary!Z46/1000</f>
        <v>13.270127672869425</v>
      </c>
      <c r="BJ5" s="150">
        <f>Summary!AA46/1000</f>
        <v>12.220790780696218</v>
      </c>
      <c r="BK5" s="150">
        <f>Summary!AB46/1000</f>
        <v>11.11776981311943</v>
      </c>
      <c r="BL5" s="150">
        <f>Summary!AC46/1000</f>
        <v>9.9583182928414136</v>
      </c>
      <c r="BM5" s="150">
        <f>Summary!AD46/1000</f>
        <v>8.7395492327859756</v>
      </c>
      <c r="BN5" s="150">
        <f>Summary!AE46/1000</f>
        <v>7.4584279476180981</v>
      </c>
      <c r="BO5" s="150">
        <f>Summary!AF46/1000</f>
        <v>6.1117644975010332</v>
      </c>
      <c r="BP5" s="150">
        <f>Summary!AG46/1000</f>
        <v>4.6962057452759804</v>
      </c>
      <c r="BQ5" s="150">
        <f>Summary!AH46/1000</f>
        <v>3.2082270072870922</v>
      </c>
      <c r="BR5" s="150">
        <f>Summary!AI46/1000</f>
        <v>1.6441232770626935</v>
      </c>
      <c r="BS5" s="150">
        <f>Summary!AJ46/1000</f>
        <v>1.4097167877480388E-14</v>
      </c>
      <c r="BT5" s="150">
        <f>Summary!AK46/1000</f>
        <v>0</v>
      </c>
    </row>
    <row r="6" spans="1:72" s="105" customFormat="1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0">
        <f>AO5</f>
        <v>1.5586668240000054</v>
      </c>
      <c r="AP6" s="150">
        <f t="shared" ref="AP6:BT6" si="0">AP5-AO5</f>
        <v>1.6185209227158481</v>
      </c>
      <c r="AQ6" s="150">
        <f t="shared" si="0"/>
        <v>1.6741069037886573</v>
      </c>
      <c r="AR6" s="150">
        <f t="shared" si="0"/>
        <v>2.3554923036531363</v>
      </c>
      <c r="AS6" s="150">
        <f t="shared" si="0"/>
        <v>2.0596409005746983</v>
      </c>
      <c r="AT6" s="150">
        <f t="shared" si="0"/>
        <v>1.7720306389788387</v>
      </c>
      <c r="AU6" s="150">
        <f t="shared" si="0"/>
        <v>1.285780312599913</v>
      </c>
      <c r="AV6" s="150">
        <f t="shared" si="0"/>
        <v>2.0458001288838386</v>
      </c>
      <c r="AW6" s="150">
        <f t="shared" si="0"/>
        <v>1.355105759312508</v>
      </c>
      <c r="AX6" s="150">
        <f t="shared" si="0"/>
        <v>0.73256041185042697</v>
      </c>
      <c r="AY6" s="150">
        <f t="shared" si="0"/>
        <v>1.5774907270381853</v>
      </c>
      <c r="AZ6" s="150">
        <f t="shared" si="0"/>
        <v>1.228301971735398</v>
      </c>
      <c r="BA6" s="150">
        <f t="shared" si="0"/>
        <v>0.27046691358651387</v>
      </c>
      <c r="BB6" s="150">
        <f t="shared" si="0"/>
        <v>-0.21742498394191401</v>
      </c>
      <c r="BC6" s="150">
        <f t="shared" si="0"/>
        <v>-0.74000245108606322</v>
      </c>
      <c r="BD6" s="150">
        <f t="shared" si="0"/>
        <v>-0.77786097648362329</v>
      </c>
      <c r="BE6" s="150">
        <f t="shared" si="0"/>
        <v>-0.81765634404053245</v>
      </c>
      <c r="BF6" s="150">
        <f t="shared" si="0"/>
        <v>-0.85948764260163912</v>
      </c>
      <c r="BG6" s="150">
        <f t="shared" si="0"/>
        <v>-0.90345903039714237</v>
      </c>
      <c r="BH6" s="150">
        <f t="shared" si="0"/>
        <v>-0.9496799943922607</v>
      </c>
      <c r="BI6" s="150">
        <f t="shared" si="0"/>
        <v>-0.99826562290536813</v>
      </c>
      <c r="BJ6" s="150">
        <f t="shared" si="0"/>
        <v>-1.0493368921732067</v>
      </c>
      <c r="BK6" s="150">
        <f t="shared" si="0"/>
        <v>-1.1030209675767875</v>
      </c>
      <c r="BL6" s="150">
        <f t="shared" si="0"/>
        <v>-1.1594515202780169</v>
      </c>
      <c r="BM6" s="150">
        <f t="shared" si="0"/>
        <v>-1.2187690600554379</v>
      </c>
      <c r="BN6" s="150">
        <f t="shared" si="0"/>
        <v>-1.2811212851678775</v>
      </c>
      <c r="BO6" s="150">
        <f t="shared" si="0"/>
        <v>-1.3466634501170649</v>
      </c>
      <c r="BP6" s="150">
        <f t="shared" si="0"/>
        <v>-1.4155587522250528</v>
      </c>
      <c r="BQ6" s="150">
        <f t="shared" si="0"/>
        <v>-1.4879787379888882</v>
      </c>
      <c r="BR6" s="150">
        <f t="shared" si="0"/>
        <v>-1.5641037302243987</v>
      </c>
      <c r="BS6" s="150">
        <f t="shared" si="0"/>
        <v>-1.6441232770626795</v>
      </c>
      <c r="BT6" s="150">
        <f t="shared" si="0"/>
        <v>-1.4097167877480388E-14</v>
      </c>
    </row>
    <row r="7" spans="1:72" x14ac:dyDescent="0.25">
      <c r="B7" s="24" t="s">
        <v>87</v>
      </c>
      <c r="C7" s="32">
        <v>9856.3916075683792</v>
      </c>
      <c r="D7" t="s">
        <v>234</v>
      </c>
      <c r="E7" s="50" t="s">
        <v>111</v>
      </c>
      <c r="I7" s="145"/>
      <c r="J7" s="146"/>
      <c r="K7" s="47"/>
      <c r="L7" s="47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s="53" customFormat="1" x14ac:dyDescent="0.25">
      <c r="B9" s="24" t="s">
        <v>187</v>
      </c>
      <c r="C9" s="126">
        <v>0</v>
      </c>
      <c r="I9" s="145"/>
      <c r="J9" s="146"/>
    </row>
    <row r="10" spans="1:72" s="105" customFormat="1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0</v>
      </c>
      <c r="D11" t="s">
        <v>235</v>
      </c>
      <c r="I11" s="145"/>
      <c r="J11" s="146"/>
    </row>
    <row r="12" spans="1:72" s="19" customFormat="1" x14ac:dyDescent="0.25">
      <c r="B12" s="24" t="s">
        <v>90</v>
      </c>
      <c r="C12" s="43">
        <v>5.1159999999999997E-2</v>
      </c>
    </row>
    <row r="13" spans="1:72" s="19" customFormat="1" x14ac:dyDescent="0.25">
      <c r="B13" s="24" t="s">
        <v>106</v>
      </c>
      <c r="C13" s="60">
        <v>1728.2366239172072</v>
      </c>
      <c r="D13" s="19" t="s">
        <v>236</v>
      </c>
      <c r="E13" s="50" t="s">
        <v>111</v>
      </c>
    </row>
    <row r="14" spans="1:72" x14ac:dyDescent="0.25">
      <c r="B14" s="24" t="s">
        <v>107</v>
      </c>
      <c r="C14" s="43">
        <v>2020</v>
      </c>
    </row>
    <row r="15" spans="1:72" s="19" customFormat="1" x14ac:dyDescent="0.25">
      <c r="B15" s="24" t="s">
        <v>108</v>
      </c>
      <c r="C15" s="43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Summary!C15-Calcs!D15)</f>
        <v>1.4097167877480388E-11</v>
      </c>
    </row>
    <row r="18" spans="2:4" s="105" customFormat="1" x14ac:dyDescent="0.25">
      <c r="B18" s="24" t="s">
        <v>223</v>
      </c>
      <c r="C18" s="41" t="s">
        <v>229</v>
      </c>
      <c r="D18" s="105" t="s">
        <v>225</v>
      </c>
    </row>
    <row r="19" spans="2:4" s="19" customFormat="1" x14ac:dyDescent="0.25"/>
    <row r="20" spans="2:4" s="19" customFormat="1" x14ac:dyDescent="0.25"/>
    <row r="35" spans="1:39" s="53" customFormat="1" x14ac:dyDescent="0.25"/>
    <row r="36" spans="1:39" s="53" customFormat="1" x14ac:dyDescent="0.25"/>
    <row r="37" spans="1:39" s="53" customFormat="1" x14ac:dyDescent="0.25"/>
    <row r="41" spans="1:39" x14ac:dyDescent="0.25">
      <c r="B41" s="20" t="s">
        <v>94</v>
      </c>
    </row>
    <row r="42" spans="1:39" x14ac:dyDescent="0.25">
      <c r="B42" s="33" t="s">
        <v>91</v>
      </c>
      <c r="C42" s="54">
        <v>2014</v>
      </c>
      <c r="D42" s="54">
        <v>2015</v>
      </c>
      <c r="E42" s="54">
        <v>2016</v>
      </c>
      <c r="F42" s="20">
        <v>2017</v>
      </c>
      <c r="G42" s="20">
        <v>2018</v>
      </c>
      <c r="H42" s="20">
        <v>2019</v>
      </c>
      <c r="I42" s="20">
        <v>2020</v>
      </c>
      <c r="J42" s="20">
        <v>2021</v>
      </c>
      <c r="K42" s="20">
        <v>2022</v>
      </c>
      <c r="L42" s="20">
        <v>2023</v>
      </c>
      <c r="M42" s="20">
        <v>2024</v>
      </c>
      <c r="N42" s="20">
        <v>2025</v>
      </c>
      <c r="O42" s="20">
        <v>2026</v>
      </c>
      <c r="P42" s="20">
        <v>2027</v>
      </c>
      <c r="Q42" s="20">
        <v>2028</v>
      </c>
      <c r="R42" s="20">
        <v>2029</v>
      </c>
      <c r="S42" s="20">
        <v>2030</v>
      </c>
      <c r="T42" s="20">
        <v>2031</v>
      </c>
      <c r="U42" s="20">
        <v>2032</v>
      </c>
      <c r="V42" s="20">
        <v>2033</v>
      </c>
      <c r="W42" s="20">
        <v>2034</v>
      </c>
      <c r="X42" s="20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1:39" x14ac:dyDescent="0.25">
      <c r="B43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1:39" s="53" customFormat="1" x14ac:dyDescent="0.25">
      <c r="B44" s="53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1:39" x14ac:dyDescent="0.25">
      <c r="A45" s="19"/>
      <c r="B45" s="19" t="s">
        <v>195</v>
      </c>
      <c r="F45" s="32">
        <f>Calcs!D33</f>
        <v>10536.702858235039</v>
      </c>
      <c r="G45" s="32">
        <f>Calcs!E33</f>
        <v>10295.901440387348</v>
      </c>
      <c r="H45" s="32">
        <f>Calcs!F33</f>
        <v>10040.543174113349</v>
      </c>
      <c r="I45" s="32">
        <f>Calcs!G33</f>
        <v>10061.127735523905</v>
      </c>
      <c r="J45" s="32">
        <f>Calcs!H33</f>
        <v>9152.6137961843142</v>
      </c>
      <c r="K45" s="32">
        <f>Calcs!I33</f>
        <v>9335.6660721080007</v>
      </c>
      <c r="L45" s="32">
        <f>Calcs!J33</f>
        <v>9522.3793935501581</v>
      </c>
      <c r="M45" s="32">
        <f>Calcs!K33</f>
        <v>9712.8269814211617</v>
      </c>
      <c r="N45" s="32">
        <f>Calcs!L33</f>
        <v>9907.0835210495861</v>
      </c>
      <c r="O45" s="32">
        <f>Calcs!M33</f>
        <v>10105.225191470578</v>
      </c>
      <c r="P45" s="32">
        <f>Calcs!N33</f>
        <v>10307.329695299988</v>
      </c>
      <c r="Q45" s="32">
        <f>Calcs!O33</f>
        <v>10513.476289205988</v>
      </c>
      <c r="R45" s="32">
        <f>Calcs!P33</f>
        <v>10723.745814990109</v>
      </c>
      <c r="S45" s="32">
        <f>Calcs!Q33</f>
        <v>10938.220731289912</v>
      </c>
      <c r="T45" s="32">
        <f>Calcs!R33</f>
        <v>10382.721319312956</v>
      </c>
      <c r="U45" s="32">
        <f>Calcs!S33</f>
        <v>10548.175453605289</v>
      </c>
      <c r="V45" s="32">
        <f>Calcs!T33</f>
        <v>9966.2749462989486</v>
      </c>
      <c r="W45" s="32">
        <f>Calcs!U33</f>
        <v>9484.6717558735727</v>
      </c>
      <c r="X45" s="32">
        <f>Calcs!V33</f>
        <v>7390.5578155752055</v>
      </c>
      <c r="Y45" s="32">
        <f>Calcs!W33</f>
        <v>7117.0811347744111</v>
      </c>
      <c r="Z45" s="32">
        <f>Calcs!X33</f>
        <v>6856.8127288860333</v>
      </c>
      <c r="AA45" s="32">
        <f>Calcs!Y33</f>
        <v>6609.1146695658654</v>
      </c>
      <c r="AB45" s="32">
        <f>Calcs!Z33</f>
        <v>6373.3798388953683</v>
      </c>
      <c r="AC45" s="32">
        <f>Calcs!AA33</f>
        <v>6149.0304413111962</v>
      </c>
      <c r="AD45" s="32">
        <f>Calcs!AB33</f>
        <v>5935.5165874050081</v>
      </c>
      <c r="AE45" s="32">
        <f>Calcs!AC33</f>
        <v>5732.3149461223766</v>
      </c>
      <c r="AF45" s="32">
        <f>Calcs!AD33</f>
        <v>5538.9274620573024</v>
      </c>
      <c r="AG45" s="32">
        <f>Calcs!AE33</f>
        <v>5354.8801346983619</v>
      </c>
      <c r="AH45" s="32">
        <f>Calcs!AF33</f>
        <v>5179.7218566343508</v>
      </c>
      <c r="AI45" s="32">
        <f>Calcs!AG33</f>
        <v>5013.0233078718675</v>
      </c>
      <c r="AJ45" s="32">
        <f>Calcs!AH33</f>
        <v>4854.37590355471</v>
      </c>
      <c r="AK45" s="32">
        <f>Calcs!AI33</f>
        <v>2975.1541685887391</v>
      </c>
      <c r="AL45" s="32">
        <f>Calcs!AJ33</f>
        <v>2831.4612802208057</v>
      </c>
      <c r="AM45" s="32">
        <f>Calcs!AK33</f>
        <v>2694.7084174775991</v>
      </c>
    </row>
    <row r="46" spans="1:39" x14ac:dyDescent="0.25">
      <c r="B46" t="s">
        <v>126</v>
      </c>
      <c r="F46" s="32">
        <f>Calcs!D32</f>
        <v>1558.6668240000054</v>
      </c>
      <c r="G46" s="32">
        <f>Calcs!E32</f>
        <v>3177.1877467158538</v>
      </c>
      <c r="H46" s="32">
        <f>Calcs!F32</f>
        <v>4851.2946505045111</v>
      </c>
      <c r="I46" s="32">
        <f>Calcs!G32</f>
        <v>7206.7869541576474</v>
      </c>
      <c r="J46" s="32">
        <f>Calcs!H32</f>
        <v>9266.4278547323447</v>
      </c>
      <c r="K46" s="32">
        <f>Calcs!I32</f>
        <v>11038.458493711185</v>
      </c>
      <c r="L46" s="32">
        <f>Calcs!J32</f>
        <v>12324.238806311098</v>
      </c>
      <c r="M46" s="32">
        <f>Calcs!K32</f>
        <v>14370.038935194936</v>
      </c>
      <c r="N46" s="32">
        <f>Calcs!L32</f>
        <v>15725.144694507444</v>
      </c>
      <c r="O46" s="32">
        <f>Calcs!M32</f>
        <v>16457.705106357869</v>
      </c>
      <c r="P46" s="32">
        <f>Calcs!N32</f>
        <v>18035.195833396057</v>
      </c>
      <c r="Q46" s="32">
        <f>Calcs!O32</f>
        <v>19263.497805131454</v>
      </c>
      <c r="R46" s="32">
        <f>Calcs!P32</f>
        <v>19533.964718717969</v>
      </c>
      <c r="S46" s="32">
        <f>Calcs!Q32</f>
        <v>19316.539734776055</v>
      </c>
      <c r="T46" s="32">
        <f>Calcs!R32</f>
        <v>18576.537283689991</v>
      </c>
      <c r="U46" s="32">
        <f>Calcs!S32</f>
        <v>17798.676307206366</v>
      </c>
      <c r="V46" s="32">
        <f>Calcs!T32</f>
        <v>16981.019963165836</v>
      </c>
      <c r="W46" s="32">
        <f>Calcs!U32</f>
        <v>16121.532320564194</v>
      </c>
      <c r="X46" s="32">
        <f>Calcs!V32</f>
        <v>15218.073290167053</v>
      </c>
      <c r="Y46" s="32">
        <f>Calcs!W32</f>
        <v>14268.393295774793</v>
      </c>
      <c r="Z46" s="32">
        <f>Calcs!X32</f>
        <v>13270.127672869425</v>
      </c>
      <c r="AA46" s="32">
        <f>Calcs!Y32</f>
        <v>12220.790780696218</v>
      </c>
      <c r="AB46" s="32">
        <f>Calcs!Z32</f>
        <v>11117.76981311943</v>
      </c>
      <c r="AC46" s="32">
        <f>Calcs!AA32</f>
        <v>9958.3182928414135</v>
      </c>
      <c r="AD46" s="32">
        <f>Calcs!AB32</f>
        <v>8739.5492327859756</v>
      </c>
      <c r="AE46" s="32">
        <f>Calcs!AC32</f>
        <v>7458.4279476180982</v>
      </c>
      <c r="AF46" s="32">
        <f>Calcs!AD32</f>
        <v>6111.7644975010335</v>
      </c>
      <c r="AG46" s="32">
        <f>Calcs!AE32</f>
        <v>4696.20574527598</v>
      </c>
      <c r="AH46" s="32">
        <f>Calcs!AF32</f>
        <v>3208.2270072870924</v>
      </c>
      <c r="AI46" s="32">
        <f>Calcs!AG32</f>
        <v>1644.1232770626934</v>
      </c>
      <c r="AJ46" s="32">
        <f>Calcs!AH32</f>
        <v>1.4097167877480388E-11</v>
      </c>
      <c r="AK46" s="32">
        <f>Calcs!AI32</f>
        <v>0</v>
      </c>
      <c r="AL46" s="32">
        <f>Calcs!AJ32</f>
        <v>0</v>
      </c>
      <c r="AM46" s="32">
        <f>Calcs!AK32</f>
        <v>0</v>
      </c>
    </row>
    <row r="48" spans="1:39" x14ac:dyDescent="0.25">
      <c r="B48" s="20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20">
        <v>2017</v>
      </c>
      <c r="G50" s="20">
        <v>2018</v>
      </c>
      <c r="H50" s="20">
        <v>2019</v>
      </c>
      <c r="I50" s="20">
        <v>2020</v>
      </c>
      <c r="J50" s="20">
        <v>2021</v>
      </c>
      <c r="K50" s="20">
        <v>2022</v>
      </c>
      <c r="L50" s="20">
        <v>2023</v>
      </c>
      <c r="M50" s="20">
        <v>2024</v>
      </c>
      <c r="N50" s="20">
        <v>2025</v>
      </c>
      <c r="O50" s="20">
        <v>2026</v>
      </c>
      <c r="P50" s="20">
        <v>2027</v>
      </c>
      <c r="Q50" s="20">
        <v>2028</v>
      </c>
      <c r="R50" s="20">
        <v>2029</v>
      </c>
      <c r="S50" s="20">
        <v>2030</v>
      </c>
      <c r="T50" s="20">
        <v>2031</v>
      </c>
      <c r="U50" s="20">
        <v>2032</v>
      </c>
      <c r="V50" s="20">
        <v>2033</v>
      </c>
      <c r="W50" s="20">
        <v>2034</v>
      </c>
      <c r="X50" s="20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s="53" customFormat="1" x14ac:dyDescent="0.25">
      <c r="B51" s="53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t="s">
        <v>135</v>
      </c>
      <c r="C52" s="32"/>
      <c r="D52" s="32"/>
      <c r="E52" s="32"/>
      <c r="F52" s="32">
        <f>'Residential Bill'!C19</f>
        <v>160.21813261808913</v>
      </c>
      <c r="G52" s="32">
        <f>'Residential Bill'!D19</f>
        <v>162.76950298964928</v>
      </c>
      <c r="H52" s="32">
        <f>'Residential Bill'!E19</f>
        <v>165.41420006702134</v>
      </c>
      <c r="I52" s="32">
        <f>'Residential Bill'!F19</f>
        <v>175.94032368871547</v>
      </c>
      <c r="J52" s="32">
        <f>'Residential Bill'!G19</f>
        <v>173.59593780473958</v>
      </c>
      <c r="K52" s="32">
        <f>'Residential Bill'!H19</f>
        <v>176.91361421157205</v>
      </c>
      <c r="L52" s="32">
        <f>'Residential Bill'!I19</f>
        <v>181.74631090333577</v>
      </c>
      <c r="M52" s="32">
        <f>'Residential Bill'!J19</f>
        <v>184.45185686929372</v>
      </c>
      <c r="N52" s="32">
        <f>'Residential Bill'!K19</f>
        <v>193.49858854932918</v>
      </c>
      <c r="O52" s="32">
        <f>'Residential Bill'!L19</f>
        <v>188.45489333516903</v>
      </c>
      <c r="P52" s="32">
        <f>'Residential Bill'!M19</f>
        <v>198.44338301910517</v>
      </c>
      <c r="Q52" s="32">
        <f>'Residential Bill'!N19</f>
        <v>198.85748134818064</v>
      </c>
      <c r="R52" s="32">
        <f>'Residential Bill'!O19</f>
        <v>197.7162350799629</v>
      </c>
      <c r="S52" s="32">
        <f>'Residential Bill'!P19</f>
        <v>199.85545053707497</v>
      </c>
      <c r="T52" s="32">
        <f>'Residential Bill'!Q19</f>
        <v>202.42298557157022</v>
      </c>
      <c r="U52" s="32">
        <f>'Residential Bill'!R19</f>
        <v>204.74964459598468</v>
      </c>
      <c r="V52" s="32">
        <f>'Residential Bill'!S19</f>
        <v>206.70587849410711</v>
      </c>
      <c r="W52" s="32">
        <f>'Residential Bill'!T19</f>
        <v>208.12189291901626</v>
      </c>
      <c r="X52" s="32">
        <f>'Residential Bill'!U19</f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s="53" customFormat="1" x14ac:dyDescent="0.25">
      <c r="B53" s="53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f>'Residential Bill'!V20</f>
        <v>205.43844915893689</v>
      </c>
      <c r="Z53" s="32">
        <f>'Residential Bill'!W20</f>
        <v>206.28594886613706</v>
      </c>
      <c r="AA53" s="32">
        <f>'Residential Bill'!X20</f>
        <v>207.13694478233143</v>
      </c>
      <c r="AB53" s="32">
        <f>'Residential Bill'!Y20</f>
        <v>207.99145133050709</v>
      </c>
      <c r="AC53" s="32">
        <f>'Residential Bill'!Z20</f>
        <v>208.84948299315059</v>
      </c>
      <c r="AD53" s="32">
        <f>'Residential Bill'!AA20</f>
        <v>209.71105431249339</v>
      </c>
      <c r="AE53" s="32">
        <f>'Residential Bill'!AB20</f>
        <v>210.57617989075831</v>
      </c>
      <c r="AF53" s="32">
        <f>'Residential Bill'!AC20</f>
        <v>211.44487439040711</v>
      </c>
      <c r="AG53" s="32">
        <f>'Residential Bill'!AD20</f>
        <v>212.31715253438887</v>
      </c>
      <c r="AH53" s="32">
        <f>'Residential Bill'!AE20</f>
        <v>213.19302910638956</v>
      </c>
      <c r="AI53" s="32">
        <f>'Residential Bill'!AF20</f>
        <v>214.07251895108266</v>
      </c>
      <c r="AJ53" s="32">
        <f>'Residential Bill'!AG20</f>
        <v>214.95563697438064</v>
      </c>
      <c r="AK53" s="32">
        <f>'Residential Bill'!AH20</f>
        <v>215.84239814368772</v>
      </c>
      <c r="AL53" s="32">
        <f>'Residential Bill'!AI20</f>
        <v>216.73281748815344</v>
      </c>
      <c r="AM53" s="32">
        <f>'Residential Bill'!AJ20</f>
        <v>217.62691009892745</v>
      </c>
    </row>
    <row r="54" spans="2:39" x14ac:dyDescent="0.25">
      <c r="B54" t="s">
        <v>193</v>
      </c>
      <c r="C54" s="32"/>
      <c r="D54" s="32"/>
      <c r="E54" s="32"/>
      <c r="F54" s="32">
        <f ca="1">'Residential Bill'!C22</f>
        <v>138.96283261808907</v>
      </c>
      <c r="G54" s="32">
        <f ca="1">'Residential Bill'!D22</f>
        <v>141.78540298964919</v>
      </c>
      <c r="H54" s="32">
        <f ca="1">'Residential Bill'!E22</f>
        <v>144.65610006702124</v>
      </c>
      <c r="I54" s="32">
        <f ca="1">'Residential Bill'!F22</f>
        <v>147.00102368871558</v>
      </c>
      <c r="J54" s="32">
        <f ca="1">'Residential Bill'!G22</f>
        <v>150.3744378047397</v>
      </c>
      <c r="K54" s="32">
        <f ca="1">'Residential Bill'!H22</f>
        <v>159.08888204784864</v>
      </c>
      <c r="L54" s="32">
        <f ca="1">'Residential Bill'!I22</f>
        <v>171.8441793056833</v>
      </c>
      <c r="M54" s="32">
        <f ca="1">'Residential Bill'!J22</f>
        <v>165.01581999807112</v>
      </c>
      <c r="N54" s="32">
        <f ca="1">'Residential Bill'!K22</f>
        <v>184.98510122633712</v>
      </c>
      <c r="O54" s="32">
        <f ca="1">'Residential Bill'!L22</f>
        <v>189.44981565936845</v>
      </c>
      <c r="P54" s="32">
        <f ca="1">'Residential Bill'!M22</f>
        <v>188.34264983085876</v>
      </c>
      <c r="Q54" s="32">
        <f ca="1">'Residential Bill'!N22</f>
        <v>194.66041983489376</v>
      </c>
      <c r="R54" s="32">
        <f ca="1">'Residential Bill'!O22</f>
        <v>207.5359811783681</v>
      </c>
      <c r="S54" s="32">
        <f ca="1">'Residential Bill'!P22</f>
        <v>216.44852816108448</v>
      </c>
      <c r="T54" s="32">
        <f ca="1">'Residential Bill'!Q22</f>
        <v>225.99068287975865</v>
      </c>
      <c r="U54" s="32">
        <f ca="1">'Residential Bill'!R22</f>
        <v>228.15367733953292</v>
      </c>
      <c r="V54" s="32">
        <f ca="1">'Residential Bill'!S22</f>
        <v>229.94850411528606</v>
      </c>
      <c r="W54" s="32">
        <f ca="1">'Residential Bill'!T22</f>
        <v>231.20532247429674</v>
      </c>
      <c r="X54" s="32">
        <f ca="1">'Residential Bill'!U22</f>
        <v>227.3659226150458</v>
      </c>
      <c r="Y54" s="32">
        <f ca="1">'Residential Bill'!V22</f>
        <v>228.1155474366499</v>
      </c>
      <c r="Z54" s="32">
        <f ca="1">'Residential Bill'!W22</f>
        <v>228.86904538426009</v>
      </c>
      <c r="AA54" s="32">
        <f ca="1">'Residential Bill'!X22</f>
        <v>229.62642919966024</v>
      </c>
      <c r="AB54" s="32">
        <f ca="1">'Residential Bill'!Y22</f>
        <v>230.38771169061258</v>
      </c>
      <c r="AC54" s="32">
        <f ca="1">'Residential Bill'!Z22</f>
        <v>231.15290573107433</v>
      </c>
      <c r="AD54" s="32">
        <f ca="1">'Residential Bill'!AA22</f>
        <v>231.92202426141526</v>
      </c>
      <c r="AE54" s="32">
        <f ca="1">'Residential Bill'!AB22</f>
        <v>232.69508028863666</v>
      </c>
      <c r="AF54" s="32">
        <f ca="1">'Residential Bill'!AC22</f>
        <v>233.47208688659128</v>
      </c>
      <c r="AG54" s="32">
        <f ca="1">'Residential Bill'!AD22</f>
        <v>234.25305719620437</v>
      </c>
      <c r="AH54" s="32">
        <f ca="1">'Residential Bill'!AE22</f>
        <v>235.03800442569587</v>
      </c>
      <c r="AI54" s="32">
        <f ca="1">'Residential Bill'!AF22</f>
        <v>235.82694185080396</v>
      </c>
      <c r="AJ54" s="32">
        <f ca="1">'Residential Bill'!AG22</f>
        <v>236.61988281500933</v>
      </c>
      <c r="AK54" s="32">
        <f ca="1">'Residential Bill'!AH22</f>
        <v>215.84239814368772</v>
      </c>
      <c r="AL54" s="32">
        <f ca="1">'Residential Bill'!AI22</f>
        <v>216.73281748815344</v>
      </c>
      <c r="AM54" s="32">
        <f ca="1">'Residential Bill'!AJ22</f>
        <v>217.62691009892745</v>
      </c>
    </row>
    <row r="55" spans="2:39" x14ac:dyDescent="0.25">
      <c r="B55" t="s">
        <v>194</v>
      </c>
      <c r="F55" s="37">
        <f t="shared" ref="F55:X55" ca="1" si="1">F54-F52</f>
        <v>-21.255300000000062</v>
      </c>
      <c r="G55" s="37">
        <f t="shared" ca="1" si="1"/>
        <v>-20.984100000000097</v>
      </c>
      <c r="H55" s="37">
        <f t="shared" ca="1" si="1"/>
        <v>-20.758100000000098</v>
      </c>
      <c r="I55" s="37">
        <f t="shared" ca="1" si="1"/>
        <v>-28.939299999999889</v>
      </c>
      <c r="J55" s="37">
        <f t="shared" ca="1" si="1"/>
        <v>-23.221499999999878</v>
      </c>
      <c r="K55" s="37">
        <f t="shared" ca="1" si="1"/>
        <v>-17.824732163723411</v>
      </c>
      <c r="L55" s="37">
        <f t="shared" ca="1" si="1"/>
        <v>-9.9021315976524704</v>
      </c>
      <c r="M55" s="37">
        <f t="shared" ca="1" si="1"/>
        <v>-19.436036871222598</v>
      </c>
      <c r="N55" s="37">
        <f t="shared" ca="1" si="1"/>
        <v>-8.5134873229920629</v>
      </c>
      <c r="O55" s="37">
        <f t="shared" ca="1" si="1"/>
        <v>0.99492232419942184</v>
      </c>
      <c r="P55" s="37">
        <f t="shared" ca="1" si="1"/>
        <v>-10.100733188246409</v>
      </c>
      <c r="Q55" s="37">
        <f t="shared" ca="1" si="1"/>
        <v>-4.1970615132868829</v>
      </c>
      <c r="R55" s="37">
        <f t="shared" ca="1" si="1"/>
        <v>9.8197460984052043</v>
      </c>
      <c r="S55" s="37">
        <f t="shared" ca="1" si="1"/>
        <v>16.59307762400951</v>
      </c>
      <c r="T55" s="37">
        <f t="shared" ca="1" si="1"/>
        <v>23.567697308188428</v>
      </c>
      <c r="U55" s="37">
        <f t="shared" ca="1" si="1"/>
        <v>23.404032743548242</v>
      </c>
      <c r="V55" s="37">
        <f t="shared" ca="1" si="1"/>
        <v>23.242625621178945</v>
      </c>
      <c r="W55" s="37">
        <f t="shared" ca="1" si="1"/>
        <v>23.083429555280475</v>
      </c>
      <c r="X55" s="37">
        <f t="shared" ca="1" si="1"/>
        <v>22.771491318046941</v>
      </c>
      <c r="Y55" s="37">
        <f t="shared" ref="Y55:AM55" ca="1" si="2">Y54-Y53</f>
        <v>22.677098277713014</v>
      </c>
      <c r="Z55" s="37">
        <f t="shared" ca="1" si="2"/>
        <v>22.583096518123028</v>
      </c>
      <c r="AA55" s="37">
        <f t="shared" ca="1" si="2"/>
        <v>22.489484417328811</v>
      </c>
      <c r="AB55" s="37">
        <f t="shared" ca="1" si="2"/>
        <v>22.396260360105487</v>
      </c>
      <c r="AC55" s="37">
        <f t="shared" ca="1" si="2"/>
        <v>22.303422737923739</v>
      </c>
      <c r="AD55" s="37">
        <f t="shared" ca="1" si="2"/>
        <v>22.210969948921871</v>
      </c>
      <c r="AE55" s="37">
        <f t="shared" ca="1" si="2"/>
        <v>22.118900397878349</v>
      </c>
      <c r="AF55" s="37">
        <f t="shared" ca="1" si="2"/>
        <v>22.027212496184177</v>
      </c>
      <c r="AG55" s="37">
        <f t="shared" ca="1" si="2"/>
        <v>21.935904661815499</v>
      </c>
      <c r="AH55" s="37">
        <f t="shared" ca="1" si="2"/>
        <v>21.844975319306315</v>
      </c>
      <c r="AI55" s="37">
        <f t="shared" ca="1" si="2"/>
        <v>21.754422899721305</v>
      </c>
      <c r="AJ55" s="37">
        <f t="shared" ca="1" si="2"/>
        <v>21.664245840628695</v>
      </c>
      <c r="AK55" s="37">
        <f t="shared" ca="1" si="2"/>
        <v>0</v>
      </c>
      <c r="AL55" s="37">
        <f t="shared" ca="1" si="2"/>
        <v>0</v>
      </c>
      <c r="AM55" s="37">
        <f t="shared" ca="1" si="2"/>
        <v>0</v>
      </c>
    </row>
    <row r="56" spans="2:39" x14ac:dyDescent="0.25">
      <c r="B56" t="s">
        <v>222</v>
      </c>
      <c r="F56" s="22"/>
    </row>
    <row r="57" spans="2:39" x14ac:dyDescent="0.25"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Button 2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Button 3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Button 17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Button 18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1:BT57"/>
  <sheetViews>
    <sheetView topLeftCell="Z1" zoomScale="85" zoomScaleNormal="85" workbookViewId="0">
      <selection activeCell="AO4" sqref="AO4:BT6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31.7109375" style="105" customWidth="1"/>
    <col min="41" max="52" width="5.28515625" style="105" bestFit="1" customWidth="1"/>
    <col min="53" max="71" width="4.7109375" style="105" bestFit="1" customWidth="1"/>
    <col min="72" max="72" width="4.28515625" style="105" customWidth="1"/>
    <col min="73" max="16384" width="9.140625" style="105"/>
  </cols>
  <sheetData>
    <row r="1" spans="1:72" x14ac:dyDescent="0.25">
      <c r="A1" s="54"/>
      <c r="B1" s="46"/>
      <c r="I1" s="105" t="s">
        <v>232</v>
      </c>
      <c r="J1" s="105">
        <v>1</v>
      </c>
      <c r="L1" s="105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1"/>
      <c r="AO3" s="152">
        <v>2017</v>
      </c>
      <c r="AP3" s="152">
        <v>2018</v>
      </c>
      <c r="AQ3" s="152">
        <v>2019</v>
      </c>
      <c r="AR3" s="152">
        <v>2020</v>
      </c>
      <c r="AS3" s="152">
        <v>2021</v>
      </c>
      <c r="AT3" s="152">
        <v>2022</v>
      </c>
      <c r="AU3" s="152">
        <v>2023</v>
      </c>
      <c r="AV3" s="152">
        <v>2024</v>
      </c>
      <c r="AW3" s="152">
        <v>2025</v>
      </c>
      <c r="AX3" s="152">
        <v>2026</v>
      </c>
      <c r="AY3" s="152">
        <v>2027</v>
      </c>
      <c r="AZ3" s="152">
        <v>2028</v>
      </c>
      <c r="BA3" s="152">
        <v>2029</v>
      </c>
      <c r="BB3" s="152">
        <v>2030</v>
      </c>
      <c r="BC3" s="152">
        <v>2031</v>
      </c>
      <c r="BD3" s="152">
        <v>2032</v>
      </c>
      <c r="BE3" s="152">
        <v>2033</v>
      </c>
      <c r="BF3" s="152">
        <v>2034</v>
      </c>
      <c r="BG3" s="152">
        <v>2035</v>
      </c>
      <c r="BH3" s="152">
        <v>2036</v>
      </c>
      <c r="BI3" s="152">
        <v>2037</v>
      </c>
      <c r="BJ3" s="152">
        <v>2038</v>
      </c>
      <c r="BK3" s="152">
        <v>2039</v>
      </c>
      <c r="BL3" s="152">
        <v>2040</v>
      </c>
      <c r="BM3" s="152">
        <v>2041</v>
      </c>
      <c r="BN3" s="152">
        <v>2042</v>
      </c>
      <c r="BO3" s="152">
        <v>2043</v>
      </c>
      <c r="BP3" s="152">
        <v>2044</v>
      </c>
      <c r="BQ3" s="152">
        <v>2045</v>
      </c>
      <c r="BR3" s="152">
        <v>2046</v>
      </c>
      <c r="BS3" s="152">
        <v>2047</v>
      </c>
      <c r="BT3" s="152">
        <v>2048</v>
      </c>
    </row>
    <row r="4" spans="1:72" ht="30" x14ac:dyDescent="0.25">
      <c r="C4" s="124"/>
      <c r="D4" s="32"/>
      <c r="I4" s="105" t="s">
        <v>237</v>
      </c>
      <c r="J4" s="59">
        <f ca="1">OFFSET('Impact Summary'!U$2, '1d'!$J$1, 0)</f>
        <v>-27.02</v>
      </c>
      <c r="K4" s="59">
        <f ca="1">OFFSET('Impact Summary'!V$2, '1d'!$J$1, 0)</f>
        <v>-26.94</v>
      </c>
      <c r="L4" s="59">
        <f ca="1">OFFSET('Impact Summary'!W$2, '1d'!$J$1, 0)</f>
        <v>-26.909999999999997</v>
      </c>
      <c r="M4" s="59">
        <f ca="1">OFFSET('Impact Summary'!X$2, '1d'!$J$1, 0)</f>
        <v>-34.32</v>
      </c>
      <c r="N4" s="59">
        <f ca="1">OFFSET('Impact Summary'!Y$2, '1d'!$J$1, 0)</f>
        <v>-28.09</v>
      </c>
      <c r="AN4" s="130" t="s">
        <v>221</v>
      </c>
      <c r="AO4" s="150">
        <f>'1d'!F55/1.13</f>
        <v>-27.020000000000003</v>
      </c>
      <c r="AP4" s="150">
        <f>'1d'!G55/1.13</f>
        <v>-26.940000000000015</v>
      </c>
      <c r="AQ4" s="150">
        <f>'1d'!H55/1.13</f>
        <v>-26.91</v>
      </c>
      <c r="AR4" s="150">
        <f>'1d'!I55/1.13</f>
        <v>-34.319999999999979</v>
      </c>
      <c r="AS4" s="150">
        <f>'1d'!J55/1.13</f>
        <v>-28.090000000000011</v>
      </c>
      <c r="AT4" s="150">
        <f>'1d'!K55/1.13</f>
        <v>-23.464899259932356</v>
      </c>
      <c r="AU4" s="150">
        <f>'1d'!L55/1.13</f>
        <v>-16.607564316506725</v>
      </c>
      <c r="AV4" s="150">
        <f>'1d'!M55/1.13</f>
        <v>-25.201540949400645</v>
      </c>
      <c r="AW4" s="150">
        <f>'1d'!N55/1.13</f>
        <v>-15.695598064269211</v>
      </c>
      <c r="AX4" s="150">
        <f>'1d'!O55/1.13</f>
        <v>-7.503347939033433</v>
      </c>
      <c r="AY4" s="150">
        <f>'1d'!P55/1.13</f>
        <v>-17.429966577751944</v>
      </c>
      <c r="AZ4" s="150">
        <f>'1d'!Q55/1.13</f>
        <v>-12.375303662648133</v>
      </c>
      <c r="BA4" s="150">
        <f>'1d'!R55/1.13</f>
        <v>-0.14427093770837823</v>
      </c>
      <c r="BB4" s="150">
        <f>'1d'!S55/1.13</f>
        <v>5.7361554946616193</v>
      </c>
      <c r="BC4" s="150">
        <f>'1d'!T55/1.13</f>
        <v>21.073245838665368</v>
      </c>
      <c r="BD4" s="150">
        <f>'1d'!U55/1.13</f>
        <v>21.436948004527441</v>
      </c>
      <c r="BE4" s="150">
        <f>'1d'!V55/1.13</f>
        <v>30.739826250370314</v>
      </c>
      <c r="BF4" s="150">
        <f>'1d'!W55/1.13</f>
        <v>38.136688369911305</v>
      </c>
      <c r="BG4" s="150">
        <f>'1d'!X55/1.13</f>
        <v>37.621327716263863</v>
      </c>
      <c r="BH4" s="150">
        <f>'1d'!Y55/1.13</f>
        <v>37.465378707262325</v>
      </c>
      <c r="BI4" s="150">
        <f>'1d'!Z55/1.13</f>
        <v>37.310076142575326</v>
      </c>
      <c r="BJ4" s="150">
        <f>'1d'!AA55/1.13</f>
        <v>37.15541734254338</v>
      </c>
      <c r="BK4" s="150">
        <f>'1d'!AB55/1.13</f>
        <v>37.001399638614664</v>
      </c>
      <c r="BL4" s="150">
        <f>'1d'!AC55/1.13</f>
        <v>36.848020373299228</v>
      </c>
      <c r="BM4" s="150">
        <f>'1d'!AD55/1.13</f>
        <v>36.695276900122963</v>
      </c>
      <c r="BN4" s="150">
        <f>'1d'!AE55/1.13</f>
        <v>36.543166583582014</v>
      </c>
      <c r="BO4" s="150">
        <f>'1d'!AF55/1.13</f>
        <v>36.391686799097336</v>
      </c>
      <c r="BP4" s="150">
        <f>'1d'!AG55/1.13</f>
        <v>36.24083493296925</v>
      </c>
      <c r="BQ4" s="150">
        <f>'1d'!AH55/1.13</f>
        <v>36.090608382332611</v>
      </c>
      <c r="BR4" s="150">
        <f>'1d'!AI55/1.13</f>
        <v>35.941004555111647</v>
      </c>
      <c r="BS4" s="150">
        <f>'1d'!AJ55/1.13</f>
        <v>35.792020869975353</v>
      </c>
      <c r="BT4" s="150">
        <f>'1d'!AK55/1.13</f>
        <v>0</v>
      </c>
    </row>
    <row r="5" spans="1:72" x14ac:dyDescent="0.25">
      <c r="B5" s="25"/>
      <c r="C5" s="45" t="s">
        <v>209</v>
      </c>
      <c r="I5" s="147"/>
      <c r="J5" s="146"/>
      <c r="K5" s="121"/>
      <c r="L5" s="54"/>
      <c r="AN5" s="130" t="s">
        <v>213</v>
      </c>
      <c r="AO5" s="150">
        <f>'1d'!F46/1000</f>
        <v>2.2389780746666674</v>
      </c>
      <c r="AP5" s="150">
        <f>'1d'!G46/1000</f>
        <v>4.5858731689666152</v>
      </c>
      <c r="AQ5" s="150">
        <f>'1d'!H46/1000</f>
        <v>7.0347560562909477</v>
      </c>
      <c r="AR5" s="150">
        <f>'1d'!I46/1000</f>
        <v>10.218650208130791</v>
      </c>
      <c r="AS5" s="150">
        <f>'1d'!J46/1000</f>
        <v>13.052801403445432</v>
      </c>
      <c r="AT5" s="150">
        <f>'1d'!K46/1000</f>
        <v>15.651374751256444</v>
      </c>
      <c r="AU5" s="150">
        <f>'1d'!L46/1000</f>
        <v>17.818640334433983</v>
      </c>
      <c r="AV5" s="150">
        <f>'1d'!M46/1000</f>
        <v>20.803932289835029</v>
      </c>
      <c r="AW5" s="150">
        <f>'1d'!N46/1000</f>
        <v>23.159762242396138</v>
      </c>
      <c r="AX5" s="150">
        <f>'1d'!O46/1000</f>
        <v>24.957675221406266</v>
      </c>
      <c r="AY5" s="150">
        <f>'1d'!P46/1000</f>
        <v>27.66872190360824</v>
      </c>
      <c r="AZ5" s="150">
        <f>'1d'!Q46/1000</f>
        <v>30.102546502855155</v>
      </c>
      <c r="BA5" s="150">
        <f>'1d'!R46/1000</f>
        <v>31.654464010251875</v>
      </c>
      <c r="BB5" s="150">
        <f>'1d'!S46/1000</f>
        <v>32.798587129748192</v>
      </c>
      <c r="BC5" s="150">
        <f>'1d'!T46/1000</f>
        <v>32.730355023663172</v>
      </c>
      <c r="BD5" s="150">
        <f>'1d'!U46/1000</f>
        <v>32.616072446942397</v>
      </c>
      <c r="BE5" s="150">
        <f>'1d'!V46/1000</f>
        <v>31.701868538901856</v>
      </c>
      <c r="BF5" s="150">
        <f>'1d'!W46/1000</f>
        <v>30.097290938989062</v>
      </c>
      <c r="BG5" s="150">
        <f>'1d'!X46/1000</f>
        <v>28.410623149064726</v>
      </c>
      <c r="BH5" s="150">
        <f>'1d'!Y46/1000</f>
        <v>26.637665435007861</v>
      </c>
      <c r="BI5" s="150">
        <f>'1d'!Z46/1000</f>
        <v>24.774003204299845</v>
      </c>
      <c r="BJ5" s="150">
        <f>'1d'!AA46/1000</f>
        <v>22.814996013868811</v>
      </c>
      <c r="BK5" s="150">
        <f>'1d'!AB46/1000</f>
        <v>20.755766015575322</v>
      </c>
      <c r="BL5" s="150">
        <f>'1d'!AC46/1000</f>
        <v>18.59118581056914</v>
      </c>
      <c r="BM5" s="150">
        <f>'1d'!AD46/1000</f>
        <v>16.31586568227484</v>
      </c>
      <c r="BN5" s="150">
        <f>'1d'!AE46/1000</f>
        <v>13.924140176217003</v>
      </c>
      <c r="BO5" s="150">
        <f>'1d'!AF46/1000</f>
        <v>11.410053993269246</v>
      </c>
      <c r="BP5" s="150">
        <f>'1d'!AG46/1000</f>
        <v>8.7673471612018794</v>
      </c>
      <c r="BQ5" s="150">
        <f>'1d'!AH46/1000</f>
        <v>5.9894394476059487</v>
      </c>
      <c r="BR5" s="150">
        <f>'1d'!AI46/1000</f>
        <v>3.0694139753824503</v>
      </c>
      <c r="BS5" s="150">
        <f>'1d'!AJ46/1000</f>
        <v>0</v>
      </c>
      <c r="BT5" s="150">
        <f>'1d'!AK46/1000</f>
        <v>0</v>
      </c>
    </row>
    <row r="6" spans="1:72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0">
        <f>AO5</f>
        <v>2.2389780746666674</v>
      </c>
      <c r="AP6" s="150">
        <f t="shared" ref="AP6:BT6" si="0">AP5-AO5</f>
        <v>2.3468950942999478</v>
      </c>
      <c r="AQ6" s="150">
        <f t="shared" si="0"/>
        <v>2.4488828873243325</v>
      </c>
      <c r="AR6" s="150">
        <f t="shared" si="0"/>
        <v>3.1838941518398434</v>
      </c>
      <c r="AS6" s="150">
        <f t="shared" si="0"/>
        <v>2.8341511953146412</v>
      </c>
      <c r="AT6" s="150">
        <f t="shared" si="0"/>
        <v>2.598573347811012</v>
      </c>
      <c r="AU6" s="150">
        <f t="shared" si="0"/>
        <v>2.1672655831775387</v>
      </c>
      <c r="AV6" s="150">
        <f t="shared" si="0"/>
        <v>2.9852919554010455</v>
      </c>
      <c r="AW6" s="150">
        <f t="shared" si="0"/>
        <v>2.3558299525611091</v>
      </c>
      <c r="AX6" s="150">
        <f t="shared" si="0"/>
        <v>1.7979129790101283</v>
      </c>
      <c r="AY6" s="150">
        <f t="shared" si="0"/>
        <v>2.7110466822019745</v>
      </c>
      <c r="AZ6" s="150">
        <f t="shared" si="0"/>
        <v>2.4338245992469147</v>
      </c>
      <c r="BA6" s="150">
        <f t="shared" si="0"/>
        <v>1.5519175073967197</v>
      </c>
      <c r="BB6" s="150">
        <f t="shared" si="0"/>
        <v>1.1441231194963173</v>
      </c>
      <c r="BC6" s="150">
        <f t="shared" si="0"/>
        <v>-6.823210608501995E-2</v>
      </c>
      <c r="BD6" s="150">
        <f t="shared" si="0"/>
        <v>-0.11428257672077535</v>
      </c>
      <c r="BE6" s="150">
        <f t="shared" si="0"/>
        <v>-0.91420390804054108</v>
      </c>
      <c r="BF6" s="150">
        <f t="shared" si="0"/>
        <v>-1.604577599912794</v>
      </c>
      <c r="BG6" s="150">
        <f t="shared" si="0"/>
        <v>-1.6866677899243356</v>
      </c>
      <c r="BH6" s="150">
        <f t="shared" si="0"/>
        <v>-1.7729577140568651</v>
      </c>
      <c r="BI6" s="150">
        <f t="shared" si="0"/>
        <v>-1.863662230708016</v>
      </c>
      <c r="BJ6" s="150">
        <f t="shared" si="0"/>
        <v>-1.9590071904310342</v>
      </c>
      <c r="BK6" s="150">
        <f t="shared" si="0"/>
        <v>-2.059229998293489</v>
      </c>
      <c r="BL6" s="150">
        <f t="shared" si="0"/>
        <v>-2.1645802050061818</v>
      </c>
      <c r="BM6" s="150">
        <f t="shared" si="0"/>
        <v>-2.2753201282943003</v>
      </c>
      <c r="BN6" s="150">
        <f t="shared" si="0"/>
        <v>-2.3917255060578366</v>
      </c>
      <c r="BO6" s="150">
        <f t="shared" si="0"/>
        <v>-2.5140861829477572</v>
      </c>
      <c r="BP6" s="150">
        <f t="shared" si="0"/>
        <v>-2.6427068320673666</v>
      </c>
      <c r="BQ6" s="150">
        <f t="shared" si="0"/>
        <v>-2.7779077135959307</v>
      </c>
      <c r="BR6" s="150">
        <f t="shared" si="0"/>
        <v>-2.9200254722234984</v>
      </c>
      <c r="BS6" s="150">
        <f t="shared" si="0"/>
        <v>-3.0694139753824503</v>
      </c>
      <c r="BT6" s="150">
        <f t="shared" si="0"/>
        <v>0</v>
      </c>
    </row>
    <row r="7" spans="1:72" x14ac:dyDescent="0.25">
      <c r="B7" s="24" t="s">
        <v>87</v>
      </c>
      <c r="C7" s="32">
        <v>9856.3916075683792</v>
      </c>
      <c r="D7" s="105" t="s">
        <v>234</v>
      </c>
      <c r="E7" s="50" t="s">
        <v>111</v>
      </c>
      <c r="I7" s="145"/>
      <c r="J7" s="146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x14ac:dyDescent="0.25">
      <c r="B9" s="24" t="s">
        <v>187</v>
      </c>
      <c r="C9" s="126">
        <v>0</v>
      </c>
      <c r="I9" s="145"/>
      <c r="J9" s="146"/>
    </row>
    <row r="10" spans="1:72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0</v>
      </c>
      <c r="D11" s="105" t="s">
        <v>235</v>
      </c>
      <c r="I11" s="145"/>
      <c r="J11" s="146"/>
    </row>
    <row r="12" spans="1:72" x14ac:dyDescent="0.25">
      <c r="B12" s="24" t="s">
        <v>90</v>
      </c>
      <c r="C12" s="155">
        <v>5.1159999999999997E-2</v>
      </c>
    </row>
    <row r="13" spans="1:72" x14ac:dyDescent="0.25">
      <c r="B13" s="24" t="s">
        <v>106</v>
      </c>
      <c r="C13" s="60">
        <v>3226.4451943630197</v>
      </c>
      <c r="D13" s="105" t="s">
        <v>236</v>
      </c>
      <c r="E13" s="50" t="s">
        <v>111</v>
      </c>
    </row>
    <row r="14" spans="1:72" x14ac:dyDescent="0.25">
      <c r="B14" s="24" t="s">
        <v>107</v>
      </c>
      <c r="C14" s="155">
        <v>2020</v>
      </c>
    </row>
    <row r="15" spans="1:72" x14ac:dyDescent="0.25">
      <c r="B15" s="24" t="s">
        <v>108</v>
      </c>
      <c r="C15" s="155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'1d'!C15-Calcs!D15)</f>
        <v>1.4097167877480388E-11</v>
      </c>
    </row>
    <row r="18" spans="2:4" x14ac:dyDescent="0.25">
      <c r="B18" s="24" t="s">
        <v>223</v>
      </c>
      <c r="C18" s="41" t="s">
        <v>229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9856.3916075683774</v>
      </c>
      <c r="G45" s="32">
        <v>9602.3319923873551</v>
      </c>
      <c r="H45" s="32">
        <v>9337.8355367800232</v>
      </c>
      <c r="I45" s="32">
        <v>9344.4317728572314</v>
      </c>
      <c r="J45" s="32">
        <v>8532.1904255176378</v>
      </c>
      <c r="K45" s="32">
        <v>8702.8342340279905</v>
      </c>
      <c r="L45" s="32">
        <v>8876.8909187085483</v>
      </c>
      <c r="M45" s="32">
        <v>9054.4287370827205</v>
      </c>
      <c r="N45" s="32">
        <v>9235.5173118243747</v>
      </c>
      <c r="O45" s="32">
        <v>9420.2276580608632</v>
      </c>
      <c r="P45" s="32">
        <v>9608.6322112220787</v>
      </c>
      <c r="Q45" s="32">
        <v>9800.8048554465222</v>
      </c>
      <c r="R45" s="32">
        <v>9996.8209525554503</v>
      </c>
      <c r="S45" s="32">
        <v>10196.757371606562</v>
      </c>
      <c r="T45" s="32">
        <v>10400.69251903869</v>
      </c>
      <c r="U45" s="32">
        <v>10608.706369419466</v>
      </c>
      <c r="V45" s="32">
        <v>10820.880496807855</v>
      </c>
      <c r="W45" s="32">
        <v>10982.880326319384</v>
      </c>
      <c r="X45" s="32">
        <v>8888.7663860210178</v>
      </c>
      <c r="Y45" s="32">
        <v>8615.2897052202243</v>
      </c>
      <c r="Z45" s="32">
        <v>8355.0212993318455</v>
      </c>
      <c r="AA45" s="32">
        <v>8107.3232400116776</v>
      </c>
      <c r="AB45" s="32">
        <v>7871.5884093411805</v>
      </c>
      <c r="AC45" s="32">
        <v>7647.2390117570085</v>
      </c>
      <c r="AD45" s="32">
        <v>7433.7251578508203</v>
      </c>
      <c r="AE45" s="32">
        <v>7230.5235165681888</v>
      </c>
      <c r="AF45" s="32">
        <v>7037.1360325031146</v>
      </c>
      <c r="AG45" s="32">
        <v>6853.088705144175</v>
      </c>
      <c r="AH45" s="32">
        <v>6677.930427080164</v>
      </c>
      <c r="AI45" s="32">
        <v>6511.2318783176797</v>
      </c>
      <c r="AJ45" s="32">
        <v>6352.5844740005232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2238.9780746666675</v>
      </c>
      <c r="G46" s="32">
        <v>4585.8731689666156</v>
      </c>
      <c r="H46" s="32">
        <v>7034.7560562909475</v>
      </c>
      <c r="I46" s="32">
        <v>10218.650208130792</v>
      </c>
      <c r="J46" s="32">
        <v>13052.801403445432</v>
      </c>
      <c r="K46" s="32">
        <v>15651.374751256444</v>
      </c>
      <c r="L46" s="32">
        <v>17818.640334433981</v>
      </c>
      <c r="M46" s="32">
        <v>20803.932289835029</v>
      </c>
      <c r="N46" s="32">
        <v>23159.762242396137</v>
      </c>
      <c r="O46" s="32">
        <v>24957.675221406265</v>
      </c>
      <c r="P46" s="32">
        <v>27668.721903608239</v>
      </c>
      <c r="Q46" s="32">
        <v>30102.546502855155</v>
      </c>
      <c r="R46" s="32">
        <v>31654.464010251875</v>
      </c>
      <c r="S46" s="32">
        <v>32798.587129748194</v>
      </c>
      <c r="T46" s="32">
        <v>32730.355023663171</v>
      </c>
      <c r="U46" s="32">
        <v>32616.072446942395</v>
      </c>
      <c r="V46" s="32">
        <v>31701.868538901857</v>
      </c>
      <c r="W46" s="32">
        <v>30097.290938989063</v>
      </c>
      <c r="X46" s="32">
        <v>28410.623149064726</v>
      </c>
      <c r="Y46" s="32">
        <v>26637.665435007861</v>
      </c>
      <c r="Z46" s="32">
        <v>24774.003204299846</v>
      </c>
      <c r="AA46" s="32">
        <v>22814.996013868811</v>
      </c>
      <c r="AB46" s="32">
        <v>20755.766015575322</v>
      </c>
      <c r="AC46" s="32">
        <v>18591.185810569139</v>
      </c>
      <c r="AD46" s="32">
        <v>16315.865682274838</v>
      </c>
      <c r="AE46" s="32">
        <v>13924.140176217003</v>
      </c>
      <c r="AF46" s="32">
        <v>11410.053993269246</v>
      </c>
      <c r="AG46" s="32">
        <v>8767.3471612018802</v>
      </c>
      <c r="AH46" s="32">
        <v>5989.4394476059488</v>
      </c>
      <c r="AI46" s="32">
        <v>3069.4139753824502</v>
      </c>
      <c r="AJ46" s="32">
        <v>0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129.68553261808913</v>
      </c>
      <c r="G54" s="32">
        <v>132.32730298964927</v>
      </c>
      <c r="H54" s="32">
        <v>135.00590006702134</v>
      </c>
      <c r="I54" s="32">
        <v>137.1587236887155</v>
      </c>
      <c r="J54" s="32">
        <v>141.85423780473957</v>
      </c>
      <c r="K54" s="32">
        <v>150.39827804784849</v>
      </c>
      <c r="L54" s="32">
        <v>162.97976322568317</v>
      </c>
      <c r="M54" s="32">
        <v>155.97411559647099</v>
      </c>
      <c r="N54" s="32">
        <v>175.76256273670498</v>
      </c>
      <c r="O54" s="32">
        <v>179.97611016406125</v>
      </c>
      <c r="P54" s="32">
        <v>178.74752078624547</v>
      </c>
      <c r="Q54" s="32">
        <v>184.87338820938825</v>
      </c>
      <c r="R54" s="32">
        <v>197.55320892035243</v>
      </c>
      <c r="S54" s="32">
        <v>206.3373062460426</v>
      </c>
      <c r="T54" s="32">
        <v>226.23575336926208</v>
      </c>
      <c r="U54" s="32">
        <v>228.97339584110068</v>
      </c>
      <c r="V54" s="32">
        <v>241.44188215702556</v>
      </c>
      <c r="W54" s="32">
        <v>251.21635077701603</v>
      </c>
      <c r="X54" s="32">
        <v>247.10653161637703</v>
      </c>
      <c r="Y54" s="32">
        <v>247.77432709814332</v>
      </c>
      <c r="Z54" s="32">
        <v>248.44633490724718</v>
      </c>
      <c r="AA54" s="32">
        <v>249.12256637940544</v>
      </c>
      <c r="AB54" s="32">
        <v>249.80303292214165</v>
      </c>
      <c r="AC54" s="32">
        <v>250.48774601497871</v>
      </c>
      <c r="AD54" s="32">
        <v>251.17671720963233</v>
      </c>
      <c r="AE54" s="32">
        <v>251.86995813020599</v>
      </c>
      <c r="AF54" s="32">
        <v>252.56748047338709</v>
      </c>
      <c r="AG54" s="32">
        <v>253.26929600864412</v>
      </c>
      <c r="AH54" s="32">
        <v>253.97541657842541</v>
      </c>
      <c r="AI54" s="32">
        <v>254.68585409835882</v>
      </c>
      <c r="AJ54" s="32">
        <v>255.40062055745278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-30.532600000000002</v>
      </c>
      <c r="G55" s="37">
        <v>-30.442200000000014</v>
      </c>
      <c r="H55" s="37">
        <v>-30.408299999999997</v>
      </c>
      <c r="I55" s="37">
        <v>-38.781599999999969</v>
      </c>
      <c r="J55" s="37">
        <v>-31.741700000000009</v>
      </c>
      <c r="K55" s="37">
        <v>-26.515336163723561</v>
      </c>
      <c r="L55" s="37">
        <v>-18.766547677652596</v>
      </c>
      <c r="M55" s="37">
        <v>-28.477741272822726</v>
      </c>
      <c r="N55" s="37">
        <v>-17.736025812624206</v>
      </c>
      <c r="O55" s="37">
        <v>-8.4787831711077786</v>
      </c>
      <c r="P55" s="37">
        <v>-19.695862232859696</v>
      </c>
      <c r="Q55" s="37">
        <v>-13.984093138792389</v>
      </c>
      <c r="R55" s="37">
        <v>-0.1630261596104674</v>
      </c>
      <c r="S55" s="37">
        <v>6.481855708967629</v>
      </c>
      <c r="T55" s="37">
        <v>23.812767797691862</v>
      </c>
      <c r="U55" s="37">
        <v>24.223751245116006</v>
      </c>
      <c r="V55" s="37">
        <v>34.736003662918449</v>
      </c>
      <c r="W55" s="37">
        <v>43.094457857999771</v>
      </c>
      <c r="X55" s="37">
        <v>42.512100319378163</v>
      </c>
      <c r="Y55" s="37">
        <v>42.335877939206426</v>
      </c>
      <c r="Z55" s="37">
        <v>42.160386041110115</v>
      </c>
      <c r="AA55" s="37">
        <v>41.985621597074015</v>
      </c>
      <c r="AB55" s="37">
        <v>41.811581591634564</v>
      </c>
      <c r="AC55" s="37">
        <v>41.638263021828124</v>
      </c>
      <c r="AD55" s="37">
        <v>41.465662897138941</v>
      </c>
      <c r="AE55" s="37">
        <v>41.293778239447676</v>
      </c>
      <c r="AF55" s="37">
        <v>41.122606082979985</v>
      </c>
      <c r="AG55" s="37">
        <v>40.952143474255251</v>
      </c>
      <c r="AH55" s="37">
        <v>40.78238747203585</v>
      </c>
      <c r="AI55" s="37">
        <v>40.61333514727616</v>
      </c>
      <c r="AJ55" s="37">
        <v>40.444983583072144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2817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18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19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0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BT57"/>
  <sheetViews>
    <sheetView tabSelected="1" zoomScale="85" zoomScaleNormal="85" workbookViewId="0">
      <selection activeCell="F45" sqref="F45:AM45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31.7109375" style="105" customWidth="1"/>
    <col min="41" max="52" width="5.28515625" style="105" bestFit="1" customWidth="1"/>
    <col min="53" max="71" width="4.7109375" style="105" bestFit="1" customWidth="1"/>
    <col min="72" max="72" width="4.28515625" style="105" customWidth="1"/>
    <col min="73" max="16384" width="9.140625" style="105"/>
  </cols>
  <sheetData>
    <row r="1" spans="1:72" x14ac:dyDescent="0.25">
      <c r="A1" s="54"/>
      <c r="B1" s="46"/>
      <c r="I1" s="105" t="s">
        <v>232</v>
      </c>
      <c r="J1" s="105">
        <v>2</v>
      </c>
      <c r="L1" s="105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1"/>
      <c r="AO3" s="152">
        <v>2017</v>
      </c>
      <c r="AP3" s="152">
        <v>2018</v>
      </c>
      <c r="AQ3" s="152">
        <v>2019</v>
      </c>
      <c r="AR3" s="152">
        <v>2020</v>
      </c>
      <c r="AS3" s="152">
        <v>2021</v>
      </c>
      <c r="AT3" s="152">
        <v>2022</v>
      </c>
      <c r="AU3" s="152">
        <v>2023</v>
      </c>
      <c r="AV3" s="152">
        <v>2024</v>
      </c>
      <c r="AW3" s="152">
        <v>2025</v>
      </c>
      <c r="AX3" s="152">
        <v>2026</v>
      </c>
      <c r="AY3" s="152">
        <v>2027</v>
      </c>
      <c r="AZ3" s="152">
        <v>2028</v>
      </c>
      <c r="BA3" s="152">
        <v>2029</v>
      </c>
      <c r="BB3" s="152">
        <v>2030</v>
      </c>
      <c r="BC3" s="152">
        <v>2031</v>
      </c>
      <c r="BD3" s="152">
        <v>2032</v>
      </c>
      <c r="BE3" s="152">
        <v>2033</v>
      </c>
      <c r="BF3" s="152">
        <v>2034</v>
      </c>
      <c r="BG3" s="152">
        <v>2035</v>
      </c>
      <c r="BH3" s="152">
        <v>2036</v>
      </c>
      <c r="BI3" s="152">
        <v>2037</v>
      </c>
      <c r="BJ3" s="152">
        <v>2038</v>
      </c>
      <c r="BK3" s="152">
        <v>2039</v>
      </c>
      <c r="BL3" s="152">
        <v>2040</v>
      </c>
      <c r="BM3" s="152">
        <v>2041</v>
      </c>
      <c r="BN3" s="152">
        <v>2042</v>
      </c>
      <c r="BO3" s="152">
        <v>2043</v>
      </c>
      <c r="BP3" s="152">
        <v>2044</v>
      </c>
      <c r="BQ3" s="152">
        <v>2045</v>
      </c>
      <c r="BR3" s="152">
        <v>2046</v>
      </c>
      <c r="BS3" s="152">
        <v>2047</v>
      </c>
      <c r="BT3" s="152">
        <v>2048</v>
      </c>
    </row>
    <row r="4" spans="1:72" ht="30" x14ac:dyDescent="0.25">
      <c r="C4" s="124"/>
      <c r="D4" s="32"/>
      <c r="I4" s="105" t="s">
        <v>237</v>
      </c>
      <c r="J4" s="59">
        <f ca="1">OFFSET('Impact Summary'!U$2, '1e'!$J$1, 0)</f>
        <v>-18.810000000000002</v>
      </c>
      <c r="K4" s="59">
        <f ca="1">OFFSET('Impact Summary'!V$2, '1e'!$J$1, 0)</f>
        <v>-18.57</v>
      </c>
      <c r="L4" s="59">
        <f ca="1">OFFSET('Impact Summary'!W$2, '1e'!$J$1, 0)</f>
        <v>-18.369999999999997</v>
      </c>
      <c r="M4" s="59">
        <f ca="1">OFFSET('Impact Summary'!X$2, '1e'!$J$1, 0)</f>
        <v>-25.61</v>
      </c>
      <c r="N4" s="59">
        <f ca="1">OFFSET('Impact Summary'!Y$2, '1e'!$J$1, 0)</f>
        <v>-20.55</v>
      </c>
      <c r="AN4" s="130" t="s">
        <v>221</v>
      </c>
      <c r="AO4" s="150">
        <f>'1e'!F55/1.13</f>
        <v>-18.810000000000056</v>
      </c>
      <c r="AP4" s="150">
        <f>'1e'!G55/1.13</f>
        <v>-18.570000000000089</v>
      </c>
      <c r="AQ4" s="150">
        <f>'1e'!H55/1.13</f>
        <v>-18.37000000000009</v>
      </c>
      <c r="AR4" s="150">
        <f>'1e'!I55/1.13</f>
        <v>-25.609999999999904</v>
      </c>
      <c r="AS4" s="150">
        <f>'1e'!J55/1.13</f>
        <v>-20.549999999999894</v>
      </c>
      <c r="AT4" s="150">
        <f>'1e'!K55/1.13</f>
        <v>-15.774099259932223</v>
      </c>
      <c r="AU4" s="150">
        <f>'1e'!L55/1.13</f>
        <v>-8.7629483165066127</v>
      </c>
      <c r="AV4" s="150">
        <f>'1e'!M55/1.13</f>
        <v>-17.200032629400532</v>
      </c>
      <c r="AW4" s="150">
        <f>'1e'!N55/1.13</f>
        <v>-7.5340595778690833</v>
      </c>
      <c r="AX4" s="150">
        <f>'1e'!O55/1.13</f>
        <v>0.88046223380479816</v>
      </c>
      <c r="AY4" s="150">
        <f>'1e'!P55/1.13</f>
        <v>-8.9387019365012481</v>
      </c>
      <c r="AZ4" s="150">
        <f>'1e'!Q55/1.13</f>
        <v>-3.7142137285724632</v>
      </c>
      <c r="BA4" s="150">
        <f>'1e'!R55/1.13</f>
        <v>8.690040795048855</v>
      </c>
      <c r="BB4" s="150">
        <f>'1e'!S55/1.13</f>
        <v>14.684139490273903</v>
      </c>
      <c r="BC4" s="150">
        <f>'1e'!T55/1.13</f>
        <v>20.856369299281798</v>
      </c>
      <c r="BD4" s="150">
        <f>'1e'!U55/1.13</f>
        <v>20.711533401370129</v>
      </c>
      <c r="BE4" s="150">
        <f>'1e'!V55/1.13</f>
        <v>20.56869523998137</v>
      </c>
      <c r="BF4" s="150">
        <f>'1e'!W55/1.13</f>
        <v>20.427813765734935</v>
      </c>
      <c r="BG4" s="150">
        <f>'1e'!X55/1.13</f>
        <v>20.151762228360127</v>
      </c>
      <c r="BH4" s="150">
        <f>'1e'!Y55/1.13</f>
        <v>20.068228564347802</v>
      </c>
      <c r="BI4" s="150">
        <f>'1e'!Z55/1.13</f>
        <v>19.985041166480556</v>
      </c>
      <c r="BJ4" s="150">
        <f>'1e'!AA55/1.13</f>
        <v>19.902198599406027</v>
      </c>
      <c r="BK4" s="150">
        <f>'1e'!AB55/1.13</f>
        <v>19.81969943372167</v>
      </c>
      <c r="BL4" s="150">
        <f>'1e'!AC55/1.13</f>
        <v>19.737542245950213</v>
      </c>
      <c r="BM4" s="150">
        <f>'1e'!AD55/1.13</f>
        <v>19.655725618514932</v>
      </c>
      <c r="BN4" s="150">
        <f>'1e'!AE55/1.13</f>
        <v>19.574248139715355</v>
      </c>
      <c r="BO4" s="150">
        <f>'1e'!AF55/1.13</f>
        <v>19.493108403702813</v>
      </c>
      <c r="BP4" s="150">
        <f>'1e'!AG55/1.13</f>
        <v>19.412305010456194</v>
      </c>
      <c r="BQ4" s="150">
        <f>'1e'!AH55/1.13</f>
        <v>19.331836565757801</v>
      </c>
      <c r="BR4" s="150">
        <f>'1e'!AI55/1.13</f>
        <v>19.251701681169298</v>
      </c>
      <c r="BS4" s="150">
        <f>'1e'!AJ55/1.13</f>
        <v>19.171898974007696</v>
      </c>
      <c r="BT4" s="150">
        <f>'1e'!AK55/1.13</f>
        <v>0</v>
      </c>
    </row>
    <row r="5" spans="1:72" x14ac:dyDescent="0.25">
      <c r="B5" s="25"/>
      <c r="C5" s="45" t="s">
        <v>209</v>
      </c>
      <c r="I5" s="147"/>
      <c r="J5" s="146"/>
      <c r="K5" s="121"/>
      <c r="L5" s="54"/>
      <c r="AN5" s="130" t="s">
        <v>213</v>
      </c>
      <c r="AO5" s="150">
        <f>'1e'!F46/1000</f>
        <v>1.5586668240000054</v>
      </c>
      <c r="AP5" s="150">
        <f>'1e'!G46/1000</f>
        <v>3.1771877467158536</v>
      </c>
      <c r="AQ5" s="150">
        <f>'1e'!H46/1000</f>
        <v>4.8512946505045109</v>
      </c>
      <c r="AR5" s="150">
        <f>'1e'!I46/1000</f>
        <v>7.2067869541576473</v>
      </c>
      <c r="AS5" s="150">
        <f>'1e'!J46/1000</f>
        <v>9.2664278547323455</v>
      </c>
      <c r="AT5" s="150">
        <f>'1e'!K46/1000</f>
        <v>11.038458493711184</v>
      </c>
      <c r="AU5" s="150">
        <f>'1e'!L46/1000</f>
        <v>12.324238806311097</v>
      </c>
      <c r="AV5" s="150">
        <f>'1e'!M46/1000</f>
        <v>14.370038935194936</v>
      </c>
      <c r="AW5" s="150">
        <f>'1e'!N46/1000</f>
        <v>15.725144694507444</v>
      </c>
      <c r="AX5" s="150">
        <f>'1e'!O46/1000</f>
        <v>16.457705106357871</v>
      </c>
      <c r="AY5" s="150">
        <f>'1e'!P46/1000</f>
        <v>18.035195833396056</v>
      </c>
      <c r="AZ5" s="150">
        <f>'1e'!Q46/1000</f>
        <v>19.263497805131454</v>
      </c>
      <c r="BA5" s="150">
        <f>'1e'!R46/1000</f>
        <v>19.533964718717968</v>
      </c>
      <c r="BB5" s="150">
        <f>'1e'!S46/1000</f>
        <v>19.316539734776054</v>
      </c>
      <c r="BC5" s="150">
        <f>'1e'!T46/1000</f>
        <v>18.576537283689991</v>
      </c>
      <c r="BD5" s="150">
        <f>'1e'!U46/1000</f>
        <v>17.798676307206367</v>
      </c>
      <c r="BE5" s="150">
        <f>'1e'!V46/1000</f>
        <v>16.981019963165835</v>
      </c>
      <c r="BF5" s="150">
        <f>'1e'!W46/1000</f>
        <v>16.121532320564196</v>
      </c>
      <c r="BG5" s="150">
        <f>'1e'!X46/1000</f>
        <v>15.218073290167053</v>
      </c>
      <c r="BH5" s="150">
        <f>'1e'!Y46/1000</f>
        <v>14.268393295774793</v>
      </c>
      <c r="BI5" s="150">
        <f>'1e'!Z46/1000</f>
        <v>13.270127672869425</v>
      </c>
      <c r="BJ5" s="150">
        <f>'1e'!AA46/1000</f>
        <v>12.220790780696218</v>
      </c>
      <c r="BK5" s="150">
        <f>'1e'!AB46/1000</f>
        <v>11.11776981311943</v>
      </c>
      <c r="BL5" s="150">
        <f>'1e'!AC46/1000</f>
        <v>9.9583182928414136</v>
      </c>
      <c r="BM5" s="150">
        <f>'1e'!AD46/1000</f>
        <v>8.7395492327859756</v>
      </c>
      <c r="BN5" s="150">
        <f>'1e'!AE46/1000</f>
        <v>7.4584279476180981</v>
      </c>
      <c r="BO5" s="150">
        <f>'1e'!AF46/1000</f>
        <v>6.1117644975010332</v>
      </c>
      <c r="BP5" s="150">
        <f>'1e'!AG46/1000</f>
        <v>4.6962057452759804</v>
      </c>
      <c r="BQ5" s="150">
        <f>'1e'!AH46/1000</f>
        <v>3.2082270072870922</v>
      </c>
      <c r="BR5" s="150">
        <f>'1e'!AI46/1000</f>
        <v>1.6441232770626935</v>
      </c>
      <c r="BS5" s="150">
        <f>'1e'!AJ46/1000</f>
        <v>1.4097167877480388E-14</v>
      </c>
      <c r="BT5" s="150">
        <f>'1e'!AK46/1000</f>
        <v>0</v>
      </c>
    </row>
    <row r="6" spans="1:72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0">
        <f>AO5</f>
        <v>1.5586668240000054</v>
      </c>
      <c r="AP6" s="150">
        <f t="shared" ref="AP6:BT6" si="0">AP5-AO5</f>
        <v>1.6185209227158481</v>
      </c>
      <c r="AQ6" s="150">
        <f t="shared" si="0"/>
        <v>1.6741069037886573</v>
      </c>
      <c r="AR6" s="150">
        <f t="shared" si="0"/>
        <v>2.3554923036531363</v>
      </c>
      <c r="AS6" s="150">
        <f t="shared" si="0"/>
        <v>2.0596409005746983</v>
      </c>
      <c r="AT6" s="150">
        <f t="shared" si="0"/>
        <v>1.7720306389788387</v>
      </c>
      <c r="AU6" s="150">
        <f t="shared" si="0"/>
        <v>1.285780312599913</v>
      </c>
      <c r="AV6" s="150">
        <f t="shared" si="0"/>
        <v>2.0458001288838386</v>
      </c>
      <c r="AW6" s="150">
        <f t="shared" si="0"/>
        <v>1.355105759312508</v>
      </c>
      <c r="AX6" s="150">
        <f t="shared" si="0"/>
        <v>0.73256041185042697</v>
      </c>
      <c r="AY6" s="150">
        <f t="shared" si="0"/>
        <v>1.5774907270381853</v>
      </c>
      <c r="AZ6" s="150">
        <f t="shared" si="0"/>
        <v>1.228301971735398</v>
      </c>
      <c r="BA6" s="150">
        <f t="shared" si="0"/>
        <v>0.27046691358651387</v>
      </c>
      <c r="BB6" s="150">
        <f t="shared" si="0"/>
        <v>-0.21742498394191401</v>
      </c>
      <c r="BC6" s="150">
        <f t="shared" si="0"/>
        <v>-0.74000245108606322</v>
      </c>
      <c r="BD6" s="150">
        <f t="shared" si="0"/>
        <v>-0.77786097648362329</v>
      </c>
      <c r="BE6" s="150">
        <f t="shared" si="0"/>
        <v>-0.81765634404053245</v>
      </c>
      <c r="BF6" s="150">
        <f t="shared" si="0"/>
        <v>-0.85948764260163912</v>
      </c>
      <c r="BG6" s="150">
        <f t="shared" si="0"/>
        <v>-0.90345903039714237</v>
      </c>
      <c r="BH6" s="150">
        <f t="shared" si="0"/>
        <v>-0.9496799943922607</v>
      </c>
      <c r="BI6" s="150">
        <f t="shared" si="0"/>
        <v>-0.99826562290536813</v>
      </c>
      <c r="BJ6" s="150">
        <f t="shared" si="0"/>
        <v>-1.0493368921732067</v>
      </c>
      <c r="BK6" s="150">
        <f t="shared" si="0"/>
        <v>-1.1030209675767875</v>
      </c>
      <c r="BL6" s="150">
        <f t="shared" si="0"/>
        <v>-1.1594515202780169</v>
      </c>
      <c r="BM6" s="150">
        <f t="shared" si="0"/>
        <v>-1.2187690600554379</v>
      </c>
      <c r="BN6" s="150">
        <f t="shared" si="0"/>
        <v>-1.2811212851678775</v>
      </c>
      <c r="BO6" s="150">
        <f t="shared" si="0"/>
        <v>-1.3466634501170649</v>
      </c>
      <c r="BP6" s="150">
        <f t="shared" si="0"/>
        <v>-1.4155587522250528</v>
      </c>
      <c r="BQ6" s="150">
        <f t="shared" si="0"/>
        <v>-1.4879787379888882</v>
      </c>
      <c r="BR6" s="150">
        <f t="shared" si="0"/>
        <v>-1.5641037302243987</v>
      </c>
      <c r="BS6" s="150">
        <f t="shared" si="0"/>
        <v>-1.6441232770626795</v>
      </c>
      <c r="BT6" s="150">
        <f t="shared" si="0"/>
        <v>-1.4097167877480388E-14</v>
      </c>
    </row>
    <row r="7" spans="1:72" x14ac:dyDescent="0.25">
      <c r="B7" s="24" t="s">
        <v>87</v>
      </c>
      <c r="C7" s="32">
        <v>9856.3916075683792</v>
      </c>
      <c r="D7" s="105" t="s">
        <v>234</v>
      </c>
      <c r="E7" s="50" t="s">
        <v>111</v>
      </c>
      <c r="I7" s="145"/>
      <c r="J7" s="146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x14ac:dyDescent="0.25">
      <c r="B9" s="24" t="s">
        <v>187</v>
      </c>
      <c r="C9" s="126">
        <v>0</v>
      </c>
      <c r="I9" s="145"/>
      <c r="J9" s="146"/>
    </row>
    <row r="10" spans="1:72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0</v>
      </c>
      <c r="D11" s="105" t="s">
        <v>235</v>
      </c>
      <c r="I11" s="145"/>
      <c r="J11" s="146"/>
    </row>
    <row r="12" spans="1:72" x14ac:dyDescent="0.25">
      <c r="B12" s="24" t="s">
        <v>90</v>
      </c>
      <c r="C12" s="155">
        <v>5.1159999999999997E-2</v>
      </c>
    </row>
    <row r="13" spans="1:72" x14ac:dyDescent="0.25">
      <c r="B13" s="24" t="s">
        <v>106</v>
      </c>
      <c r="C13" s="60">
        <v>1728.2366239172072</v>
      </c>
      <c r="D13" s="105" t="s">
        <v>236</v>
      </c>
      <c r="E13" s="50" t="s">
        <v>111</v>
      </c>
    </row>
    <row r="14" spans="1:72" x14ac:dyDescent="0.25">
      <c r="B14" s="24" t="s">
        <v>107</v>
      </c>
      <c r="C14" s="155">
        <v>2020</v>
      </c>
    </row>
    <row r="15" spans="1:72" x14ac:dyDescent="0.25">
      <c r="B15" s="24" t="s">
        <v>108</v>
      </c>
      <c r="C15" s="155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'1e'!C15-Calcs!D15)</f>
        <v>1.4097167877480388E-11</v>
      </c>
    </row>
    <row r="18" spans="2:4" x14ac:dyDescent="0.25">
      <c r="B18" s="24" t="s">
        <v>223</v>
      </c>
      <c r="C18" s="41" t="s">
        <v>229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10536.702858235039</v>
      </c>
      <c r="G45" s="32">
        <v>10295.901440387348</v>
      </c>
      <c r="H45" s="32">
        <v>10040.543174113349</v>
      </c>
      <c r="I45" s="32">
        <v>10061.127735523905</v>
      </c>
      <c r="J45" s="32">
        <v>9152.6137961843142</v>
      </c>
      <c r="K45" s="32">
        <v>9335.6660721080007</v>
      </c>
      <c r="L45" s="32">
        <v>9522.3793935501581</v>
      </c>
      <c r="M45" s="32">
        <v>9712.8269814211617</v>
      </c>
      <c r="N45" s="32">
        <v>9907.0835210495861</v>
      </c>
      <c r="O45" s="32">
        <v>10105.225191470578</v>
      </c>
      <c r="P45" s="32">
        <v>10307.329695299988</v>
      </c>
      <c r="Q45" s="32">
        <v>10513.476289205988</v>
      </c>
      <c r="R45" s="32">
        <v>10723.745814990109</v>
      </c>
      <c r="S45" s="32">
        <v>10938.220731289912</v>
      </c>
      <c r="T45" s="32">
        <v>10382.721319312956</v>
      </c>
      <c r="U45" s="32">
        <v>10548.175453605289</v>
      </c>
      <c r="V45" s="32">
        <v>9966.2749462989486</v>
      </c>
      <c r="W45" s="32">
        <v>9484.6717558735727</v>
      </c>
      <c r="X45" s="32">
        <v>7390.5578155752055</v>
      </c>
      <c r="Y45" s="32">
        <v>7117.0811347744111</v>
      </c>
      <c r="Z45" s="32">
        <v>6856.8127288860333</v>
      </c>
      <c r="AA45" s="32">
        <v>6609.1146695658654</v>
      </c>
      <c r="AB45" s="32">
        <v>6373.3798388953683</v>
      </c>
      <c r="AC45" s="32">
        <v>6149.0304413111962</v>
      </c>
      <c r="AD45" s="32">
        <v>5935.5165874050081</v>
      </c>
      <c r="AE45" s="32">
        <v>5732.3149461223766</v>
      </c>
      <c r="AF45" s="32">
        <v>5538.9274620573024</v>
      </c>
      <c r="AG45" s="32">
        <v>5354.8801346983619</v>
      </c>
      <c r="AH45" s="32">
        <v>5179.7218566343508</v>
      </c>
      <c r="AI45" s="32">
        <v>5013.0233078718675</v>
      </c>
      <c r="AJ45" s="32">
        <v>4854.37590355471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1558.6668240000054</v>
      </c>
      <c r="G46" s="32">
        <v>3177.1877467158538</v>
      </c>
      <c r="H46" s="32">
        <v>4851.2946505045111</v>
      </c>
      <c r="I46" s="32">
        <v>7206.7869541576474</v>
      </c>
      <c r="J46" s="32">
        <v>9266.4278547323447</v>
      </c>
      <c r="K46" s="32">
        <v>11038.458493711185</v>
      </c>
      <c r="L46" s="32">
        <v>12324.238806311098</v>
      </c>
      <c r="M46" s="32">
        <v>14370.038935194936</v>
      </c>
      <c r="N46" s="32">
        <v>15725.144694507444</v>
      </c>
      <c r="O46" s="32">
        <v>16457.705106357869</v>
      </c>
      <c r="P46" s="32">
        <v>18035.195833396057</v>
      </c>
      <c r="Q46" s="32">
        <v>19263.497805131454</v>
      </c>
      <c r="R46" s="32">
        <v>19533.964718717969</v>
      </c>
      <c r="S46" s="32">
        <v>19316.539734776055</v>
      </c>
      <c r="T46" s="32">
        <v>18576.537283689991</v>
      </c>
      <c r="U46" s="32">
        <v>17798.676307206366</v>
      </c>
      <c r="V46" s="32">
        <v>16981.019963165836</v>
      </c>
      <c r="W46" s="32">
        <v>16121.532320564194</v>
      </c>
      <c r="X46" s="32">
        <v>15218.073290167053</v>
      </c>
      <c r="Y46" s="32">
        <v>14268.393295774793</v>
      </c>
      <c r="Z46" s="32">
        <v>13270.127672869425</v>
      </c>
      <c r="AA46" s="32">
        <v>12220.790780696218</v>
      </c>
      <c r="AB46" s="32">
        <v>11117.76981311943</v>
      </c>
      <c r="AC46" s="32">
        <v>9958.3182928414135</v>
      </c>
      <c r="AD46" s="32">
        <v>8739.5492327859756</v>
      </c>
      <c r="AE46" s="32">
        <v>7458.4279476180982</v>
      </c>
      <c r="AF46" s="32">
        <v>6111.7644975010335</v>
      </c>
      <c r="AG46" s="32">
        <v>4696.20574527598</v>
      </c>
      <c r="AH46" s="32">
        <v>3208.2270072870924</v>
      </c>
      <c r="AI46" s="32">
        <v>1644.1232770626934</v>
      </c>
      <c r="AJ46" s="32">
        <v>1.4097167877480388E-11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138.96283261808907</v>
      </c>
      <c r="G54" s="32">
        <v>141.78540298964919</v>
      </c>
      <c r="H54" s="32">
        <v>144.65610006702124</v>
      </c>
      <c r="I54" s="32">
        <v>147.00102368871558</v>
      </c>
      <c r="J54" s="32">
        <v>150.3744378047397</v>
      </c>
      <c r="K54" s="32">
        <v>159.08888204784864</v>
      </c>
      <c r="L54" s="32">
        <v>171.8441793056833</v>
      </c>
      <c r="M54" s="32">
        <v>165.01581999807112</v>
      </c>
      <c r="N54" s="32">
        <v>184.98510122633712</v>
      </c>
      <c r="O54" s="32">
        <v>189.44981565936845</v>
      </c>
      <c r="P54" s="32">
        <v>188.34264983085876</v>
      </c>
      <c r="Q54" s="32">
        <v>194.66041983489376</v>
      </c>
      <c r="R54" s="32">
        <v>207.5359811783681</v>
      </c>
      <c r="S54" s="32">
        <v>216.44852816108448</v>
      </c>
      <c r="T54" s="32">
        <v>225.99068287975865</v>
      </c>
      <c r="U54" s="32">
        <v>228.15367733953292</v>
      </c>
      <c r="V54" s="32">
        <v>229.94850411528606</v>
      </c>
      <c r="W54" s="32">
        <v>231.20532247429674</v>
      </c>
      <c r="X54" s="32">
        <v>227.3659226150458</v>
      </c>
      <c r="Y54" s="32">
        <v>228.1155474366499</v>
      </c>
      <c r="Z54" s="32">
        <v>228.86904538426009</v>
      </c>
      <c r="AA54" s="32">
        <v>229.62642919966024</v>
      </c>
      <c r="AB54" s="32">
        <v>230.38771169061258</v>
      </c>
      <c r="AC54" s="32">
        <v>231.15290573107433</v>
      </c>
      <c r="AD54" s="32">
        <v>231.92202426141526</v>
      </c>
      <c r="AE54" s="32">
        <v>232.69508028863666</v>
      </c>
      <c r="AF54" s="32">
        <v>233.47208688659128</v>
      </c>
      <c r="AG54" s="32">
        <v>234.25305719620437</v>
      </c>
      <c r="AH54" s="32">
        <v>235.03800442569587</v>
      </c>
      <c r="AI54" s="32">
        <v>235.82694185080396</v>
      </c>
      <c r="AJ54" s="32">
        <v>236.61988281500933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-21.255300000000062</v>
      </c>
      <c r="G55" s="37">
        <v>-20.984100000000097</v>
      </c>
      <c r="H55" s="37">
        <v>-20.758100000000098</v>
      </c>
      <c r="I55" s="37">
        <v>-28.939299999999889</v>
      </c>
      <c r="J55" s="37">
        <v>-23.221499999999878</v>
      </c>
      <c r="K55" s="37">
        <v>-17.824732163723411</v>
      </c>
      <c r="L55" s="37">
        <v>-9.9021315976524704</v>
      </c>
      <c r="M55" s="37">
        <v>-19.436036871222598</v>
      </c>
      <c r="N55" s="37">
        <v>-8.5134873229920629</v>
      </c>
      <c r="O55" s="37">
        <v>0.99492232419942184</v>
      </c>
      <c r="P55" s="37">
        <v>-10.100733188246409</v>
      </c>
      <c r="Q55" s="37">
        <v>-4.1970615132868829</v>
      </c>
      <c r="R55" s="37">
        <v>9.8197460984052043</v>
      </c>
      <c r="S55" s="37">
        <v>16.59307762400951</v>
      </c>
      <c r="T55" s="37">
        <v>23.567697308188428</v>
      </c>
      <c r="U55" s="37">
        <v>23.404032743548242</v>
      </c>
      <c r="V55" s="37">
        <v>23.242625621178945</v>
      </c>
      <c r="W55" s="37">
        <v>23.083429555280475</v>
      </c>
      <c r="X55" s="37">
        <v>22.771491318046941</v>
      </c>
      <c r="Y55" s="37">
        <v>22.677098277713014</v>
      </c>
      <c r="Z55" s="37">
        <v>22.583096518123028</v>
      </c>
      <c r="AA55" s="37">
        <v>22.489484417328811</v>
      </c>
      <c r="AB55" s="37">
        <v>22.396260360105487</v>
      </c>
      <c r="AC55" s="37">
        <v>22.303422737923739</v>
      </c>
      <c r="AD55" s="37">
        <v>22.210969948921871</v>
      </c>
      <c r="AE55" s="37">
        <v>22.118900397878349</v>
      </c>
      <c r="AF55" s="37">
        <v>22.027212496184177</v>
      </c>
      <c r="AG55" s="37">
        <v>21.935904661815499</v>
      </c>
      <c r="AH55" s="37">
        <v>21.844975319306315</v>
      </c>
      <c r="AI55" s="37">
        <v>21.754422899721305</v>
      </c>
      <c r="AJ55" s="37">
        <v>21.664245840628695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41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2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3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4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AM34"/>
  <sheetViews>
    <sheetView zoomScale="70" zoomScaleNormal="70" workbookViewId="0">
      <selection activeCell="D24" sqref="D24"/>
    </sheetView>
  </sheetViews>
  <sheetFormatPr defaultRowHeight="15" x14ac:dyDescent="0.25"/>
  <cols>
    <col min="2" max="2" width="60.5703125" bestFit="1" customWidth="1"/>
    <col min="3" max="3" width="21.28515625" bestFit="1" customWidth="1"/>
    <col min="4" max="4" width="12.7109375" bestFit="1" customWidth="1"/>
    <col min="5" max="6" width="10.5703125" bestFit="1" customWidth="1"/>
    <col min="7" max="20" width="11.5703125" bestFit="1" customWidth="1"/>
    <col min="21" max="21" width="15.85546875" bestFit="1" customWidth="1"/>
    <col min="22" max="22" width="11.7109375" bestFit="1" customWidth="1"/>
    <col min="23" max="23" width="10.140625" customWidth="1"/>
    <col min="24" max="29" width="10.140625" bestFit="1" customWidth="1"/>
    <col min="30" max="30" width="9.7109375" bestFit="1" customWidth="1"/>
    <col min="31" max="31" width="10.140625" bestFit="1" customWidth="1"/>
    <col min="32" max="34" width="9.7109375" bestFit="1" customWidth="1"/>
  </cols>
  <sheetData>
    <row r="1" spans="2:39" s="19" customFormat="1" x14ac:dyDescent="0.25"/>
    <row r="2" spans="2:39" s="19" customFormat="1" x14ac:dyDescent="0.25">
      <c r="B2" s="20"/>
    </row>
    <row r="3" spans="2:39" s="19" customFormat="1" x14ac:dyDescent="0.25">
      <c r="B3" s="19" t="s">
        <v>196</v>
      </c>
      <c r="C3" s="39">
        <f>-Summary!C8</f>
        <v>0.18511034664406678</v>
      </c>
      <c r="D3" s="33"/>
    </row>
    <row r="4" spans="2:39" s="53" customFormat="1" x14ac:dyDescent="0.25">
      <c r="B4" s="53" t="s">
        <v>191</v>
      </c>
      <c r="C4" s="32">
        <f>Summary!C9</f>
        <v>0</v>
      </c>
      <c r="D4" s="33"/>
    </row>
    <row r="5" spans="2:39" s="105" customFormat="1" x14ac:dyDescent="0.25">
      <c r="B5" s="105" t="s">
        <v>192</v>
      </c>
      <c r="C5" s="122">
        <f>Summary!C10</f>
        <v>0</v>
      </c>
      <c r="D5" s="33"/>
    </row>
    <row r="6" spans="2:39" x14ac:dyDescent="0.25">
      <c r="B6" t="s">
        <v>190</v>
      </c>
      <c r="C6" s="122">
        <f>Summary!C11</f>
        <v>0</v>
      </c>
    </row>
    <row r="7" spans="2:39" s="19" customFormat="1" x14ac:dyDescent="0.25">
      <c r="B7" s="19" t="s">
        <v>197</v>
      </c>
      <c r="C7" s="19">
        <f>Summary!C14</f>
        <v>2020</v>
      </c>
    </row>
    <row r="8" spans="2:39" s="19" customFormat="1" x14ac:dyDescent="0.25">
      <c r="B8" s="19" t="s">
        <v>108</v>
      </c>
      <c r="C8" s="19">
        <f>Summary!C15</f>
        <v>2047</v>
      </c>
    </row>
    <row r="9" spans="2:39" s="19" customFormat="1" x14ac:dyDescent="0.25">
      <c r="B9" s="19" t="s">
        <v>198</v>
      </c>
      <c r="C9" s="19">
        <f>Summary!C16</f>
        <v>0</v>
      </c>
    </row>
    <row r="10" spans="2:39" x14ac:dyDescent="0.25">
      <c r="B10" s="7" t="s">
        <v>199</v>
      </c>
      <c r="C10" s="7">
        <f>Summary!C12</f>
        <v>5.1159999999999997E-2</v>
      </c>
    </row>
    <row r="11" spans="2:39" s="19" customFormat="1" x14ac:dyDescent="0.25">
      <c r="B11" s="19" t="s">
        <v>200</v>
      </c>
      <c r="C11" s="19">
        <f>Summary!C13</f>
        <v>1728.2366239172072</v>
      </c>
    </row>
    <row r="12" spans="2:39" s="53" customFormat="1" x14ac:dyDescent="0.25">
      <c r="C12" s="39"/>
      <c r="P12" s="22"/>
      <c r="U12" s="53" t="s">
        <v>129</v>
      </c>
      <c r="V12" s="53">
        <f>AVERAGE(O16:U16)</f>
        <v>-7.0826129140114907E-2</v>
      </c>
      <c r="X12" s="61"/>
    </row>
    <row r="13" spans="2:39" s="105" customFormat="1" x14ac:dyDescent="0.25">
      <c r="C13" s="39"/>
      <c r="P13" s="22"/>
      <c r="X13" s="61"/>
    </row>
    <row r="14" spans="2:39" x14ac:dyDescent="0.25">
      <c r="Q14" s="53"/>
      <c r="R14" s="53"/>
      <c r="S14" s="53"/>
      <c r="T14" s="53"/>
      <c r="U14" s="53"/>
      <c r="V14" s="53"/>
    </row>
    <row r="15" spans="2:39" x14ac:dyDescent="0.25">
      <c r="C15" s="19">
        <v>2016</v>
      </c>
      <c r="D15" s="19">
        <v>2017</v>
      </c>
      <c r="E15" s="19">
        <v>2018</v>
      </c>
      <c r="F15" s="19">
        <v>2019</v>
      </c>
      <c r="G15" s="19">
        <v>2020</v>
      </c>
      <c r="H15" s="19">
        <v>2021</v>
      </c>
      <c r="I15" s="19">
        <v>2022</v>
      </c>
      <c r="J15" s="19">
        <v>2023</v>
      </c>
      <c r="K15" s="19">
        <v>2024</v>
      </c>
      <c r="L15" s="19">
        <v>2025</v>
      </c>
      <c r="M15" s="19">
        <v>2026</v>
      </c>
      <c r="N15" s="19">
        <v>2027</v>
      </c>
      <c r="O15" s="19">
        <v>2028</v>
      </c>
      <c r="P15" s="19">
        <v>2029</v>
      </c>
      <c r="Q15" s="19">
        <v>2030</v>
      </c>
      <c r="R15" s="19">
        <v>2031</v>
      </c>
      <c r="S15" s="19">
        <v>2032</v>
      </c>
      <c r="T15" s="19">
        <v>2033</v>
      </c>
      <c r="U15" s="19">
        <v>2034</v>
      </c>
      <c r="V15" s="19">
        <v>2035</v>
      </c>
      <c r="W15" s="53">
        <v>2036</v>
      </c>
      <c r="X15" s="53">
        <v>2037</v>
      </c>
      <c r="Y15" s="53">
        <v>2038</v>
      </c>
      <c r="Z15" s="53">
        <v>2039</v>
      </c>
      <c r="AA15" s="53">
        <v>2040</v>
      </c>
      <c r="AB15" s="53">
        <v>2041</v>
      </c>
      <c r="AC15" s="53">
        <v>2042</v>
      </c>
      <c r="AD15" s="53">
        <v>2043</v>
      </c>
      <c r="AE15" s="53">
        <v>2044</v>
      </c>
      <c r="AF15" s="53">
        <v>2045</v>
      </c>
      <c r="AG15" s="53">
        <v>2046</v>
      </c>
      <c r="AH15" s="53">
        <v>2047</v>
      </c>
      <c r="AI15" s="53">
        <v>2048</v>
      </c>
      <c r="AJ15" s="53">
        <v>2049</v>
      </c>
      <c r="AK15" s="53">
        <v>2050</v>
      </c>
      <c r="AL15" s="53"/>
      <c r="AM15" s="53"/>
    </row>
    <row r="16" spans="2:39" s="53" customFormat="1" x14ac:dyDescent="0.25">
      <c r="B16" s="53" t="s">
        <v>121</v>
      </c>
      <c r="D16" s="62">
        <f>D17/C17-1</f>
        <v>-2.0528460772832324E-2</v>
      </c>
      <c r="E16" s="62">
        <f t="shared" ref="E16:V16" si="0">E17/D17-1</f>
        <v>-4.0738009238278305E-2</v>
      </c>
      <c r="F16" s="62">
        <f t="shared" si="0"/>
        <v>-3.6277275516799823E-2</v>
      </c>
      <c r="G16" s="62">
        <f t="shared" si="0"/>
        <v>3.2697592642814133E-2</v>
      </c>
      <c r="H16" s="62">
        <f t="shared" si="0"/>
        <v>-0.12635083908591327</v>
      </c>
      <c r="I16" s="62">
        <f t="shared" si="0"/>
        <v>-3.8588052672467121E-2</v>
      </c>
      <c r="J16" s="62">
        <f t="shared" si="0"/>
        <v>-5.5582704246977088E-2</v>
      </c>
      <c r="K16" s="62">
        <f t="shared" si="0"/>
        <v>6.5064956698410947E-2</v>
      </c>
      <c r="L16" s="62">
        <f t="shared" si="0"/>
        <v>-7.2565101080753869E-2</v>
      </c>
      <c r="M16" s="62">
        <f t="shared" si="0"/>
        <v>-5.8962490135786805E-2</v>
      </c>
      <c r="N16" s="62">
        <f t="shared" si="0"/>
        <v>7.1441092178392784E-2</v>
      </c>
      <c r="O16" s="62">
        <f t="shared" si="0"/>
        <v>-3.9472236264691984E-2</v>
      </c>
      <c r="P16" s="62">
        <f t="shared" si="0"/>
        <v>-9.304420394660462E-2</v>
      </c>
      <c r="Q16" s="62">
        <f t="shared" si="0"/>
        <v>-5.4404670951179956E-2</v>
      </c>
      <c r="R16" s="62">
        <f t="shared" si="0"/>
        <v>-0.12720846247163597</v>
      </c>
      <c r="S16" s="62">
        <f t="shared" si="0"/>
        <v>-7.8034046255356371E-3</v>
      </c>
      <c r="T16" s="62">
        <f t="shared" si="0"/>
        <v>-9.0605019172098511E-2</v>
      </c>
      <c r="U16" s="62">
        <f t="shared" si="0"/>
        <v>-8.3244906549057696E-2</v>
      </c>
      <c r="V16" s="62">
        <f t="shared" si="0"/>
        <v>-0.29396975686510796</v>
      </c>
    </row>
    <row r="17" spans="2:37" s="53" customFormat="1" x14ac:dyDescent="0.25">
      <c r="B17" s="53" t="s">
        <v>211</v>
      </c>
      <c r="C17" s="22">
        <f>'IESO HOEP-GA'!C26</f>
        <v>90.857322870794135</v>
      </c>
      <c r="D17" s="22">
        <f>'IESO HOEP-GA'!D26</f>
        <v>88.992161882316481</v>
      </c>
      <c r="E17" s="22">
        <f>'IESO HOEP-GA'!E26</f>
        <v>85.366798369420309</v>
      </c>
      <c r="F17" s="22">
        <f>'IESO HOEP-GA'!F26</f>
        <v>82.269923504985755</v>
      </c>
      <c r="G17" s="22">
        <f>'IESO HOEP-GA'!G26</f>
        <v>84.959951950507261</v>
      </c>
      <c r="H17" s="22">
        <f>'IESO HOEP-GA'!H26</f>
        <v>74.22519073286179</v>
      </c>
      <c r="I17" s="22">
        <f>'IESO HOEP-GA'!I26</f>
        <v>71.360985163238198</v>
      </c>
      <c r="J17" s="22">
        <f>'IESO HOEP-GA'!J26</f>
        <v>67.39454863013701</v>
      </c>
      <c r="K17" s="22">
        <f>'IESO HOEP-GA'!K26</f>
        <v>71.779572018465828</v>
      </c>
      <c r="L17" s="22">
        <f>'IESO HOEP-GA'!L26</f>
        <v>66.570880119412607</v>
      </c>
      <c r="M17" s="22">
        <f>'IESO HOEP-GA'!M26</f>
        <v>62.645695257041098</v>
      </c>
      <c r="N17" s="22">
        <f>'IESO HOEP-GA'!N26</f>
        <v>67.12117214647887</v>
      </c>
      <c r="O17" s="22">
        <f>'IESO HOEP-GA'!O26</f>
        <v>64.471749381149991</v>
      </c>
      <c r="P17" s="22">
        <f>'IESO HOEP-GA'!P26</f>
        <v>58.473026782935889</v>
      </c>
      <c r="Q17" s="22">
        <f>'IESO HOEP-GA'!Q26</f>
        <v>55.291821001290728</v>
      </c>
      <c r="R17" s="22">
        <f>'IESO HOEP-GA'!R26</f>
        <v>48.258233464459622</v>
      </c>
      <c r="S17" s="22">
        <f>'IESO HOEP-GA'!S26</f>
        <v>47.88165494222288</v>
      </c>
      <c r="T17" s="22">
        <f>'IESO HOEP-GA'!T26</f>
        <v>43.543336678190968</v>
      </c>
      <c r="U17" s="22">
        <f>'IESO HOEP-GA'!U26</f>
        <v>39.918575685580805</v>
      </c>
      <c r="V17" s="22">
        <f>'IESO HOEP-GA'!V26</f>
        <v>28.183721696889208</v>
      </c>
    </row>
    <row r="18" spans="2:37" s="53" customFormat="1" x14ac:dyDescent="0.25">
      <c r="B18" s="53" t="s">
        <v>212</v>
      </c>
      <c r="W18" s="22">
        <f>V17*(1+V12)</f>
        <v>26.187577784336277</v>
      </c>
      <c r="X18" s="22">
        <f>W18*(1+$V$12)</f>
        <v>24.332813018316074</v>
      </c>
      <c r="Y18" s="22">
        <f t="shared" ref="Y18:AI18" si="1">X18*(1+$V$12)</f>
        <v>22.609414061138551</v>
      </c>
      <c r="Z18" s="22">
        <f t="shared" si="1"/>
        <v>21.008076781062023</v>
      </c>
      <c r="AA18" s="22">
        <f t="shared" si="1"/>
        <v>19.520156021981077</v>
      </c>
      <c r="AB18" s="22">
        <f t="shared" si="1"/>
        <v>18.137618930733055</v>
      </c>
      <c r="AC18" s="22">
        <f t="shared" si="1"/>
        <v>16.853001590050763</v>
      </c>
      <c r="AD18" s="22">
        <f t="shared" si="1"/>
        <v>15.659368723035266</v>
      </c>
      <c r="AE18" s="22">
        <f t="shared" si="1"/>
        <v>14.550276251604895</v>
      </c>
      <c r="AF18" s="22">
        <f t="shared" si="1"/>
        <v>13.51973650678438</v>
      </c>
      <c r="AG18" s="22">
        <f t="shared" si="1"/>
        <v>12.562185903014544</v>
      </c>
      <c r="AH18" s="22">
        <f t="shared" si="1"/>
        <v>11.672454901965505</v>
      </c>
      <c r="AI18" s="22">
        <f t="shared" si="1"/>
        <v>10.845740103696729</v>
      </c>
      <c r="AJ18" s="22">
        <f t="shared" ref="AJ18" si="2">AI18*(1+$V$12)</f>
        <v>10.077578314492181</v>
      </c>
      <c r="AK18" s="22">
        <f t="shared" ref="AK18" si="3">AJ18*(1+$V$12)</f>
        <v>9.3638224513703356</v>
      </c>
    </row>
    <row r="19" spans="2:37" x14ac:dyDescent="0.25">
      <c r="B19" t="s">
        <v>211</v>
      </c>
      <c r="C19" s="22">
        <f>C17+C18</f>
        <v>90.857322870794135</v>
      </c>
      <c r="D19" s="22">
        <f t="shared" ref="D19:AH19" si="4">D17+D18</f>
        <v>88.992161882316481</v>
      </c>
      <c r="E19" s="22">
        <f t="shared" si="4"/>
        <v>85.366798369420309</v>
      </c>
      <c r="F19" s="22">
        <f t="shared" si="4"/>
        <v>82.269923504985755</v>
      </c>
      <c r="G19" s="22">
        <f t="shared" si="4"/>
        <v>84.959951950507261</v>
      </c>
      <c r="H19" s="22">
        <f t="shared" si="4"/>
        <v>74.22519073286179</v>
      </c>
      <c r="I19" s="22">
        <f t="shared" si="4"/>
        <v>71.360985163238198</v>
      </c>
      <c r="J19" s="22">
        <f t="shared" si="4"/>
        <v>67.39454863013701</v>
      </c>
      <c r="K19" s="22">
        <f t="shared" si="4"/>
        <v>71.779572018465828</v>
      </c>
      <c r="L19" s="22">
        <f t="shared" si="4"/>
        <v>66.570880119412607</v>
      </c>
      <c r="M19" s="22">
        <f t="shared" si="4"/>
        <v>62.645695257041098</v>
      </c>
      <c r="N19" s="22">
        <f t="shared" si="4"/>
        <v>67.12117214647887</v>
      </c>
      <c r="O19" s="22">
        <f t="shared" si="4"/>
        <v>64.471749381149991</v>
      </c>
      <c r="P19" s="22">
        <f t="shared" si="4"/>
        <v>58.473026782935889</v>
      </c>
      <c r="Q19" s="22">
        <f t="shared" si="4"/>
        <v>55.291821001290728</v>
      </c>
      <c r="R19" s="22">
        <f t="shared" si="4"/>
        <v>48.258233464459622</v>
      </c>
      <c r="S19" s="22">
        <f t="shared" si="4"/>
        <v>47.88165494222288</v>
      </c>
      <c r="T19" s="22">
        <f t="shared" si="4"/>
        <v>43.543336678190968</v>
      </c>
      <c r="U19" s="22">
        <f t="shared" si="4"/>
        <v>39.918575685580805</v>
      </c>
      <c r="V19" s="22">
        <f t="shared" si="4"/>
        <v>28.183721696889208</v>
      </c>
      <c r="W19" s="22">
        <f t="shared" si="4"/>
        <v>26.187577784336277</v>
      </c>
      <c r="X19" s="22">
        <f t="shared" si="4"/>
        <v>24.332813018316074</v>
      </c>
      <c r="Y19" s="22">
        <f t="shared" si="4"/>
        <v>22.609414061138551</v>
      </c>
      <c r="Z19" s="22">
        <f t="shared" si="4"/>
        <v>21.008076781062023</v>
      </c>
      <c r="AA19" s="22">
        <f t="shared" si="4"/>
        <v>19.520156021981077</v>
      </c>
      <c r="AB19" s="22">
        <f t="shared" si="4"/>
        <v>18.137618930733055</v>
      </c>
      <c r="AC19" s="22">
        <f t="shared" si="4"/>
        <v>16.853001590050763</v>
      </c>
      <c r="AD19" s="22">
        <f t="shared" si="4"/>
        <v>15.659368723035266</v>
      </c>
      <c r="AE19" s="22">
        <f t="shared" si="4"/>
        <v>14.550276251604895</v>
      </c>
      <c r="AF19" s="22">
        <f t="shared" si="4"/>
        <v>13.51973650678438</v>
      </c>
      <c r="AG19" s="22">
        <f t="shared" si="4"/>
        <v>12.562185903014544</v>
      </c>
      <c r="AH19" s="22">
        <f t="shared" si="4"/>
        <v>11.672454901965505</v>
      </c>
      <c r="AI19" s="22">
        <f t="shared" ref="AI19:AK19" si="5">AI17+AI18</f>
        <v>10.845740103696729</v>
      </c>
      <c r="AJ19" s="22">
        <f t="shared" si="5"/>
        <v>10.077578314492181</v>
      </c>
      <c r="AK19" s="22">
        <f t="shared" si="5"/>
        <v>9.3638224513703356</v>
      </c>
    </row>
    <row r="20" spans="2:37" s="19" customFormat="1" x14ac:dyDescent="0.25">
      <c r="B20" s="19" t="s">
        <v>84</v>
      </c>
      <c r="C20" s="22"/>
      <c r="D20" s="37">
        <f>D19*('Residential Bill'!$D$2/'Residential Bill'!$D$3)*'Residential Bill'!C8</f>
        <v>11858.205570818671</v>
      </c>
      <c r="E20" s="37">
        <f>E19*('Residential Bill'!$D$2/'Residential Bill'!$D$3)*'Residential Bill'!D8</f>
        <v>11375.125882725257</v>
      </c>
      <c r="F20" s="37">
        <f>F19*('Residential Bill'!$D$2/'Residential Bill'!$D$3)*'Residential Bill'!E8</f>
        <v>10885.806696500615</v>
      </c>
      <c r="G20" s="37">
        <f>G19*('Residential Bill'!$D$2/'Residential Bill'!$D$3)*'Residential Bill'!F8</f>
        <v>11241.74636945121</v>
      </c>
      <c r="H20" s="37">
        <f>H19*('Residential Bill'!$D$2/'Residential Bill'!$D$3)*'Residential Bill'!G8</f>
        <v>9821.3422828800303</v>
      </c>
      <c r="I20" s="37">
        <f>I19*('Residential Bill'!$D$2/'Residential Bill'!$D$3)*'Residential Bill'!H8</f>
        <v>9442.3558095539247</v>
      </c>
      <c r="J20" s="37">
        <f>J19*('Residential Bill'!$D$2/'Residential Bill'!$D$3)*'Residential Bill'!I8</f>
        <v>8917.5241391967647</v>
      </c>
      <c r="K20" s="37">
        <f>K19*('Residential Bill'!$D$2/'Residential Bill'!$D$3)*'Residential Bill'!J8</f>
        <v>9497.7424611706374</v>
      </c>
      <c r="L20" s="37">
        <f>L19*('Residential Bill'!$D$2/'Residential Bill'!$D$3)*'Residential Bill'!K8</f>
        <v>8808.5378194368222</v>
      </c>
      <c r="M20" s="37">
        <f>M19*('Residential Bill'!$D$2/'Residential Bill'!$D$3)*'Residential Bill'!L8</f>
        <v>8230.7900972944208</v>
      </c>
      <c r="N20" s="37">
        <f>N19*('Residential Bill'!$D$2/'Residential Bill'!$D$3)*'Residential Bill'!M8</f>
        <v>8881.351459927273</v>
      </c>
      <c r="O20" s="37">
        <f>O19*('Residential Bill'!$D$2/'Residential Bill'!$D$3)*'Residential Bill'!N8</f>
        <v>8530.7846567512552</v>
      </c>
      <c r="P20" s="37">
        <f>P19*('Residential Bill'!$D$2/'Residential Bill'!$D$3)*'Residential Bill'!O8</f>
        <v>7737.0445893239257</v>
      </c>
      <c r="Q20" s="37">
        <f>Q19*('Residential Bill'!$D$2/'Residential Bill'!$D$3)*'Residential Bill'!P8</f>
        <v>7367.6351484219895</v>
      </c>
      <c r="R20" s="37">
        <f>R19*('Residential Bill'!$D$2/'Residential Bill'!$D$3)*'Residential Bill'!Q8</f>
        <v>6430.4096091392439</v>
      </c>
      <c r="S20" s="37">
        <f>S19*('Residential Bill'!$D$2/'Residential Bill'!$D$3)*'Residential Bill'!R8</f>
        <v>6424.8475177019063</v>
      </c>
      <c r="T20" s="37">
        <f>T19*('Residential Bill'!$D$2/'Residential Bill'!$D$3)*'Residential Bill'!S8</f>
        <v>5883.2985579964843</v>
      </c>
      <c r="U20" s="37">
        <f>U19*('Residential Bill'!$D$2/'Residential Bill'!$D$3)*'Residential Bill'!T8</f>
        <v>5430.7407739519704</v>
      </c>
      <c r="V20" s="37">
        <f>V19*('Residential Bill'!$D$2/'Residential Bill'!$D$3)*'Residential Bill'!U8</f>
        <v>3886.7914376528115</v>
      </c>
      <c r="W20" s="37">
        <f>W19*('Residential Bill'!$D$2/'Residential Bill'!$D$3)*'Residential Bill'!V8</f>
        <v>3626.5378743836122</v>
      </c>
      <c r="X20" s="37">
        <f>X19*('Residential Bill'!$D$2/'Residential Bill'!$D$3)*'Residential Bill'!W8</f>
        <v>3383.710488536276</v>
      </c>
      <c r="Y20" s="37">
        <f>Y19*('Residential Bill'!$D$2/'Residential Bill'!$D$3)*'Residential Bill'!X8</f>
        <v>3157.1424501326692</v>
      </c>
      <c r="Z20" s="37">
        <f>Z19*('Residential Bill'!$D$2/'Residential Bill'!$D$3)*'Residential Bill'!Y8</f>
        <v>2945.7450583313571</v>
      </c>
      <c r="AA20" s="37">
        <f>AA19*('Residential Bill'!$D$2/'Residential Bill'!$D$3)*'Residential Bill'!Z8</f>
        <v>2748.5025100210373</v>
      </c>
      <c r="AB20" s="37">
        <f>AB19*('Residential Bill'!$D$2/'Residential Bill'!$D$3)*'Residential Bill'!AA8</f>
        <v>2564.4670187009065</v>
      </c>
      <c r="AC20" s="37">
        <f>AC19*('Residential Bill'!$D$2/'Residential Bill'!$D$3)*'Residential Bill'!AB8</f>
        <v>2392.7542601932632</v>
      </c>
      <c r="AD20" s="37">
        <f>AD19*('Residential Bill'!$D$2/'Residential Bill'!$D$3)*'Residential Bill'!AC8</f>
        <v>2232.5391233041819</v>
      </c>
      <c r="AE20" s="37">
        <f>AE19*('Residential Bill'!$D$2/'Residential Bill'!$D$3)*'Residential Bill'!AD8</f>
        <v>2083.0517450133925</v>
      </c>
      <c r="AF20" s="37">
        <f>AF19*('Residential Bill'!$D$2/'Residential Bill'!$D$3)*'Residential Bill'!AE8</f>
        <v>1943.5738111417361</v>
      </c>
      <c r="AG20" s="37">
        <f>AG19*('Residential Bill'!$D$2/'Residential Bill'!$D$3)*'Residential Bill'!AF8</f>
        <v>1813.4351047202267</v>
      </c>
      <c r="AH20" s="37">
        <f>AH19*('Residential Bill'!$D$2/'Residential Bill'!$D$3)*'Residential Bill'!AG8</f>
        <v>1692.0102854749985</v>
      </c>
      <c r="AI20" s="37">
        <f>AI19*('Residential Bill'!$D$2/'Residential Bill'!$D$3)*'Residential Bill'!AH8</f>
        <v>1578.715884952976</v>
      </c>
      <c r="AJ20" s="37">
        <f>AJ19*('Residential Bill'!$D$2/'Residential Bill'!$D$3)*'Residential Bill'!AI8</f>
        <v>1473.0075028493</v>
      </c>
      <c r="AK20" s="37">
        <f>AK19*('Residential Bill'!$D$2/'Residential Bill'!$D$3)*'Residential Bill'!AJ8</f>
        <v>1374.3771910643436</v>
      </c>
    </row>
    <row r="21" spans="2:37" x14ac:dyDescent="0.25">
      <c r="B21" t="s">
        <v>86</v>
      </c>
      <c r="D21" s="32">
        <f t="shared" ref="D21:AK21" si="6">D20*1.02^(D15-2016)</f>
        <v>12095.369682235045</v>
      </c>
      <c r="E21" s="32">
        <f t="shared" si="6"/>
        <v>11834.680968387356</v>
      </c>
      <c r="F21" s="32">
        <f t="shared" si="6"/>
        <v>11552.105152780023</v>
      </c>
      <c r="G21" s="32">
        <f t="shared" si="6"/>
        <v>12168.427804857231</v>
      </c>
      <c r="H21" s="32">
        <f t="shared" si="6"/>
        <v>10843.555476184305</v>
      </c>
      <c r="I21" s="32">
        <f t="shared" si="6"/>
        <v>10633.626262038733</v>
      </c>
      <c r="J21" s="32">
        <f t="shared" si="6"/>
        <v>10243.432169611806</v>
      </c>
      <c r="K21" s="32">
        <f t="shared" si="6"/>
        <v>11128.119052974123</v>
      </c>
      <c r="L21" s="32">
        <f t="shared" si="6"/>
        <v>10527.01808843752</v>
      </c>
      <c r="M21" s="32">
        <f t="shared" si="6"/>
        <v>10033.287200750003</v>
      </c>
      <c r="N21" s="32">
        <f t="shared" si="6"/>
        <v>11042.844229096907</v>
      </c>
      <c r="O21" s="32">
        <f t="shared" si="6"/>
        <v>10819.097642104838</v>
      </c>
      <c r="P21" s="32">
        <f t="shared" si="6"/>
        <v>10008.692180866097</v>
      </c>
      <c r="Q21" s="32">
        <f t="shared" si="6"/>
        <v>9721.4381123383864</v>
      </c>
      <c r="R21" s="32">
        <f t="shared" si="6"/>
        <v>8654.4846953957476</v>
      </c>
      <c r="S21" s="32">
        <f t="shared" si="6"/>
        <v>8819.9388296880807</v>
      </c>
      <c r="T21" s="32">
        <f t="shared" si="6"/>
        <v>8238.0383223817407</v>
      </c>
      <c r="U21" s="32">
        <f t="shared" si="6"/>
        <v>7756.4351319563648</v>
      </c>
      <c r="V21" s="32">
        <f t="shared" si="6"/>
        <v>5662.3211916579985</v>
      </c>
      <c r="W21" s="32">
        <f t="shared" si="6"/>
        <v>5388.8445108572041</v>
      </c>
      <c r="X21" s="32">
        <f t="shared" si="6"/>
        <v>5128.5761049688263</v>
      </c>
      <c r="Y21" s="32">
        <f t="shared" si="6"/>
        <v>4880.8780456486584</v>
      </c>
      <c r="Z21" s="32">
        <f t="shared" si="6"/>
        <v>4645.1432149781613</v>
      </c>
      <c r="AA21" s="32">
        <f t="shared" si="6"/>
        <v>4420.7938173939892</v>
      </c>
      <c r="AB21" s="32">
        <f t="shared" si="6"/>
        <v>4207.2799634878011</v>
      </c>
      <c r="AC21" s="32">
        <f t="shared" si="6"/>
        <v>4004.0783222051691</v>
      </c>
      <c r="AD21" s="32">
        <f t="shared" si="6"/>
        <v>3810.6908381400954</v>
      </c>
      <c r="AE21" s="32">
        <f t="shared" si="6"/>
        <v>3626.6435107811549</v>
      </c>
      <c r="AF21" s="32">
        <f t="shared" si="6"/>
        <v>3451.4852327171438</v>
      </c>
      <c r="AG21" s="32">
        <f t="shared" si="6"/>
        <v>3284.7866839546605</v>
      </c>
      <c r="AH21" s="32">
        <f t="shared" si="6"/>
        <v>3126.139279637503</v>
      </c>
      <c r="AI21" s="32">
        <f t="shared" si="6"/>
        <v>2975.1541685887391</v>
      </c>
      <c r="AJ21" s="32">
        <f t="shared" si="6"/>
        <v>2831.4612802208057</v>
      </c>
      <c r="AK21" s="32">
        <f t="shared" si="6"/>
        <v>2694.7084174775991</v>
      </c>
    </row>
    <row r="22" spans="2:37" s="19" customFormat="1" x14ac:dyDescent="0.25"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AI22" s="53"/>
      <c r="AJ22" s="53"/>
      <c r="AK22" s="53"/>
    </row>
    <row r="23" spans="2:37" x14ac:dyDescent="0.25">
      <c r="B23" s="20" t="s">
        <v>85</v>
      </c>
      <c r="AI23" s="53"/>
      <c r="AJ23" s="53"/>
      <c r="AK23" s="53"/>
    </row>
    <row r="24" spans="2:37" s="19" customFormat="1" x14ac:dyDescent="0.25">
      <c r="B24" s="19" t="s">
        <v>201</v>
      </c>
      <c r="D24" s="149">
        <v>10330.100841406902</v>
      </c>
      <c r="E24" s="149">
        <v>9896.0990392035255</v>
      </c>
      <c r="F24" s="149">
        <v>9461.4280839508847</v>
      </c>
      <c r="G24" s="149">
        <v>9294.9268391322603</v>
      </c>
      <c r="H24" s="149">
        <v>8289.8043056784791</v>
      </c>
      <c r="I24" s="32">
        <f>IF(I15&lt;$D$15+$C$4, H24*(1+$C$5), H24*(1+$C$6))</f>
        <v>8289.8043056784791</v>
      </c>
      <c r="J24" s="32">
        <f t="shared" ref="J24:AK24" si="7">IF(J15&lt;$D$15+$C$4, I24*(1+$C$5), I24*(1+$C$6))</f>
        <v>8289.8043056784791</v>
      </c>
      <c r="K24" s="32">
        <f t="shared" si="7"/>
        <v>8289.8043056784791</v>
      </c>
      <c r="L24" s="32">
        <f t="shared" si="7"/>
        <v>8289.8043056784791</v>
      </c>
      <c r="M24" s="32">
        <f t="shared" si="7"/>
        <v>8289.8043056784791</v>
      </c>
      <c r="N24" s="32">
        <f t="shared" si="7"/>
        <v>8289.8043056784791</v>
      </c>
      <c r="O24" s="32">
        <f t="shared" si="7"/>
        <v>8289.8043056784791</v>
      </c>
      <c r="P24" s="32">
        <f t="shared" si="7"/>
        <v>8289.8043056784791</v>
      </c>
      <c r="Q24" s="32">
        <f t="shared" si="7"/>
        <v>8289.8043056784791</v>
      </c>
      <c r="R24" s="32">
        <f t="shared" si="7"/>
        <v>8289.8043056784791</v>
      </c>
      <c r="S24" s="32">
        <f t="shared" si="7"/>
        <v>8289.8043056784791</v>
      </c>
      <c r="T24" s="32">
        <f t="shared" si="7"/>
        <v>8289.8043056784791</v>
      </c>
      <c r="U24" s="32">
        <f t="shared" si="7"/>
        <v>8289.8043056784791</v>
      </c>
      <c r="V24" s="32">
        <f t="shared" si="7"/>
        <v>8289.8043056784791</v>
      </c>
      <c r="W24" s="32">
        <f t="shared" si="7"/>
        <v>8289.8043056784791</v>
      </c>
      <c r="X24" s="32">
        <f t="shared" si="7"/>
        <v>8289.8043056784791</v>
      </c>
      <c r="Y24" s="32">
        <f t="shared" si="7"/>
        <v>8289.8043056784791</v>
      </c>
      <c r="Z24" s="32">
        <f t="shared" si="7"/>
        <v>8289.8043056784791</v>
      </c>
      <c r="AA24" s="32">
        <f t="shared" si="7"/>
        <v>8289.8043056784791</v>
      </c>
      <c r="AB24" s="32">
        <f t="shared" si="7"/>
        <v>8289.8043056784791</v>
      </c>
      <c r="AC24" s="32">
        <f t="shared" si="7"/>
        <v>8289.8043056784791</v>
      </c>
      <c r="AD24" s="32">
        <f t="shared" si="7"/>
        <v>8289.8043056784791</v>
      </c>
      <c r="AE24" s="32">
        <f t="shared" si="7"/>
        <v>8289.8043056784791</v>
      </c>
      <c r="AF24" s="32">
        <f t="shared" si="7"/>
        <v>8289.8043056784791</v>
      </c>
      <c r="AG24" s="32">
        <f t="shared" si="7"/>
        <v>8289.8043056784791</v>
      </c>
      <c r="AH24" s="32">
        <f t="shared" si="7"/>
        <v>8289.8043056784791</v>
      </c>
      <c r="AI24" s="32">
        <f t="shared" si="7"/>
        <v>8289.8043056784791</v>
      </c>
      <c r="AJ24" s="32">
        <f t="shared" si="7"/>
        <v>8289.8043056784791</v>
      </c>
      <c r="AK24" s="32">
        <f t="shared" si="7"/>
        <v>8289.8043056784791</v>
      </c>
    </row>
    <row r="25" spans="2:37" s="19" customFormat="1" x14ac:dyDescent="0.25">
      <c r="B25" s="19" t="s">
        <v>202</v>
      </c>
      <c r="D25" s="32">
        <f t="shared" ref="D25:AK25" si="8">MIN(D24*(1.02)^(D$15-2016), D21+$C$11)</f>
        <v>10536.702858235039</v>
      </c>
      <c r="E25" s="32">
        <f t="shared" si="8"/>
        <v>10295.901440387348</v>
      </c>
      <c r="F25" s="32">
        <f t="shared" si="8"/>
        <v>10040.543174113349</v>
      </c>
      <c r="G25" s="32">
        <f t="shared" si="8"/>
        <v>10061.127735523905</v>
      </c>
      <c r="H25" s="32">
        <f t="shared" si="8"/>
        <v>9152.6137961843142</v>
      </c>
      <c r="I25" s="32">
        <f t="shared" si="8"/>
        <v>9335.6660721080007</v>
      </c>
      <c r="J25" s="32">
        <f t="shared" si="8"/>
        <v>9522.3793935501581</v>
      </c>
      <c r="K25" s="32">
        <f t="shared" si="8"/>
        <v>9712.8269814211617</v>
      </c>
      <c r="L25" s="32">
        <f t="shared" si="8"/>
        <v>9907.0835210495861</v>
      </c>
      <c r="M25" s="32">
        <f t="shared" si="8"/>
        <v>10105.225191470578</v>
      </c>
      <c r="N25" s="32">
        <f t="shared" si="8"/>
        <v>10307.329695299988</v>
      </c>
      <c r="O25" s="32">
        <f t="shared" si="8"/>
        <v>10513.476289205988</v>
      </c>
      <c r="P25" s="32">
        <f t="shared" si="8"/>
        <v>10723.745814990109</v>
      </c>
      <c r="Q25" s="32">
        <f t="shared" si="8"/>
        <v>10938.220731289912</v>
      </c>
      <c r="R25" s="32">
        <f t="shared" si="8"/>
        <v>10382.721319312956</v>
      </c>
      <c r="S25" s="32">
        <f t="shared" si="8"/>
        <v>10548.175453605289</v>
      </c>
      <c r="T25" s="32">
        <f t="shared" si="8"/>
        <v>9966.2749462989486</v>
      </c>
      <c r="U25" s="32">
        <f t="shared" si="8"/>
        <v>9484.6717558735727</v>
      </c>
      <c r="V25" s="32">
        <f t="shared" si="8"/>
        <v>7390.5578155752055</v>
      </c>
      <c r="W25" s="32">
        <f t="shared" si="8"/>
        <v>7117.0811347744111</v>
      </c>
      <c r="X25" s="32">
        <f t="shared" si="8"/>
        <v>6856.8127288860333</v>
      </c>
      <c r="Y25" s="32">
        <f t="shared" si="8"/>
        <v>6609.1146695658654</v>
      </c>
      <c r="Z25" s="32">
        <f t="shared" si="8"/>
        <v>6373.3798388953683</v>
      </c>
      <c r="AA25" s="32">
        <f t="shared" si="8"/>
        <v>6149.0304413111962</v>
      </c>
      <c r="AB25" s="32">
        <f t="shared" si="8"/>
        <v>5935.5165874050081</v>
      </c>
      <c r="AC25" s="32">
        <f t="shared" si="8"/>
        <v>5732.3149461223766</v>
      </c>
      <c r="AD25" s="32">
        <f t="shared" si="8"/>
        <v>5538.9274620573024</v>
      </c>
      <c r="AE25" s="32">
        <f t="shared" si="8"/>
        <v>5354.8801346983619</v>
      </c>
      <c r="AF25" s="32">
        <f t="shared" si="8"/>
        <v>5179.7218566343508</v>
      </c>
      <c r="AG25" s="32">
        <f t="shared" si="8"/>
        <v>5013.0233078718675</v>
      </c>
      <c r="AH25" s="32">
        <f t="shared" si="8"/>
        <v>4854.37590355471</v>
      </c>
      <c r="AI25" s="32">
        <f t="shared" si="8"/>
        <v>4703.3907925059466</v>
      </c>
      <c r="AJ25" s="32">
        <f t="shared" si="8"/>
        <v>4559.6979041380127</v>
      </c>
      <c r="AK25" s="32">
        <f t="shared" si="8"/>
        <v>4422.9450413948061</v>
      </c>
    </row>
    <row r="26" spans="2:37" s="19" customFormat="1" x14ac:dyDescent="0.25">
      <c r="B26" s="19" t="s">
        <v>203</v>
      </c>
      <c r="D26" s="32">
        <f t="shared" ref="D26:AK26" si="9">D21-D25</f>
        <v>1558.6668240000054</v>
      </c>
      <c r="E26" s="32">
        <f t="shared" si="9"/>
        <v>1538.7795280000082</v>
      </c>
      <c r="F26" s="32">
        <f t="shared" si="9"/>
        <v>1511.5619786666739</v>
      </c>
      <c r="G26" s="32">
        <f t="shared" si="9"/>
        <v>2107.3000693333252</v>
      </c>
      <c r="H26" s="32">
        <f t="shared" si="9"/>
        <v>1690.9416799999908</v>
      </c>
      <c r="I26" s="32">
        <f t="shared" si="9"/>
        <v>1297.9601899307327</v>
      </c>
      <c r="J26" s="32">
        <f t="shared" si="9"/>
        <v>721.05277606164782</v>
      </c>
      <c r="K26" s="32">
        <f t="shared" si="9"/>
        <v>1415.2920715529617</v>
      </c>
      <c r="L26" s="32">
        <f t="shared" si="9"/>
        <v>619.93456738793429</v>
      </c>
      <c r="M26" s="32">
        <f t="shared" si="9"/>
        <v>-71.937990720574817</v>
      </c>
      <c r="N26" s="32">
        <f t="shared" si="9"/>
        <v>735.51453379691884</v>
      </c>
      <c r="O26" s="32">
        <f t="shared" si="9"/>
        <v>305.62135289885009</v>
      </c>
      <c r="P26" s="32">
        <f t="shared" si="9"/>
        <v>-715.0536341240113</v>
      </c>
      <c r="Q26" s="32">
        <f t="shared" si="9"/>
        <v>-1216.7826189515254</v>
      </c>
      <c r="R26" s="32">
        <f t="shared" si="9"/>
        <v>-1728.2366239172079</v>
      </c>
      <c r="S26" s="32">
        <f t="shared" si="9"/>
        <v>-1728.2366239172079</v>
      </c>
      <c r="T26" s="32">
        <f t="shared" si="9"/>
        <v>-1728.2366239172079</v>
      </c>
      <c r="U26" s="32">
        <f t="shared" si="9"/>
        <v>-1728.2366239172079</v>
      </c>
      <c r="V26" s="32">
        <f t="shared" si="9"/>
        <v>-1728.236623917207</v>
      </c>
      <c r="W26" s="32">
        <f t="shared" si="9"/>
        <v>-1728.236623917207</v>
      </c>
      <c r="X26" s="32">
        <f t="shared" si="9"/>
        <v>-1728.236623917207</v>
      </c>
      <c r="Y26" s="32">
        <f t="shared" si="9"/>
        <v>-1728.236623917207</v>
      </c>
      <c r="Z26" s="32">
        <f t="shared" si="9"/>
        <v>-1728.236623917207</v>
      </c>
      <c r="AA26" s="32">
        <f t="shared" si="9"/>
        <v>-1728.236623917207</v>
      </c>
      <c r="AB26" s="32">
        <f t="shared" si="9"/>
        <v>-1728.236623917207</v>
      </c>
      <c r="AC26" s="32">
        <f t="shared" si="9"/>
        <v>-1728.2366239172075</v>
      </c>
      <c r="AD26" s="32">
        <f t="shared" si="9"/>
        <v>-1728.236623917207</v>
      </c>
      <c r="AE26" s="32">
        <f t="shared" si="9"/>
        <v>-1728.236623917207</v>
      </c>
      <c r="AF26" s="32">
        <f t="shared" si="9"/>
        <v>-1728.236623917207</v>
      </c>
      <c r="AG26" s="32">
        <f t="shared" si="9"/>
        <v>-1728.236623917207</v>
      </c>
      <c r="AH26" s="32">
        <f t="shared" si="9"/>
        <v>-1728.236623917207</v>
      </c>
      <c r="AI26" s="32">
        <f t="shared" si="9"/>
        <v>-1728.2366239172075</v>
      </c>
      <c r="AJ26" s="32">
        <f t="shared" si="9"/>
        <v>-1728.236623917207</v>
      </c>
      <c r="AK26" s="32">
        <f t="shared" si="9"/>
        <v>-1728.236623917207</v>
      </c>
    </row>
    <row r="27" spans="2:37" s="19" customFormat="1" x14ac:dyDescent="0.25">
      <c r="B27" s="19" t="s">
        <v>204</v>
      </c>
      <c r="D27" s="32"/>
      <c r="E27" s="32">
        <f t="shared" ref="E27:AK27" si="10">IF(E15&gt;=$C$7, D28*$C$9, 0)</f>
        <v>0</v>
      </c>
      <c r="F27" s="32">
        <f t="shared" si="10"/>
        <v>0</v>
      </c>
      <c r="G27" s="32">
        <f t="shared" si="10"/>
        <v>0</v>
      </c>
      <c r="H27" s="32">
        <f t="shared" si="10"/>
        <v>0</v>
      </c>
      <c r="I27" s="32">
        <f t="shared" si="10"/>
        <v>0</v>
      </c>
      <c r="J27" s="32">
        <f t="shared" si="10"/>
        <v>0</v>
      </c>
      <c r="K27" s="32">
        <f t="shared" si="10"/>
        <v>0</v>
      </c>
      <c r="L27" s="32">
        <f t="shared" si="10"/>
        <v>0</v>
      </c>
      <c r="M27" s="32">
        <f t="shared" si="10"/>
        <v>0</v>
      </c>
      <c r="N27" s="32">
        <f t="shared" si="10"/>
        <v>0</v>
      </c>
      <c r="O27" s="32">
        <f t="shared" si="10"/>
        <v>0</v>
      </c>
      <c r="P27" s="32">
        <f t="shared" si="10"/>
        <v>0</v>
      </c>
      <c r="Q27" s="32">
        <f t="shared" si="10"/>
        <v>0</v>
      </c>
      <c r="R27" s="32">
        <f t="shared" si="10"/>
        <v>0</v>
      </c>
      <c r="S27" s="32">
        <f t="shared" si="10"/>
        <v>0</v>
      </c>
      <c r="T27" s="32">
        <f t="shared" si="10"/>
        <v>0</v>
      </c>
      <c r="U27" s="32">
        <f t="shared" si="10"/>
        <v>0</v>
      </c>
      <c r="V27" s="32">
        <f t="shared" si="10"/>
        <v>0</v>
      </c>
      <c r="W27" s="32">
        <f t="shared" si="10"/>
        <v>0</v>
      </c>
      <c r="X27" s="32">
        <f t="shared" si="10"/>
        <v>0</v>
      </c>
      <c r="Y27" s="32">
        <f t="shared" si="10"/>
        <v>0</v>
      </c>
      <c r="Z27" s="32">
        <f t="shared" si="10"/>
        <v>0</v>
      </c>
      <c r="AA27" s="32">
        <f t="shared" si="10"/>
        <v>0</v>
      </c>
      <c r="AB27" s="32">
        <f t="shared" si="10"/>
        <v>0</v>
      </c>
      <c r="AC27" s="32">
        <f t="shared" si="10"/>
        <v>0</v>
      </c>
      <c r="AD27" s="32">
        <f t="shared" si="10"/>
        <v>0</v>
      </c>
      <c r="AE27" s="32">
        <f t="shared" si="10"/>
        <v>0</v>
      </c>
      <c r="AF27" s="32">
        <f t="shared" si="10"/>
        <v>0</v>
      </c>
      <c r="AG27" s="32">
        <f t="shared" si="10"/>
        <v>0</v>
      </c>
      <c r="AH27" s="32">
        <f t="shared" si="10"/>
        <v>0</v>
      </c>
      <c r="AI27" s="32">
        <f t="shared" si="10"/>
        <v>0</v>
      </c>
      <c r="AJ27" s="32">
        <f t="shared" si="10"/>
        <v>0</v>
      </c>
      <c r="AK27" s="32">
        <f t="shared" si="10"/>
        <v>0</v>
      </c>
    </row>
    <row r="28" spans="2:37" x14ac:dyDescent="0.25">
      <c r="B28" t="s">
        <v>205</v>
      </c>
      <c r="D28" s="32">
        <f>IF(D26&gt;0, D26, 0)</f>
        <v>1558.6668240000054</v>
      </c>
      <c r="E28" s="32">
        <f t="shared" ref="E28:AK28" si="11">D28*(1+$C$10) - E27 + E26</f>
        <v>3177.1877467158538</v>
      </c>
      <c r="F28" s="32">
        <f t="shared" si="11"/>
        <v>4851.2946505045111</v>
      </c>
      <c r="G28" s="32">
        <f t="shared" si="11"/>
        <v>7206.7869541576474</v>
      </c>
      <c r="H28" s="32">
        <f t="shared" si="11"/>
        <v>9266.4278547323447</v>
      </c>
      <c r="I28" s="32">
        <f t="shared" si="11"/>
        <v>11038.458493711185</v>
      </c>
      <c r="J28" s="32">
        <f t="shared" si="11"/>
        <v>12324.238806311098</v>
      </c>
      <c r="K28" s="32">
        <f t="shared" si="11"/>
        <v>14370.038935194936</v>
      </c>
      <c r="L28" s="32">
        <f t="shared" si="11"/>
        <v>15725.144694507444</v>
      </c>
      <c r="M28" s="32">
        <f t="shared" si="11"/>
        <v>16457.705106357869</v>
      </c>
      <c r="N28" s="32">
        <f t="shared" si="11"/>
        <v>18035.195833396057</v>
      </c>
      <c r="O28" s="32">
        <f t="shared" si="11"/>
        <v>19263.497805131454</v>
      </c>
      <c r="P28" s="32">
        <f t="shared" si="11"/>
        <v>19533.964718717969</v>
      </c>
      <c r="Q28" s="32">
        <f t="shared" si="11"/>
        <v>19316.539734776055</v>
      </c>
      <c r="R28" s="32">
        <f t="shared" si="11"/>
        <v>18576.537283689991</v>
      </c>
      <c r="S28" s="32">
        <f t="shared" si="11"/>
        <v>17798.676307206366</v>
      </c>
      <c r="T28" s="32">
        <f t="shared" si="11"/>
        <v>16981.019963165836</v>
      </c>
      <c r="U28" s="32">
        <f t="shared" si="11"/>
        <v>16121.532320564194</v>
      </c>
      <c r="V28" s="32">
        <f t="shared" si="11"/>
        <v>15218.073290167053</v>
      </c>
      <c r="W28" s="32">
        <f t="shared" si="11"/>
        <v>14268.393295774793</v>
      </c>
      <c r="X28" s="32">
        <f t="shared" si="11"/>
        <v>13270.127672869425</v>
      </c>
      <c r="Y28" s="32">
        <f t="shared" si="11"/>
        <v>12220.790780696218</v>
      </c>
      <c r="Z28" s="32">
        <f t="shared" si="11"/>
        <v>11117.76981311943</v>
      </c>
      <c r="AA28" s="32">
        <f t="shared" si="11"/>
        <v>9958.3182928414135</v>
      </c>
      <c r="AB28" s="32">
        <f t="shared" si="11"/>
        <v>8739.5492327859756</v>
      </c>
      <c r="AC28" s="32">
        <f t="shared" si="11"/>
        <v>7458.4279476180982</v>
      </c>
      <c r="AD28" s="32">
        <f t="shared" si="11"/>
        <v>6111.7644975010335</v>
      </c>
      <c r="AE28" s="32">
        <f t="shared" si="11"/>
        <v>4696.20574527598</v>
      </c>
      <c r="AF28" s="32">
        <f t="shared" si="11"/>
        <v>3208.2270072870924</v>
      </c>
      <c r="AG28" s="32">
        <f t="shared" si="11"/>
        <v>1644.1232770626934</v>
      </c>
      <c r="AH28" s="32">
        <f t="shared" si="11"/>
        <v>1.4097167877480388E-11</v>
      </c>
      <c r="AI28" s="32">
        <f t="shared" si="11"/>
        <v>-1728.2366239171927</v>
      </c>
      <c r="AJ28" s="32">
        <f t="shared" si="11"/>
        <v>-3544.8898335140034</v>
      </c>
      <c r="AK28" s="32">
        <f t="shared" si="11"/>
        <v>-5454.4830213137866</v>
      </c>
    </row>
    <row r="29" spans="2:37" s="19" customFormat="1" x14ac:dyDescent="0.25">
      <c r="B29" s="19" t="s">
        <v>206</v>
      </c>
      <c r="D29" s="32">
        <f t="shared" ref="D29:AK29" si="12">D25+D27</f>
        <v>10536.702858235039</v>
      </c>
      <c r="E29" s="32">
        <f t="shared" si="12"/>
        <v>10295.901440387348</v>
      </c>
      <c r="F29" s="32">
        <f t="shared" si="12"/>
        <v>10040.543174113349</v>
      </c>
      <c r="G29" s="32">
        <f t="shared" si="12"/>
        <v>10061.127735523905</v>
      </c>
      <c r="H29" s="32">
        <f t="shared" si="12"/>
        <v>9152.6137961843142</v>
      </c>
      <c r="I29" s="32">
        <f t="shared" si="12"/>
        <v>9335.6660721080007</v>
      </c>
      <c r="J29" s="32">
        <f t="shared" si="12"/>
        <v>9522.3793935501581</v>
      </c>
      <c r="K29" s="32">
        <f t="shared" si="12"/>
        <v>9712.8269814211617</v>
      </c>
      <c r="L29" s="32">
        <f t="shared" si="12"/>
        <v>9907.0835210495861</v>
      </c>
      <c r="M29" s="32">
        <f t="shared" si="12"/>
        <v>10105.225191470578</v>
      </c>
      <c r="N29" s="32">
        <f t="shared" si="12"/>
        <v>10307.329695299988</v>
      </c>
      <c r="O29" s="32">
        <f t="shared" si="12"/>
        <v>10513.476289205988</v>
      </c>
      <c r="P29" s="32">
        <f t="shared" si="12"/>
        <v>10723.745814990109</v>
      </c>
      <c r="Q29" s="32">
        <f t="shared" si="12"/>
        <v>10938.220731289912</v>
      </c>
      <c r="R29" s="32">
        <f t="shared" si="12"/>
        <v>10382.721319312956</v>
      </c>
      <c r="S29" s="32">
        <f t="shared" si="12"/>
        <v>10548.175453605289</v>
      </c>
      <c r="T29" s="32">
        <f t="shared" si="12"/>
        <v>9966.2749462989486</v>
      </c>
      <c r="U29" s="32">
        <f t="shared" si="12"/>
        <v>9484.6717558735727</v>
      </c>
      <c r="V29" s="32">
        <f t="shared" si="12"/>
        <v>7390.5578155752055</v>
      </c>
      <c r="W29" s="32">
        <f t="shared" si="12"/>
        <v>7117.0811347744111</v>
      </c>
      <c r="X29" s="32">
        <f t="shared" si="12"/>
        <v>6856.8127288860333</v>
      </c>
      <c r="Y29" s="32">
        <f t="shared" si="12"/>
        <v>6609.1146695658654</v>
      </c>
      <c r="Z29" s="32">
        <f t="shared" si="12"/>
        <v>6373.3798388953683</v>
      </c>
      <c r="AA29" s="32">
        <f t="shared" si="12"/>
        <v>6149.0304413111962</v>
      </c>
      <c r="AB29" s="32">
        <f t="shared" si="12"/>
        <v>5935.5165874050081</v>
      </c>
      <c r="AC29" s="32">
        <f t="shared" si="12"/>
        <v>5732.3149461223766</v>
      </c>
      <c r="AD29" s="32">
        <f t="shared" si="12"/>
        <v>5538.9274620573024</v>
      </c>
      <c r="AE29" s="32">
        <f t="shared" si="12"/>
        <v>5354.8801346983619</v>
      </c>
      <c r="AF29" s="32">
        <f t="shared" si="12"/>
        <v>5179.7218566343508</v>
      </c>
      <c r="AG29" s="32">
        <f t="shared" si="12"/>
        <v>5013.0233078718675</v>
      </c>
      <c r="AH29" s="32">
        <f t="shared" si="12"/>
        <v>4854.37590355471</v>
      </c>
      <c r="AI29" s="32">
        <f t="shared" si="12"/>
        <v>4703.3907925059466</v>
      </c>
      <c r="AJ29" s="32">
        <f t="shared" si="12"/>
        <v>4559.6979041380127</v>
      </c>
      <c r="AK29" s="32">
        <f t="shared" si="12"/>
        <v>4422.9450413948061</v>
      </c>
    </row>
    <row r="30" spans="2:37" s="19" customFormat="1" x14ac:dyDescent="0.25">
      <c r="AI30" s="53"/>
      <c r="AJ30" s="53"/>
      <c r="AK30" s="53"/>
    </row>
    <row r="31" spans="2:37" s="19" customFormat="1" x14ac:dyDescent="0.25">
      <c r="AI31" s="53"/>
      <c r="AJ31" s="53"/>
      <c r="AK31" s="53"/>
    </row>
    <row r="32" spans="2:37" s="19" customFormat="1" x14ac:dyDescent="0.25">
      <c r="B32" s="19" t="s">
        <v>126</v>
      </c>
      <c r="D32" s="32">
        <f t="shared" ref="D32:AK32" si="13">IF(D28&lt;=0, 0, D28)</f>
        <v>1558.6668240000054</v>
      </c>
      <c r="E32" s="32">
        <f t="shared" si="13"/>
        <v>3177.1877467158538</v>
      </c>
      <c r="F32" s="32">
        <f t="shared" si="13"/>
        <v>4851.2946505045111</v>
      </c>
      <c r="G32" s="32">
        <f t="shared" si="13"/>
        <v>7206.7869541576474</v>
      </c>
      <c r="H32" s="32">
        <f t="shared" si="13"/>
        <v>9266.4278547323447</v>
      </c>
      <c r="I32" s="32">
        <f t="shared" si="13"/>
        <v>11038.458493711185</v>
      </c>
      <c r="J32" s="32">
        <f t="shared" si="13"/>
        <v>12324.238806311098</v>
      </c>
      <c r="K32" s="32">
        <f t="shared" si="13"/>
        <v>14370.038935194936</v>
      </c>
      <c r="L32" s="32">
        <f t="shared" si="13"/>
        <v>15725.144694507444</v>
      </c>
      <c r="M32" s="32">
        <f t="shared" si="13"/>
        <v>16457.705106357869</v>
      </c>
      <c r="N32" s="32">
        <f t="shared" si="13"/>
        <v>18035.195833396057</v>
      </c>
      <c r="O32" s="32">
        <f t="shared" si="13"/>
        <v>19263.497805131454</v>
      </c>
      <c r="P32" s="32">
        <f t="shared" si="13"/>
        <v>19533.964718717969</v>
      </c>
      <c r="Q32" s="32">
        <f t="shared" si="13"/>
        <v>19316.539734776055</v>
      </c>
      <c r="R32" s="32">
        <f t="shared" si="13"/>
        <v>18576.537283689991</v>
      </c>
      <c r="S32" s="32">
        <f t="shared" si="13"/>
        <v>17798.676307206366</v>
      </c>
      <c r="T32" s="32">
        <f t="shared" si="13"/>
        <v>16981.019963165836</v>
      </c>
      <c r="U32" s="32">
        <f t="shared" si="13"/>
        <v>16121.532320564194</v>
      </c>
      <c r="V32" s="32">
        <f t="shared" si="13"/>
        <v>15218.073290167053</v>
      </c>
      <c r="W32" s="32">
        <f t="shared" si="13"/>
        <v>14268.393295774793</v>
      </c>
      <c r="X32" s="32">
        <f t="shared" si="13"/>
        <v>13270.127672869425</v>
      </c>
      <c r="Y32" s="32">
        <f t="shared" si="13"/>
        <v>12220.790780696218</v>
      </c>
      <c r="Z32" s="32">
        <f t="shared" si="13"/>
        <v>11117.76981311943</v>
      </c>
      <c r="AA32" s="32">
        <f t="shared" si="13"/>
        <v>9958.3182928414135</v>
      </c>
      <c r="AB32" s="32">
        <f t="shared" si="13"/>
        <v>8739.5492327859756</v>
      </c>
      <c r="AC32" s="32">
        <f t="shared" si="13"/>
        <v>7458.4279476180982</v>
      </c>
      <c r="AD32" s="32">
        <f t="shared" si="13"/>
        <v>6111.7644975010335</v>
      </c>
      <c r="AE32" s="32">
        <f t="shared" si="13"/>
        <v>4696.20574527598</v>
      </c>
      <c r="AF32" s="32">
        <f t="shared" si="13"/>
        <v>3208.2270072870924</v>
      </c>
      <c r="AG32" s="32">
        <f t="shared" si="13"/>
        <v>1644.1232770626934</v>
      </c>
      <c r="AH32" s="32">
        <f t="shared" si="13"/>
        <v>1.4097167877480388E-11</v>
      </c>
      <c r="AI32" s="32">
        <f t="shared" si="13"/>
        <v>0</v>
      </c>
      <c r="AJ32" s="32">
        <f t="shared" si="13"/>
        <v>0</v>
      </c>
      <c r="AK32" s="32">
        <f t="shared" si="13"/>
        <v>0</v>
      </c>
    </row>
    <row r="33" spans="2:37" s="19" customFormat="1" x14ac:dyDescent="0.25">
      <c r="B33" s="19" t="s">
        <v>207</v>
      </c>
      <c r="D33" s="32">
        <f>IF(D32&lt;0.1, D$21, D29)</f>
        <v>10536.702858235039</v>
      </c>
      <c r="E33" s="32">
        <f t="shared" ref="E33:AK33" si="14">IF(D32&lt;0.1, E$21, E29)</f>
        <v>10295.901440387348</v>
      </c>
      <c r="F33" s="32">
        <f t="shared" si="14"/>
        <v>10040.543174113349</v>
      </c>
      <c r="G33" s="32">
        <f t="shared" si="14"/>
        <v>10061.127735523905</v>
      </c>
      <c r="H33" s="32">
        <f t="shared" si="14"/>
        <v>9152.6137961843142</v>
      </c>
      <c r="I33" s="32">
        <f t="shared" si="14"/>
        <v>9335.6660721080007</v>
      </c>
      <c r="J33" s="32">
        <f t="shared" si="14"/>
        <v>9522.3793935501581</v>
      </c>
      <c r="K33" s="32">
        <f t="shared" si="14"/>
        <v>9712.8269814211617</v>
      </c>
      <c r="L33" s="32">
        <f t="shared" si="14"/>
        <v>9907.0835210495861</v>
      </c>
      <c r="M33" s="32">
        <f t="shared" si="14"/>
        <v>10105.225191470578</v>
      </c>
      <c r="N33" s="32">
        <f t="shared" si="14"/>
        <v>10307.329695299988</v>
      </c>
      <c r="O33" s="32">
        <f t="shared" si="14"/>
        <v>10513.476289205988</v>
      </c>
      <c r="P33" s="32">
        <f t="shared" si="14"/>
        <v>10723.745814990109</v>
      </c>
      <c r="Q33" s="32">
        <f t="shared" si="14"/>
        <v>10938.220731289912</v>
      </c>
      <c r="R33" s="32">
        <f t="shared" si="14"/>
        <v>10382.721319312956</v>
      </c>
      <c r="S33" s="32">
        <f t="shared" si="14"/>
        <v>10548.175453605289</v>
      </c>
      <c r="T33" s="32">
        <f t="shared" si="14"/>
        <v>9966.2749462989486</v>
      </c>
      <c r="U33" s="32">
        <f t="shared" si="14"/>
        <v>9484.6717558735727</v>
      </c>
      <c r="V33" s="32">
        <f t="shared" si="14"/>
        <v>7390.5578155752055</v>
      </c>
      <c r="W33" s="32">
        <f t="shared" si="14"/>
        <v>7117.0811347744111</v>
      </c>
      <c r="X33" s="32">
        <f t="shared" si="14"/>
        <v>6856.8127288860333</v>
      </c>
      <c r="Y33" s="32">
        <f t="shared" si="14"/>
        <v>6609.1146695658654</v>
      </c>
      <c r="Z33" s="32">
        <f t="shared" si="14"/>
        <v>6373.3798388953683</v>
      </c>
      <c r="AA33" s="32">
        <f t="shared" si="14"/>
        <v>6149.0304413111962</v>
      </c>
      <c r="AB33" s="32">
        <f t="shared" si="14"/>
        <v>5935.5165874050081</v>
      </c>
      <c r="AC33" s="32">
        <f t="shared" si="14"/>
        <v>5732.3149461223766</v>
      </c>
      <c r="AD33" s="32">
        <f t="shared" si="14"/>
        <v>5538.9274620573024</v>
      </c>
      <c r="AE33" s="32">
        <f t="shared" si="14"/>
        <v>5354.8801346983619</v>
      </c>
      <c r="AF33" s="32">
        <f t="shared" si="14"/>
        <v>5179.7218566343508</v>
      </c>
      <c r="AG33" s="32">
        <f t="shared" si="14"/>
        <v>5013.0233078718675</v>
      </c>
      <c r="AH33" s="32">
        <f t="shared" si="14"/>
        <v>4854.37590355471</v>
      </c>
      <c r="AI33" s="32">
        <f t="shared" si="14"/>
        <v>2975.1541685887391</v>
      </c>
      <c r="AJ33" s="32">
        <f t="shared" si="14"/>
        <v>2831.4612802208057</v>
      </c>
      <c r="AK33" s="32">
        <f t="shared" si="14"/>
        <v>2694.7084174775991</v>
      </c>
    </row>
    <row r="34" spans="2:37" x14ac:dyDescent="0.25">
      <c r="B34" s="19" t="s">
        <v>208</v>
      </c>
      <c r="C34" s="19"/>
      <c r="D34" s="32">
        <f>D33-D$21</f>
        <v>-1558.6668240000054</v>
      </c>
      <c r="E34" s="32">
        <f t="shared" ref="E34:U34" si="15">E33-E$21</f>
        <v>-1538.7795280000082</v>
      </c>
      <c r="F34" s="32">
        <f t="shared" si="15"/>
        <v>-1511.5619786666739</v>
      </c>
      <c r="G34" s="32">
        <f t="shared" si="15"/>
        <v>-2107.3000693333252</v>
      </c>
      <c r="H34" s="32">
        <f t="shared" si="15"/>
        <v>-1690.9416799999908</v>
      </c>
      <c r="I34" s="32">
        <f t="shared" si="15"/>
        <v>-1297.9601899307327</v>
      </c>
      <c r="J34" s="32">
        <f t="shared" si="15"/>
        <v>-721.05277606164782</v>
      </c>
      <c r="K34" s="32">
        <f t="shared" si="15"/>
        <v>-1415.2920715529617</v>
      </c>
      <c r="L34" s="32">
        <f t="shared" si="15"/>
        <v>-619.93456738793429</v>
      </c>
      <c r="M34" s="32">
        <f t="shared" si="15"/>
        <v>71.937990720574817</v>
      </c>
      <c r="N34" s="32">
        <f t="shared" si="15"/>
        <v>-735.51453379691884</v>
      </c>
      <c r="O34" s="32">
        <f t="shared" si="15"/>
        <v>-305.62135289885009</v>
      </c>
      <c r="P34" s="32">
        <f t="shared" si="15"/>
        <v>715.0536341240113</v>
      </c>
      <c r="Q34" s="32">
        <f t="shared" si="15"/>
        <v>1216.7826189515254</v>
      </c>
      <c r="R34" s="32">
        <f t="shared" si="15"/>
        <v>1728.2366239172079</v>
      </c>
      <c r="S34" s="32">
        <f t="shared" si="15"/>
        <v>1728.2366239172079</v>
      </c>
      <c r="T34" s="32">
        <f t="shared" si="15"/>
        <v>1728.2366239172079</v>
      </c>
      <c r="U34" s="32">
        <f t="shared" si="15"/>
        <v>1728.2366239172079</v>
      </c>
      <c r="V34" s="32">
        <f>V33-V$21</f>
        <v>1728.236623917207</v>
      </c>
      <c r="W34" s="32">
        <f t="shared" ref="W34:AH34" si="16">W33-W$21</f>
        <v>1728.236623917207</v>
      </c>
      <c r="X34" s="32">
        <f t="shared" si="16"/>
        <v>1728.236623917207</v>
      </c>
      <c r="Y34" s="32">
        <f t="shared" si="16"/>
        <v>1728.236623917207</v>
      </c>
      <c r="Z34" s="32">
        <f t="shared" si="16"/>
        <v>1728.236623917207</v>
      </c>
      <c r="AA34" s="32">
        <f t="shared" si="16"/>
        <v>1728.236623917207</v>
      </c>
      <c r="AB34" s="32">
        <f t="shared" si="16"/>
        <v>1728.236623917207</v>
      </c>
      <c r="AC34" s="32">
        <f t="shared" si="16"/>
        <v>1728.2366239172075</v>
      </c>
      <c r="AD34" s="32">
        <f t="shared" si="16"/>
        <v>1728.236623917207</v>
      </c>
      <c r="AE34" s="32">
        <f t="shared" si="16"/>
        <v>1728.236623917207</v>
      </c>
      <c r="AF34" s="32">
        <f t="shared" si="16"/>
        <v>1728.236623917207</v>
      </c>
      <c r="AG34" s="32">
        <f t="shared" si="16"/>
        <v>1728.236623917207</v>
      </c>
      <c r="AH34" s="32">
        <f t="shared" si="16"/>
        <v>1728.236623917207</v>
      </c>
      <c r="AI34" s="32">
        <f t="shared" ref="AI34:AK34" si="17">AI33-AI$21</f>
        <v>0</v>
      </c>
      <c r="AJ34" s="32">
        <f t="shared" si="17"/>
        <v>0</v>
      </c>
      <c r="AK34" s="32">
        <f t="shared" si="17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U48"/>
  <sheetViews>
    <sheetView workbookViewId="0">
      <selection activeCell="H14" sqref="H14"/>
    </sheetView>
  </sheetViews>
  <sheetFormatPr defaultRowHeight="15" x14ac:dyDescent="0.25"/>
  <cols>
    <col min="1" max="1" width="16.5703125" style="53" bestFit="1" customWidth="1"/>
    <col min="2" max="2" width="44.5703125" style="53" bestFit="1" customWidth="1"/>
    <col min="3" max="4" width="12" style="53" bestFit="1" customWidth="1"/>
    <col min="5" max="5" width="12.42578125" style="53" bestFit="1" customWidth="1"/>
    <col min="6" max="6" width="29" style="53" customWidth="1"/>
    <col min="7" max="16384" width="9.140625" style="53"/>
  </cols>
  <sheetData>
    <row r="1" spans="2:12" x14ac:dyDescent="0.25">
      <c r="B1" s="46" t="s">
        <v>97</v>
      </c>
    </row>
    <row r="3" spans="2:12" x14ac:dyDescent="0.25">
      <c r="B3" s="24" t="s">
        <v>96</v>
      </c>
      <c r="C3" s="40">
        <f>Calcs!D21</f>
        <v>12095.369682235045</v>
      </c>
      <c r="J3" s="59" t="s">
        <v>104</v>
      </c>
      <c r="K3" s="59"/>
      <c r="L3" s="59"/>
    </row>
    <row r="4" spans="2:12" x14ac:dyDescent="0.25">
      <c r="C4" s="38"/>
      <c r="J4" s="54">
        <v>2017</v>
      </c>
      <c r="K4" s="54">
        <v>2020</v>
      </c>
      <c r="L4" s="54">
        <v>2030</v>
      </c>
    </row>
    <row r="5" spans="2:12" x14ac:dyDescent="0.25">
      <c r="B5" s="25"/>
      <c r="C5" s="44" t="s">
        <v>98</v>
      </c>
      <c r="D5" s="45" t="s">
        <v>99</v>
      </c>
      <c r="I5" s="54" t="s">
        <v>98</v>
      </c>
      <c r="J5" s="55">
        <f>C47-$C$46</f>
        <v>-12.356677385938355</v>
      </c>
      <c r="K5" s="55">
        <f>F47-$F$46</f>
        <v>-9.4231301889880967</v>
      </c>
      <c r="L5" s="55">
        <f>P47-$P$46</f>
        <v>17.767267192060785</v>
      </c>
    </row>
    <row r="6" spans="2:12" x14ac:dyDescent="0.25">
      <c r="B6" s="24" t="s">
        <v>87</v>
      </c>
      <c r="C6" s="41">
        <v>9905</v>
      </c>
      <c r="D6" s="41">
        <v>9904.5614088016573</v>
      </c>
      <c r="E6" s="50" t="s">
        <v>111</v>
      </c>
      <c r="I6" s="54" t="s">
        <v>105</v>
      </c>
      <c r="J6" s="55">
        <f>C48-$C$46</f>
        <v>-12.356677385938355</v>
      </c>
      <c r="K6" s="55">
        <f>F48-$F$46</f>
        <v>-9.4231301889880967</v>
      </c>
      <c r="L6" s="55">
        <f>P48-$P$46</f>
        <v>17.767267192060785</v>
      </c>
    </row>
    <row r="7" spans="2:12" x14ac:dyDescent="0.25">
      <c r="B7" s="24" t="s">
        <v>88</v>
      </c>
      <c r="C7" s="42">
        <f>C6/C3-1</f>
        <v>-0.18109158626644783</v>
      </c>
      <c r="D7" s="42">
        <f>D6/C3-1</f>
        <v>-0.18112784734898313</v>
      </c>
    </row>
    <row r="8" spans="2:12" x14ac:dyDescent="0.25">
      <c r="B8" s="24" t="s">
        <v>89</v>
      </c>
      <c r="C8" s="158">
        <v>0</v>
      </c>
      <c r="D8" s="158"/>
    </row>
    <row r="9" spans="2:12" x14ac:dyDescent="0.25">
      <c r="B9" s="24" t="s">
        <v>90</v>
      </c>
      <c r="C9" s="43">
        <v>0.03</v>
      </c>
      <c r="D9" s="43">
        <v>0.08</v>
      </c>
    </row>
    <row r="10" spans="2:12" x14ac:dyDescent="0.25">
      <c r="B10" s="24" t="s">
        <v>106</v>
      </c>
      <c r="C10" s="60">
        <v>10000</v>
      </c>
      <c r="D10" s="60">
        <v>10000</v>
      </c>
      <c r="E10" s="50" t="s">
        <v>111</v>
      </c>
    </row>
    <row r="11" spans="2:12" x14ac:dyDescent="0.25">
      <c r="B11" s="24" t="s">
        <v>107</v>
      </c>
      <c r="C11" s="48">
        <v>2020</v>
      </c>
      <c r="D11" s="43">
        <v>2020</v>
      </c>
    </row>
    <row r="12" spans="2:12" x14ac:dyDescent="0.25">
      <c r="B12" s="24" t="s">
        <v>108</v>
      </c>
      <c r="C12" s="43">
        <v>2030</v>
      </c>
      <c r="D12" s="43">
        <v>2030</v>
      </c>
    </row>
    <row r="13" spans="2:12" x14ac:dyDescent="0.25">
      <c r="B13" s="24" t="s">
        <v>110</v>
      </c>
      <c r="C13" s="52">
        <v>0</v>
      </c>
      <c r="D13" s="51">
        <v>0</v>
      </c>
      <c r="E13" s="50" t="s">
        <v>111</v>
      </c>
    </row>
    <row r="14" spans="2:12" x14ac:dyDescent="0.25">
      <c r="B14" s="24" t="s">
        <v>109</v>
      </c>
      <c r="C14" s="40" t="e">
        <f ca="1">OFFSET(Calcs!#REF!, 0, 'Indicative graph'!C12-Calcs!D15)</f>
        <v>#REF!</v>
      </c>
      <c r="D14" s="40">
        <f ca="1">OFFSET(Calcs!D28, 0, 'Indicative graph'!D12-Calcs!D15)</f>
        <v>19316.539734776055</v>
      </c>
    </row>
    <row r="15" spans="2:12" x14ac:dyDescent="0.25">
      <c r="B15" s="24" t="s">
        <v>120</v>
      </c>
      <c r="C15" s="159">
        <v>0</v>
      </c>
      <c r="D15" s="160"/>
    </row>
    <row r="35" spans="1:21" x14ac:dyDescent="0.25">
      <c r="B35" s="54" t="s">
        <v>94</v>
      </c>
    </row>
    <row r="36" spans="1:21" x14ac:dyDescent="0.25">
      <c r="A36" s="53" t="s">
        <v>91</v>
      </c>
      <c r="C36" s="54">
        <v>2017</v>
      </c>
      <c r="D36" s="54">
        <v>2018</v>
      </c>
      <c r="E36" s="54">
        <v>2019</v>
      </c>
      <c r="F36" s="54">
        <v>2020</v>
      </c>
      <c r="G36" s="54">
        <v>2021</v>
      </c>
      <c r="H36" s="54">
        <v>2022</v>
      </c>
      <c r="I36" s="54">
        <v>2023</v>
      </c>
      <c r="J36" s="54">
        <v>2024</v>
      </c>
      <c r="K36" s="54">
        <v>2025</v>
      </c>
      <c r="L36" s="54">
        <v>2026</v>
      </c>
      <c r="M36" s="54">
        <v>2027</v>
      </c>
      <c r="N36" s="54">
        <v>2028</v>
      </c>
      <c r="O36" s="54">
        <v>2029</v>
      </c>
      <c r="P36" s="54">
        <v>2030</v>
      </c>
      <c r="Q36" s="54">
        <v>2031</v>
      </c>
      <c r="R36" s="54">
        <v>2032</v>
      </c>
      <c r="S36" s="54">
        <v>2033</v>
      </c>
      <c r="T36" s="54">
        <v>2034</v>
      </c>
      <c r="U36" s="54">
        <v>2035</v>
      </c>
    </row>
    <row r="37" spans="1:21" x14ac:dyDescent="0.25">
      <c r="B37" s="53" t="s">
        <v>127</v>
      </c>
      <c r="C37" s="32">
        <v>12095.369682235045</v>
      </c>
      <c r="D37" s="32">
        <v>11834.680968387356</v>
      </c>
      <c r="E37" s="32">
        <v>11552.105152780023</v>
      </c>
      <c r="F37" s="32">
        <v>12168.427804857231</v>
      </c>
      <c r="G37" s="32">
        <v>10843.555476184305</v>
      </c>
      <c r="H37" s="32">
        <v>10633.626262038733</v>
      </c>
      <c r="I37" s="32">
        <v>10212.197060782577</v>
      </c>
      <c r="J37" s="32">
        <v>11081.446635690807</v>
      </c>
      <c r="K37" s="32">
        <v>10489.324810679589</v>
      </c>
      <c r="L37" s="32">
        <v>10020.47916266488</v>
      </c>
      <c r="M37" s="32">
        <v>10975.225563013388</v>
      </c>
      <c r="N37" s="32">
        <v>10763.938832201098</v>
      </c>
      <c r="O37" s="32">
        <v>9918.7716611825563</v>
      </c>
      <c r="P37" s="32">
        <v>9650.054503703117</v>
      </c>
      <c r="Q37" s="32">
        <v>8586.9634337325642</v>
      </c>
      <c r="R37" s="32">
        <v>8757.5658377633827</v>
      </c>
      <c r="S37" s="32">
        <v>8146.9598419964004</v>
      </c>
      <c r="T37" s="32">
        <v>7669.8510360503606</v>
      </c>
      <c r="U37" s="32">
        <v>5552.6253971661972</v>
      </c>
    </row>
    <row r="38" spans="1:21" x14ac:dyDescent="0.25">
      <c r="B38" s="53" t="s">
        <v>128</v>
      </c>
      <c r="C38" s="32">
        <v>9900</v>
      </c>
      <c r="D38" s="32">
        <v>10098</v>
      </c>
      <c r="E38" s="32">
        <v>10299.959999999999</v>
      </c>
      <c r="F38" s="32">
        <v>10505.959199999999</v>
      </c>
      <c r="G38" s="32">
        <v>10716.078384</v>
      </c>
      <c r="H38" s="32">
        <v>10930.399951680001</v>
      </c>
      <c r="I38" s="32">
        <v>11149.007950713598</v>
      </c>
      <c r="J38" s="32">
        <v>11371.988109727872</v>
      </c>
      <c r="K38" s="32">
        <v>11599.427871922429</v>
      </c>
      <c r="L38" s="32">
        <v>11831.416429360877</v>
      </c>
      <c r="M38" s="32">
        <v>12068.044757948093</v>
      </c>
      <c r="N38" s="32">
        <v>12309.405653107056</v>
      </c>
      <c r="O38" s="32">
        <v>12555.593766169197</v>
      </c>
      <c r="P38" s="32">
        <v>12806.705641492583</v>
      </c>
      <c r="Q38" s="32">
        <v>13062.839754322431</v>
      </c>
      <c r="R38" s="32">
        <v>8757.5658377633827</v>
      </c>
      <c r="S38" s="32">
        <v>8146.9598419964004</v>
      </c>
      <c r="T38" s="32">
        <v>7669.8510360503606</v>
      </c>
      <c r="U38" s="32">
        <v>5552.6253971661972</v>
      </c>
    </row>
    <row r="39" spans="1:21" x14ac:dyDescent="0.25">
      <c r="B39" s="53" t="s">
        <v>100</v>
      </c>
      <c r="C39" s="32">
        <v>9900</v>
      </c>
      <c r="D39" s="32">
        <v>10098</v>
      </c>
      <c r="E39" s="32">
        <v>10299.959999999999</v>
      </c>
      <c r="F39" s="32">
        <v>10505.959199999999</v>
      </c>
      <c r="G39" s="32">
        <v>10716.078384</v>
      </c>
      <c r="H39" s="32">
        <v>10930.399951680001</v>
      </c>
      <c r="I39" s="32">
        <v>11149.007950713598</v>
      </c>
      <c r="J39" s="32">
        <v>11371.988109727872</v>
      </c>
      <c r="K39" s="32">
        <v>11599.427871922429</v>
      </c>
      <c r="L39" s="32">
        <v>11831.416429360877</v>
      </c>
      <c r="M39" s="32">
        <v>12068.044757948093</v>
      </c>
      <c r="N39" s="32">
        <v>12309.405653107056</v>
      </c>
      <c r="O39" s="32">
        <v>12555.593766169197</v>
      </c>
      <c r="P39" s="32">
        <v>12806.705641492583</v>
      </c>
      <c r="Q39" s="32">
        <v>13062.839754322431</v>
      </c>
      <c r="R39" s="32">
        <v>8757.5658377633827</v>
      </c>
      <c r="S39" s="32">
        <v>8146.9598419964004</v>
      </c>
      <c r="T39" s="32">
        <v>7669.8510360503606</v>
      </c>
      <c r="U39" s="32">
        <v>5552.6253971661972</v>
      </c>
    </row>
    <row r="40" spans="1:21" x14ac:dyDescent="0.25">
      <c r="B40" s="53" t="s">
        <v>126</v>
      </c>
      <c r="C40" s="32">
        <v>2195.3696822350448</v>
      </c>
      <c r="D40" s="32">
        <v>4107.6802252012048</v>
      </c>
      <c r="E40" s="32">
        <v>5688.4397959973248</v>
      </c>
      <c r="F40" s="32">
        <v>7805.9835845343423</v>
      </c>
      <c r="G40" s="32">
        <v>8557.939363481395</v>
      </c>
      <c r="H40" s="32">
        <v>8945.8008229186398</v>
      </c>
      <c r="I40" s="32">
        <v>8724.6539988211116</v>
      </c>
      <c r="J40" s="32">
        <v>9132.0848446897362</v>
      </c>
      <c r="K40" s="32">
        <v>8752.5485710220746</v>
      </c>
      <c r="L40" s="32">
        <v>7641.8151900078446</v>
      </c>
      <c r="M40" s="32">
        <v>7160.3412102737675</v>
      </c>
      <c r="N40" s="32">
        <v>6187.7016861897109</v>
      </c>
      <c r="O40" s="32">
        <v>4045.8957160982472</v>
      </c>
      <c r="P40" s="32">
        <v>1212.9162355966419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</row>
    <row r="41" spans="1:21" x14ac:dyDescent="0.25">
      <c r="B41" s="53" t="s">
        <v>101</v>
      </c>
      <c r="C41" s="32">
        <v>2195.3696822350448</v>
      </c>
      <c r="D41" s="32">
        <v>4107.6802252012048</v>
      </c>
      <c r="E41" s="32">
        <v>5688.4397959973248</v>
      </c>
      <c r="F41" s="32">
        <v>7805.9835845343423</v>
      </c>
      <c r="G41" s="32">
        <v>8557.939363481395</v>
      </c>
      <c r="H41" s="32">
        <v>8945.8008229186398</v>
      </c>
      <c r="I41" s="32">
        <v>8724.6539988211116</v>
      </c>
      <c r="J41" s="32">
        <v>9132.0848446897362</v>
      </c>
      <c r="K41" s="32">
        <v>8752.5485710220746</v>
      </c>
      <c r="L41" s="32">
        <v>7641.8151900078446</v>
      </c>
      <c r="M41" s="32">
        <v>7160.3412102737675</v>
      </c>
      <c r="N41" s="32">
        <v>6187.7016861897109</v>
      </c>
      <c r="O41" s="32">
        <v>4045.8957160982472</v>
      </c>
      <c r="P41" s="32">
        <v>1212.9162355966419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</row>
    <row r="43" spans="1:21" x14ac:dyDescent="0.25">
      <c r="B43" s="54" t="s">
        <v>95</v>
      </c>
    </row>
    <row r="44" spans="1:21" x14ac:dyDescent="0.25">
      <c r="A44" s="53" t="s">
        <v>92</v>
      </c>
    </row>
    <row r="45" spans="1:21" x14ac:dyDescent="0.25">
      <c r="C45" s="54">
        <v>2017</v>
      </c>
      <c r="D45" s="54">
        <v>2018</v>
      </c>
      <c r="E45" s="54">
        <v>2019</v>
      </c>
      <c r="F45" s="54">
        <v>2020</v>
      </c>
      <c r="G45" s="54">
        <v>2021</v>
      </c>
      <c r="H45" s="54">
        <v>2022</v>
      </c>
      <c r="I45" s="54">
        <v>2023</v>
      </c>
      <c r="J45" s="54">
        <v>2024</v>
      </c>
      <c r="K45" s="54">
        <v>2025</v>
      </c>
      <c r="L45" s="54">
        <v>2026</v>
      </c>
      <c r="M45" s="54">
        <v>2027</v>
      </c>
      <c r="N45" s="54">
        <v>2028</v>
      </c>
      <c r="O45" s="54">
        <v>2029</v>
      </c>
      <c r="P45" s="54">
        <v>2030</v>
      </c>
      <c r="Q45" s="54">
        <v>2031</v>
      </c>
      <c r="R45" s="54">
        <v>2032</v>
      </c>
      <c r="S45" s="54">
        <v>2033</v>
      </c>
      <c r="T45" s="54">
        <v>2034</v>
      </c>
      <c r="U45" s="54">
        <v>2035</v>
      </c>
    </row>
    <row r="46" spans="1:21" x14ac:dyDescent="0.25">
      <c r="B46" s="53" t="s">
        <v>93</v>
      </c>
      <c r="C46" s="37">
        <v>160.21813261808913</v>
      </c>
      <c r="D46" s="37">
        <v>162.76950298964928</v>
      </c>
      <c r="E46" s="37">
        <v>165.41420006702134</v>
      </c>
      <c r="F46" s="37">
        <v>175.93913634995977</v>
      </c>
      <c r="G46" s="37">
        <v>173.59521544491813</v>
      </c>
      <c r="H46" s="37">
        <v>176.91285983413323</v>
      </c>
      <c r="I46" s="37">
        <v>181.62400566574021</v>
      </c>
      <c r="J46" s="37">
        <v>184.27346390503419</v>
      </c>
      <c r="K46" s="37">
        <v>193.40059926022687</v>
      </c>
      <c r="L46" s="37">
        <v>188.34673981076375</v>
      </c>
      <c r="M46" s="37">
        <v>198.30087601824903</v>
      </c>
      <c r="N46" s="37">
        <v>198.7304092484664</v>
      </c>
      <c r="O46" s="37">
        <v>197.50537476437415</v>
      </c>
      <c r="P46" s="37">
        <v>199.74140225073614</v>
      </c>
      <c r="Q46" s="37">
        <v>202.23608967519249</v>
      </c>
      <c r="R46" s="37">
        <v>204.56887182590933</v>
      </c>
      <c r="S46" s="37">
        <v>206.53005862045072</v>
      </c>
      <c r="T46" s="37">
        <v>207.93290009161953</v>
      </c>
      <c r="U46" s="37">
        <v>204.40973222330072</v>
      </c>
    </row>
    <row r="47" spans="1:21" x14ac:dyDescent="0.25">
      <c r="B47" s="53" t="s">
        <v>102</v>
      </c>
      <c r="C47" s="37">
        <v>147.86145523215077</v>
      </c>
      <c r="D47" s="37">
        <v>152.99456320510507</v>
      </c>
      <c r="E47" s="37">
        <v>158.31684691660212</v>
      </c>
      <c r="F47" s="37">
        <v>166.51600616097167</v>
      </c>
      <c r="G47" s="37">
        <v>172.87265549265393</v>
      </c>
      <c r="H47" s="37">
        <v>178.59501918799134</v>
      </c>
      <c r="I47" s="37">
        <v>186.93399525140214</v>
      </c>
      <c r="J47" s="37">
        <v>185.92029809315221</v>
      </c>
      <c r="K47" s="37">
        <v>199.69283578049718</v>
      </c>
      <c r="L47" s="37">
        <v>198.68421253191372</v>
      </c>
      <c r="M47" s="37">
        <v>204.49514490056529</v>
      </c>
      <c r="N47" s="37">
        <v>207.49035515878873</v>
      </c>
      <c r="O47" s="37">
        <v>212.45129188298617</v>
      </c>
      <c r="P47" s="37">
        <v>217.50866944279693</v>
      </c>
      <c r="Q47" s="37">
        <v>227.42863932203977</v>
      </c>
      <c r="R47" s="37">
        <v>204.56887182590933</v>
      </c>
      <c r="S47" s="37">
        <v>206.53005862045072</v>
      </c>
      <c r="T47" s="37">
        <v>207.93290009161953</v>
      </c>
      <c r="U47" s="37">
        <v>204.40973222330072</v>
      </c>
    </row>
    <row r="48" spans="1:21" x14ac:dyDescent="0.25">
      <c r="B48" s="53" t="s">
        <v>103</v>
      </c>
      <c r="C48" s="37">
        <v>147.86145523215077</v>
      </c>
      <c r="D48" s="37">
        <v>152.99456320510507</v>
      </c>
      <c r="E48" s="37">
        <v>158.31684691660212</v>
      </c>
      <c r="F48" s="37">
        <v>166.51600616097167</v>
      </c>
      <c r="G48" s="37">
        <v>172.87265549265393</v>
      </c>
      <c r="H48" s="37">
        <v>178.59501918799134</v>
      </c>
      <c r="I48" s="37">
        <v>186.93399525140214</v>
      </c>
      <c r="J48" s="37">
        <v>185.92029809315221</v>
      </c>
      <c r="K48" s="37">
        <v>199.69283578049718</v>
      </c>
      <c r="L48" s="37">
        <v>198.68421253191372</v>
      </c>
      <c r="M48" s="37">
        <v>204.49514490056529</v>
      </c>
      <c r="N48" s="37">
        <v>207.49035515878873</v>
      </c>
      <c r="O48" s="37">
        <v>212.45129188298617</v>
      </c>
      <c r="P48" s="37">
        <v>217.50866944279693</v>
      </c>
      <c r="Q48" s="37">
        <v>227.42863932203977</v>
      </c>
      <c r="R48" s="37">
        <v>204.56887182590933</v>
      </c>
      <c r="S48" s="37">
        <v>206.53005862045072</v>
      </c>
      <c r="T48" s="37">
        <v>207.93290009161953</v>
      </c>
      <c r="U48" s="37">
        <v>204.40973222330072</v>
      </c>
    </row>
  </sheetData>
  <mergeCells count="2">
    <mergeCell ref="C8:D8"/>
    <mergeCell ref="C15:D15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PayDebtAllScenarios">
                <anchor moveWithCells="1" sizeWithCells="1">
                  <from>
                    <xdr:col>5</xdr:col>
                    <xdr:colOff>66675</xdr:colOff>
                    <xdr:row>11</xdr:row>
                    <xdr:rowOff>95250</xdr:rowOff>
                  </from>
                  <to>
                    <xdr:col>5</xdr:col>
                    <xdr:colOff>1885950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Button 3">
              <controlPr defaultSize="0" print="0" autoFill="0" autoPict="0" macro="[0]!PayDebtMaxIncrease">
                <anchor moveWithCells="1" sizeWithCells="1">
                  <from>
                    <xdr:col>5</xdr:col>
                    <xdr:colOff>66675</xdr:colOff>
                    <xdr:row>8</xdr:row>
                    <xdr:rowOff>85725</xdr:rowOff>
                  </from>
                  <to>
                    <xdr:col>5</xdr:col>
                    <xdr:colOff>1847850</xdr:colOff>
                    <xdr:row>10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J22"/>
  <sheetViews>
    <sheetView zoomScale="70" zoomScaleNormal="70" workbookViewId="0">
      <selection activeCell="H12" sqref="H12"/>
    </sheetView>
  </sheetViews>
  <sheetFormatPr defaultRowHeight="15" x14ac:dyDescent="0.25"/>
  <cols>
    <col min="2" max="2" width="55" bestFit="1" customWidth="1"/>
    <col min="3" max="3" width="21.140625" bestFit="1" customWidth="1"/>
    <col min="4" max="10" width="12.5703125" bestFit="1" customWidth="1"/>
    <col min="11" max="19" width="12" bestFit="1" customWidth="1"/>
    <col min="20" max="20" width="20.85546875" bestFit="1" customWidth="1"/>
    <col min="21" max="21" width="12" bestFit="1" customWidth="1"/>
    <col min="22" max="22" width="11.42578125" bestFit="1" customWidth="1"/>
    <col min="23" max="24" width="14.85546875" bestFit="1" customWidth="1"/>
    <col min="25" max="25" width="12.42578125" bestFit="1" customWidth="1"/>
    <col min="26" max="29" width="14.85546875" bestFit="1" customWidth="1"/>
    <col min="30" max="30" width="13.5703125" bestFit="1" customWidth="1"/>
    <col min="31" max="31" width="14.85546875" bestFit="1" customWidth="1"/>
    <col min="32" max="32" width="13.5703125" bestFit="1" customWidth="1"/>
    <col min="33" max="33" width="14.85546875" bestFit="1" customWidth="1"/>
  </cols>
  <sheetData>
    <row r="1" spans="2:36" x14ac:dyDescent="0.25">
      <c r="D1" t="s">
        <v>224</v>
      </c>
      <c r="E1" t="s">
        <v>227</v>
      </c>
      <c r="F1" t="s">
        <v>229</v>
      </c>
    </row>
    <row r="2" spans="2:36" x14ac:dyDescent="0.25">
      <c r="B2" s="19" t="s">
        <v>226</v>
      </c>
      <c r="C2" s="19">
        <f ca="1">OFFSET($C2, 0, MATCH(Summary!$C$18, 'Residential Bill'!$D$1:$F$1, 0))</f>
        <v>0.43459999999999999</v>
      </c>
      <c r="D2" s="19">
        <v>0.82</v>
      </c>
      <c r="E2" s="19">
        <v>0.82</v>
      </c>
      <c r="F2" s="148">
        <f>E2*C5</f>
        <v>0.43459999999999999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2:36" x14ac:dyDescent="0.25">
      <c r="B3" s="19" t="s">
        <v>228</v>
      </c>
      <c r="C3" s="105">
        <f ca="1">OFFSET($C3, 0, MATCH(Summary!$C$18, 'Residential Bill'!$D$1:$F$1, 0))</f>
        <v>1</v>
      </c>
      <c r="D3" s="19">
        <v>0.88</v>
      </c>
      <c r="E3" s="19">
        <v>1</v>
      </c>
      <c r="F3" s="19">
        <v>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2:36" x14ac:dyDescent="0.25">
      <c r="B4" s="19" t="s">
        <v>81</v>
      </c>
      <c r="C4" s="19">
        <v>0.75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2:36" s="53" customFormat="1" x14ac:dyDescent="0.25">
      <c r="B5" s="53" t="s">
        <v>230</v>
      </c>
      <c r="C5" s="148">
        <v>0.53</v>
      </c>
      <c r="T5" s="53" t="s">
        <v>130</v>
      </c>
      <c r="U5" s="53">
        <f>AVERAGE(L9:U9)</f>
        <v>4.1624831880135993E-3</v>
      </c>
    </row>
    <row r="6" spans="2:36" ht="15.75" thickBot="1" x14ac:dyDescent="0.3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2:36" ht="15.75" thickBot="1" x14ac:dyDescent="0.3">
      <c r="B7" s="1"/>
      <c r="C7" s="2">
        <v>2017</v>
      </c>
      <c r="D7" s="2">
        <v>2018</v>
      </c>
      <c r="E7" s="2">
        <v>2019</v>
      </c>
      <c r="F7" s="2">
        <v>2020</v>
      </c>
      <c r="G7" s="2">
        <v>2021</v>
      </c>
      <c r="H7" s="2">
        <v>2022</v>
      </c>
      <c r="I7" s="2">
        <v>2023</v>
      </c>
      <c r="J7" s="2">
        <v>2024</v>
      </c>
      <c r="K7" s="2">
        <v>2025</v>
      </c>
      <c r="L7" s="2">
        <v>2026</v>
      </c>
      <c r="M7" s="2">
        <v>2027</v>
      </c>
      <c r="N7" s="2">
        <v>2028</v>
      </c>
      <c r="O7" s="2">
        <v>2029</v>
      </c>
      <c r="P7" s="2">
        <v>2030</v>
      </c>
      <c r="Q7" s="2">
        <v>2031</v>
      </c>
      <c r="R7" s="2">
        <v>2032</v>
      </c>
      <c r="S7" s="2">
        <v>2033</v>
      </c>
      <c r="T7" s="2">
        <v>2034</v>
      </c>
      <c r="U7" s="2">
        <v>2035</v>
      </c>
      <c r="V7" s="2">
        <v>2036</v>
      </c>
      <c r="W7" s="2">
        <v>2037</v>
      </c>
      <c r="X7" s="2">
        <v>2038</v>
      </c>
      <c r="Y7" s="2">
        <v>2039</v>
      </c>
      <c r="Z7" s="2">
        <v>2040</v>
      </c>
      <c r="AA7" s="2">
        <v>2041</v>
      </c>
      <c r="AB7" s="2">
        <v>2042</v>
      </c>
      <c r="AC7" s="2">
        <v>2043</v>
      </c>
      <c r="AD7" s="2">
        <v>2044</v>
      </c>
      <c r="AE7" s="2">
        <v>2045</v>
      </c>
      <c r="AF7" s="2">
        <v>2046</v>
      </c>
      <c r="AG7" s="2">
        <v>2047</v>
      </c>
      <c r="AH7" s="2">
        <v>2048</v>
      </c>
      <c r="AI7" s="2">
        <v>2049</v>
      </c>
      <c r="AJ7" s="2">
        <v>2050</v>
      </c>
    </row>
    <row r="8" spans="2:36" ht="16.5" thickBot="1" x14ac:dyDescent="0.3">
      <c r="B8" s="26" t="s">
        <v>136</v>
      </c>
      <c r="C8" s="27">
        <v>143</v>
      </c>
      <c r="D8" s="27">
        <v>143</v>
      </c>
      <c r="E8" s="27">
        <v>142</v>
      </c>
      <c r="F8" s="27">
        <v>142</v>
      </c>
      <c r="G8" s="27">
        <v>142</v>
      </c>
      <c r="H8" s="27">
        <v>142</v>
      </c>
      <c r="I8" s="27">
        <v>142</v>
      </c>
      <c r="J8" s="27">
        <v>142</v>
      </c>
      <c r="K8" s="27">
        <v>142</v>
      </c>
      <c r="L8" s="27">
        <v>141</v>
      </c>
      <c r="M8" s="27">
        <v>142</v>
      </c>
      <c r="N8" s="27">
        <v>142</v>
      </c>
      <c r="O8" s="27">
        <v>142</v>
      </c>
      <c r="P8" s="27">
        <v>143</v>
      </c>
      <c r="Q8" s="27">
        <v>143</v>
      </c>
      <c r="R8" s="27">
        <v>144</v>
      </c>
      <c r="S8" s="27">
        <v>145</v>
      </c>
      <c r="T8" s="27">
        <v>146</v>
      </c>
      <c r="U8" s="27">
        <v>148</v>
      </c>
      <c r="V8" s="65">
        <f t="shared" ref="V8:AJ8" si="0">U8*(1+$U$5)</f>
        <v>148.61604751182603</v>
      </c>
      <c r="W8" s="65">
        <f t="shared" si="0"/>
        <v>149.23465931106304</v>
      </c>
      <c r="X8" s="65">
        <f t="shared" si="0"/>
        <v>149.85584607151426</v>
      </c>
      <c r="Y8" s="65">
        <f t="shared" si="0"/>
        <v>150.4796185114125</v>
      </c>
      <c r="Z8" s="65">
        <f t="shared" si="0"/>
        <v>151.10598739360495</v>
      </c>
      <c r="AA8" s="65">
        <f t="shared" si="0"/>
        <v>151.73496352573903</v>
      </c>
      <c r="AB8" s="65">
        <f t="shared" si="0"/>
        <v>152.36655776044879</v>
      </c>
      <c r="AC8" s="65">
        <f t="shared" si="0"/>
        <v>153.00078099554216</v>
      </c>
      <c r="AD8" s="65">
        <f t="shared" si="0"/>
        <v>153.63764417418906</v>
      </c>
      <c r="AE8" s="65">
        <f t="shared" si="0"/>
        <v>154.27715828511015</v>
      </c>
      <c r="AF8" s="65">
        <f t="shared" si="0"/>
        <v>154.91933436276642</v>
      </c>
      <c r="AG8" s="65">
        <f t="shared" si="0"/>
        <v>155.56418348754968</v>
      </c>
      <c r="AH8" s="65">
        <f t="shared" si="0"/>
        <v>156.21171678597366</v>
      </c>
      <c r="AI8" s="65">
        <f t="shared" si="0"/>
        <v>156.86194543086603</v>
      </c>
      <c r="AJ8" s="65">
        <f t="shared" si="0"/>
        <v>157.51488064156112</v>
      </c>
    </row>
    <row r="9" spans="2:36" s="53" customFormat="1" ht="15.75" x14ac:dyDescent="0.25">
      <c r="B9" s="63"/>
      <c r="C9" s="64"/>
      <c r="D9" s="64">
        <f>D8/C8-1</f>
        <v>0</v>
      </c>
      <c r="E9" s="64">
        <f t="shared" ref="E9:U9" si="1">E8/D8-1</f>
        <v>-6.9930069930069783E-3</v>
      </c>
      <c r="F9" s="64">
        <f t="shared" si="1"/>
        <v>0</v>
      </c>
      <c r="G9" s="64">
        <f t="shared" si="1"/>
        <v>0</v>
      </c>
      <c r="H9" s="64">
        <f t="shared" si="1"/>
        <v>0</v>
      </c>
      <c r="I9" s="64">
        <f t="shared" si="1"/>
        <v>0</v>
      </c>
      <c r="J9" s="64">
        <f t="shared" si="1"/>
        <v>0</v>
      </c>
      <c r="K9" s="64">
        <f t="shared" si="1"/>
        <v>0</v>
      </c>
      <c r="L9" s="64">
        <f t="shared" si="1"/>
        <v>-7.0422535211267512E-3</v>
      </c>
      <c r="M9" s="64">
        <f t="shared" si="1"/>
        <v>7.0921985815601829E-3</v>
      </c>
      <c r="N9" s="64">
        <f t="shared" si="1"/>
        <v>0</v>
      </c>
      <c r="O9" s="64">
        <f t="shared" si="1"/>
        <v>0</v>
      </c>
      <c r="P9" s="64">
        <f t="shared" si="1"/>
        <v>7.0422535211267512E-3</v>
      </c>
      <c r="Q9" s="64">
        <f t="shared" si="1"/>
        <v>0</v>
      </c>
      <c r="R9" s="64">
        <f t="shared" si="1"/>
        <v>6.9930069930070893E-3</v>
      </c>
      <c r="S9" s="64">
        <f t="shared" si="1"/>
        <v>6.9444444444444198E-3</v>
      </c>
      <c r="T9" s="64">
        <f t="shared" si="1"/>
        <v>6.8965517241379448E-3</v>
      </c>
      <c r="U9" s="64">
        <f t="shared" si="1"/>
        <v>1.3698630136986356E-2</v>
      </c>
    </row>
    <row r="10" spans="2:36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 t="s">
        <v>82</v>
      </c>
      <c r="U10" s="21">
        <f>U19/P19-0.01</f>
        <v>1.0137120416140202</v>
      </c>
      <c r="AH10" s="53"/>
      <c r="AI10" s="53"/>
      <c r="AJ10" s="53"/>
    </row>
    <row r="11" spans="2:36" x14ac:dyDescent="0.25">
      <c r="B11" s="24"/>
      <c r="C11" s="25">
        <v>2017</v>
      </c>
      <c r="D11" s="25">
        <v>2018</v>
      </c>
      <c r="E11" s="25">
        <v>2019</v>
      </c>
      <c r="F11" s="25">
        <v>2020</v>
      </c>
      <c r="G11" s="25">
        <v>2021</v>
      </c>
      <c r="H11" s="25">
        <v>2022</v>
      </c>
      <c r="I11" s="25">
        <v>2023</v>
      </c>
      <c r="J11" s="25">
        <v>2024</v>
      </c>
      <c r="K11" s="25">
        <v>2025</v>
      </c>
      <c r="L11" s="25">
        <v>2026</v>
      </c>
      <c r="M11" s="25">
        <v>2027</v>
      </c>
      <c r="N11" s="25">
        <v>2028</v>
      </c>
      <c r="O11" s="25">
        <v>2029</v>
      </c>
      <c r="P11" s="25">
        <v>2030</v>
      </c>
      <c r="Q11" s="25">
        <v>2031</v>
      </c>
      <c r="R11" s="25">
        <v>2032</v>
      </c>
      <c r="S11" s="25">
        <v>2033</v>
      </c>
      <c r="T11" s="25">
        <v>2034</v>
      </c>
      <c r="U11" s="25">
        <v>2035</v>
      </c>
      <c r="V11" s="25">
        <v>2036</v>
      </c>
      <c r="W11" s="25">
        <v>2037</v>
      </c>
      <c r="X11" s="25">
        <v>2038</v>
      </c>
      <c r="Y11" s="25">
        <v>2039</v>
      </c>
      <c r="Z11" s="25">
        <v>2040</v>
      </c>
      <c r="AA11" s="25">
        <v>2041</v>
      </c>
      <c r="AB11" s="25">
        <v>2042</v>
      </c>
      <c r="AC11" s="25">
        <v>2043</v>
      </c>
      <c r="AD11" s="25">
        <v>2044</v>
      </c>
      <c r="AE11" s="25">
        <v>2045</v>
      </c>
      <c r="AF11" s="25">
        <v>2046</v>
      </c>
      <c r="AG11" s="25">
        <v>2047</v>
      </c>
      <c r="AH11" s="25">
        <v>2048</v>
      </c>
      <c r="AI11" s="25">
        <v>2049</v>
      </c>
      <c r="AJ11" s="25">
        <v>2050</v>
      </c>
    </row>
    <row r="12" spans="2:36" x14ac:dyDescent="0.25">
      <c r="B12" s="25" t="s">
        <v>83</v>
      </c>
      <c r="C12" s="28">
        <f>Calcs!D34</f>
        <v>-1558.6668240000054</v>
      </c>
      <c r="D12" s="28">
        <f>Calcs!E34</f>
        <v>-1538.7795280000082</v>
      </c>
      <c r="E12" s="28">
        <f>Calcs!F34</f>
        <v>-1511.5619786666739</v>
      </c>
      <c r="F12" s="28">
        <f>Calcs!G34</f>
        <v>-2107.3000693333252</v>
      </c>
      <c r="G12" s="28">
        <f>Calcs!H34</f>
        <v>-1690.9416799999908</v>
      </c>
      <c r="H12" s="28">
        <f>Calcs!I34</f>
        <v>-1297.9601899307327</v>
      </c>
      <c r="I12" s="28">
        <f>Calcs!J34</f>
        <v>-721.05277606164782</v>
      </c>
      <c r="J12" s="28">
        <f>Calcs!K34</f>
        <v>-1415.2920715529617</v>
      </c>
      <c r="K12" s="28">
        <f>Calcs!L34</f>
        <v>-619.93456738793429</v>
      </c>
      <c r="L12" s="28">
        <f>Calcs!M34</f>
        <v>71.937990720574817</v>
      </c>
      <c r="M12" s="28">
        <f>Calcs!N34</f>
        <v>-735.51453379691884</v>
      </c>
      <c r="N12" s="28">
        <f>Calcs!O34</f>
        <v>-305.62135289885009</v>
      </c>
      <c r="O12" s="28">
        <f>Calcs!P34</f>
        <v>715.0536341240113</v>
      </c>
      <c r="P12" s="28">
        <f>Calcs!Q34</f>
        <v>1216.7826189515254</v>
      </c>
      <c r="Q12" s="28">
        <f>Calcs!R34</f>
        <v>1728.2366239172079</v>
      </c>
      <c r="R12" s="28">
        <f>Calcs!S34</f>
        <v>1728.2366239172079</v>
      </c>
      <c r="S12" s="28">
        <f>Calcs!T34</f>
        <v>1728.2366239172079</v>
      </c>
      <c r="T12" s="28">
        <f>Calcs!U34</f>
        <v>1728.2366239172079</v>
      </c>
      <c r="U12" s="28">
        <f>Calcs!V34</f>
        <v>1728.236623917207</v>
      </c>
      <c r="V12" s="28">
        <f>Calcs!W34</f>
        <v>1728.236623917207</v>
      </c>
      <c r="W12" s="28">
        <f>Calcs!X34</f>
        <v>1728.236623917207</v>
      </c>
      <c r="X12" s="28">
        <f>Calcs!Y34</f>
        <v>1728.236623917207</v>
      </c>
      <c r="Y12" s="28">
        <f>Calcs!Z34</f>
        <v>1728.236623917207</v>
      </c>
      <c r="Z12" s="28">
        <f>Calcs!AA34</f>
        <v>1728.236623917207</v>
      </c>
      <c r="AA12" s="28">
        <f>Calcs!AB34</f>
        <v>1728.236623917207</v>
      </c>
      <c r="AB12" s="28">
        <f>Calcs!AC34</f>
        <v>1728.2366239172075</v>
      </c>
      <c r="AC12" s="28">
        <f>Calcs!AD34</f>
        <v>1728.236623917207</v>
      </c>
      <c r="AD12" s="28">
        <f>Calcs!AE34</f>
        <v>1728.236623917207</v>
      </c>
      <c r="AE12" s="28">
        <f>Calcs!AF34</f>
        <v>1728.236623917207</v>
      </c>
      <c r="AF12" s="28">
        <f>Calcs!AG34</f>
        <v>1728.236623917207</v>
      </c>
      <c r="AG12" s="28">
        <f>Calcs!AH34</f>
        <v>1728.236623917207</v>
      </c>
      <c r="AH12" s="28">
        <f>Calcs!AI34</f>
        <v>0</v>
      </c>
      <c r="AI12" s="28">
        <f>Calcs!AJ34</f>
        <v>0</v>
      </c>
      <c r="AJ12" s="28">
        <f>Calcs!AK34</f>
        <v>0</v>
      </c>
    </row>
    <row r="13" spans="2:36" s="105" customFormat="1" ht="30" x14ac:dyDescent="0.25">
      <c r="B13" s="23" t="s">
        <v>219</v>
      </c>
      <c r="C13" s="143">
        <f ca="1">$C$4*(C12*$C$3/(C$8*$C$2))</f>
        <v>-18.810000000000066</v>
      </c>
      <c r="D13" s="28">
        <f t="shared" ref="D13:AJ13" ca="1" si="2">$C$4*(D12*$C$3/(D$8*$C$2))</f>
        <v>-18.5700000000001</v>
      </c>
      <c r="E13" s="28">
        <f t="shared" ca="1" si="2"/>
        <v>-18.370000000000086</v>
      </c>
      <c r="F13" s="28">
        <f ca="1">$C$4*(F12*$C$3/(F$8*$C$2))</f>
        <v>-25.6099999999999</v>
      </c>
      <c r="G13" s="28">
        <f t="shared" ca="1" si="2"/>
        <v>-20.549999999999887</v>
      </c>
      <c r="H13" s="28">
        <f t="shared" ca="1" si="2"/>
        <v>-15.774099259932225</v>
      </c>
      <c r="I13" s="28">
        <f t="shared" ca="1" si="2"/>
        <v>-8.7629483165066127</v>
      </c>
      <c r="J13" s="28">
        <f t="shared" ca="1" si="2"/>
        <v>-17.200032629400539</v>
      </c>
      <c r="K13" s="28">
        <f t="shared" ca="1" si="2"/>
        <v>-7.5340595778690904</v>
      </c>
      <c r="L13" s="28">
        <f t="shared" ca="1" si="2"/>
        <v>0.88046223380480482</v>
      </c>
      <c r="M13" s="28">
        <f t="shared" ca="1" si="2"/>
        <v>-8.9387019365012534</v>
      </c>
      <c r="N13" s="28">
        <f t="shared" ca="1" si="2"/>
        <v>-3.7142137285724539</v>
      </c>
      <c r="O13" s="28">
        <f t="shared" ca="1" si="2"/>
        <v>8.6900407950488461</v>
      </c>
      <c r="P13" s="28">
        <f t="shared" ca="1" si="2"/>
        <v>14.684139490273896</v>
      </c>
      <c r="Q13" s="28">
        <f t="shared" ca="1" si="2"/>
        <v>20.856369299281809</v>
      </c>
      <c r="R13" s="28">
        <f t="shared" ca="1" si="2"/>
        <v>20.711533401370126</v>
      </c>
      <c r="S13" s="28">
        <f t="shared" ca="1" si="2"/>
        <v>20.568695239981373</v>
      </c>
      <c r="T13" s="28">
        <f t="shared" ca="1" si="2"/>
        <v>20.427813765734921</v>
      </c>
      <c r="U13" s="28">
        <f t="shared" ca="1" si="2"/>
        <v>20.151762228360116</v>
      </c>
      <c r="V13" s="28">
        <f t="shared" ca="1" si="2"/>
        <v>20.068228564347802</v>
      </c>
      <c r="W13" s="28">
        <f t="shared" ca="1" si="2"/>
        <v>19.985041166480563</v>
      </c>
      <c r="X13" s="28">
        <f t="shared" ca="1" si="2"/>
        <v>19.902198599406027</v>
      </c>
      <c r="Y13" s="28">
        <f t="shared" ca="1" si="2"/>
        <v>19.819699433721681</v>
      </c>
      <c r="Z13" s="28">
        <f t="shared" ca="1" si="2"/>
        <v>19.737542245950209</v>
      </c>
      <c r="AA13" s="28">
        <f t="shared" ca="1" si="2"/>
        <v>19.655725618514928</v>
      </c>
      <c r="AB13" s="28">
        <f t="shared" ca="1" si="2"/>
        <v>19.574248139715362</v>
      </c>
      <c r="AC13" s="28">
        <f t="shared" ca="1" si="2"/>
        <v>19.493108403702816</v>
      </c>
      <c r="AD13" s="28">
        <f t="shared" ca="1" si="2"/>
        <v>19.412305010456198</v>
      </c>
      <c r="AE13" s="28">
        <f t="shared" ca="1" si="2"/>
        <v>19.331836565757804</v>
      </c>
      <c r="AF13" s="28">
        <f t="shared" ca="1" si="2"/>
        <v>19.251701681169287</v>
      </c>
      <c r="AG13" s="28">
        <f t="shared" ca="1" si="2"/>
        <v>19.171898974007686</v>
      </c>
      <c r="AH13" s="28">
        <f t="shared" ca="1" si="2"/>
        <v>0</v>
      </c>
      <c r="AI13" s="28">
        <f t="shared" ca="1" si="2"/>
        <v>0</v>
      </c>
      <c r="AJ13" s="28">
        <f t="shared" ca="1" si="2"/>
        <v>0</v>
      </c>
    </row>
    <row r="14" spans="2:36" ht="32.25" customHeight="1" x14ac:dyDescent="0.25">
      <c r="B14" s="23" t="s">
        <v>220</v>
      </c>
      <c r="C14" s="29">
        <f ca="1">C13*1.13</f>
        <v>-21.255300000000073</v>
      </c>
      <c r="D14" s="29">
        <f t="shared" ref="D14:AJ14" ca="1" si="3">D13*1.13</f>
        <v>-20.984100000000112</v>
      </c>
      <c r="E14" s="29">
        <f t="shared" ca="1" si="3"/>
        <v>-20.758100000000095</v>
      </c>
      <c r="F14" s="29">
        <f ca="1">F13*1.13</f>
        <v>-28.939299999999886</v>
      </c>
      <c r="G14" s="29">
        <f t="shared" ca="1" si="3"/>
        <v>-23.221499999999871</v>
      </c>
      <c r="H14" s="29">
        <f t="shared" ca="1" si="3"/>
        <v>-17.824732163723411</v>
      </c>
      <c r="I14" s="29">
        <f t="shared" ca="1" si="3"/>
        <v>-9.9021315976524722</v>
      </c>
      <c r="J14" s="29">
        <f t="shared" ca="1" si="3"/>
        <v>-19.436036871222608</v>
      </c>
      <c r="K14" s="29">
        <f t="shared" ca="1" si="3"/>
        <v>-8.5134873229920718</v>
      </c>
      <c r="L14" s="29">
        <f t="shared" ca="1" si="3"/>
        <v>0.99492232419942939</v>
      </c>
      <c r="M14" s="29">
        <f t="shared" ca="1" si="3"/>
        <v>-10.100733188246416</v>
      </c>
      <c r="N14" s="29">
        <f t="shared" ca="1" si="3"/>
        <v>-4.1970615132868723</v>
      </c>
      <c r="O14" s="29">
        <f t="shared" ca="1" si="3"/>
        <v>9.8197460984051954</v>
      </c>
      <c r="P14" s="29">
        <f t="shared" ca="1" si="3"/>
        <v>16.593077624009503</v>
      </c>
      <c r="Q14" s="29">
        <f t="shared" ca="1" si="3"/>
        <v>23.567697308188443</v>
      </c>
      <c r="R14" s="29">
        <f t="shared" ca="1" si="3"/>
        <v>23.404032743548239</v>
      </c>
      <c r="S14" s="29">
        <f t="shared" ca="1" si="3"/>
        <v>23.242625621178949</v>
      </c>
      <c r="T14" s="29">
        <f t="shared" ca="1" si="3"/>
        <v>23.08342955528046</v>
      </c>
      <c r="U14" s="29">
        <f t="shared" ca="1" si="3"/>
        <v>22.77149131804693</v>
      </c>
      <c r="V14" s="29">
        <f t="shared" ca="1" si="3"/>
        <v>22.677098277713014</v>
      </c>
      <c r="W14" s="29">
        <f t="shared" ca="1" si="3"/>
        <v>22.583096518123035</v>
      </c>
      <c r="X14" s="29">
        <f t="shared" ca="1" si="3"/>
        <v>22.489484417328807</v>
      </c>
      <c r="Y14" s="29">
        <f t="shared" ca="1" si="3"/>
        <v>22.396260360105497</v>
      </c>
      <c r="Z14" s="29">
        <f t="shared" ca="1" si="3"/>
        <v>22.303422737923736</v>
      </c>
      <c r="AA14" s="29">
        <f t="shared" ca="1" si="3"/>
        <v>22.210969948921868</v>
      </c>
      <c r="AB14" s="29">
        <f t="shared" ca="1" si="3"/>
        <v>22.118900397878356</v>
      </c>
      <c r="AC14" s="29">
        <f t="shared" ca="1" si="3"/>
        <v>22.02721249618418</v>
      </c>
      <c r="AD14" s="29">
        <f t="shared" ca="1" si="3"/>
        <v>21.935904661815503</v>
      </c>
      <c r="AE14" s="29">
        <f t="shared" ca="1" si="3"/>
        <v>21.844975319306318</v>
      </c>
      <c r="AF14" s="29">
        <f t="shared" ca="1" si="3"/>
        <v>21.754422899721291</v>
      </c>
      <c r="AG14" s="29">
        <f t="shared" ca="1" si="3"/>
        <v>21.664245840628684</v>
      </c>
      <c r="AH14" s="29">
        <f t="shared" ca="1" si="3"/>
        <v>0</v>
      </c>
      <c r="AI14" s="29">
        <f t="shared" ca="1" si="3"/>
        <v>0</v>
      </c>
      <c r="AJ14" s="29">
        <f t="shared" ca="1" si="3"/>
        <v>0</v>
      </c>
    </row>
    <row r="15" spans="2:36" s="19" customFormat="1" ht="32.25" customHeight="1" x14ac:dyDescent="0.25">
      <c r="B15" s="30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AH15" s="53"/>
      <c r="AI15" s="53"/>
      <c r="AJ15" s="53"/>
    </row>
    <row r="16" spans="2:36" x14ac:dyDescent="0.25"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 t="s">
        <v>130</v>
      </c>
      <c r="U16" s="68">
        <f>AVERAGE(O18:U18)</f>
        <v>4.1253217723841006E-3</v>
      </c>
      <c r="AH16" s="53"/>
      <c r="AI16" s="53"/>
      <c r="AJ16" s="53"/>
    </row>
    <row r="17" spans="2:36" s="53" customFormat="1" x14ac:dyDescent="0.25">
      <c r="B17" s="36" t="s">
        <v>123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</row>
    <row r="18" spans="2:36" s="53" customFormat="1" x14ac:dyDescent="0.25">
      <c r="B18" s="66" t="s">
        <v>132</v>
      </c>
      <c r="C18" s="31"/>
      <c r="D18" s="67">
        <f>D19/C19-1</f>
        <v>1.592435468987663E-2</v>
      </c>
      <c r="E18" s="67">
        <f t="shared" ref="E18:U18" si="4">E19/D19-1</f>
        <v>1.6248111770300389E-2</v>
      </c>
      <c r="F18" s="67">
        <f t="shared" si="4"/>
        <v>6.3634945593723069E-2</v>
      </c>
      <c r="G18" s="67">
        <f t="shared" si="4"/>
        <v>-1.3324892411382128E-2</v>
      </c>
      <c r="H18" s="67">
        <f t="shared" si="4"/>
        <v>1.9111486413721179E-2</v>
      </c>
      <c r="I18" s="67">
        <f t="shared" si="4"/>
        <v>2.7316703201734738E-2</v>
      </c>
      <c r="J18" s="67">
        <f t="shared" si="4"/>
        <v>1.4886387253257194E-2</v>
      </c>
      <c r="K18" s="67">
        <f t="shared" si="4"/>
        <v>4.9046574177055602E-2</v>
      </c>
      <c r="L18" s="67">
        <f t="shared" si="4"/>
        <v>-2.6065798474154467E-2</v>
      </c>
      <c r="M18" s="67">
        <f t="shared" si="4"/>
        <v>5.3002018186768529E-2</v>
      </c>
      <c r="N18" s="67">
        <f t="shared" si="4"/>
        <v>2.086732864434282E-3</v>
      </c>
      <c r="O18" s="67">
        <f t="shared" si="4"/>
        <v>-5.7390160052340766E-3</v>
      </c>
      <c r="P18" s="67">
        <f t="shared" si="4"/>
        <v>1.0819624682044449E-2</v>
      </c>
      <c r="Q18" s="67">
        <f t="shared" si="4"/>
        <v>1.2846960278518615E-2</v>
      </c>
      <c r="R18" s="67">
        <f t="shared" si="4"/>
        <v>1.1494045588967161E-2</v>
      </c>
      <c r="S18" s="67">
        <f t="shared" si="4"/>
        <v>9.5542724969437387E-3</v>
      </c>
      <c r="T18" s="67">
        <f t="shared" si="4"/>
        <v>6.8503829461701304E-3</v>
      </c>
      <c r="U18" s="67">
        <f t="shared" si="4"/>
        <v>-1.6949017580721315E-2</v>
      </c>
    </row>
    <row r="19" spans="2:36" x14ac:dyDescent="0.25">
      <c r="B19" s="19" t="s">
        <v>124</v>
      </c>
      <c r="C19" s="34">
        <f>'IESO Res Bill'!C6</f>
        <v>160.21813261808913</v>
      </c>
      <c r="D19" s="34">
        <f>'IESO Res Bill'!D6</f>
        <v>162.76950298964928</v>
      </c>
      <c r="E19" s="34">
        <f>'IESO Res Bill'!E6</f>
        <v>165.41420006702134</v>
      </c>
      <c r="F19" s="34">
        <f>'IESO Res Bill'!F6</f>
        <v>175.94032368871547</v>
      </c>
      <c r="G19" s="34">
        <f>'IESO Res Bill'!G6</f>
        <v>173.59593780473958</v>
      </c>
      <c r="H19" s="34">
        <f>'IESO Res Bill'!H6</f>
        <v>176.91361421157205</v>
      </c>
      <c r="I19" s="34">
        <f>'IESO Res Bill'!I6</f>
        <v>181.74631090333577</v>
      </c>
      <c r="J19" s="34">
        <f>'IESO Res Bill'!J6</f>
        <v>184.45185686929372</v>
      </c>
      <c r="K19" s="34">
        <f>'IESO Res Bill'!K6</f>
        <v>193.49858854932918</v>
      </c>
      <c r="L19" s="34">
        <f>'IESO Res Bill'!L6</f>
        <v>188.45489333516903</v>
      </c>
      <c r="M19" s="34">
        <f>'IESO Res Bill'!M6</f>
        <v>198.44338301910517</v>
      </c>
      <c r="N19" s="34">
        <f>'IESO Res Bill'!N6</f>
        <v>198.85748134818064</v>
      </c>
      <c r="O19" s="34">
        <f>'IESO Res Bill'!O6</f>
        <v>197.7162350799629</v>
      </c>
      <c r="P19" s="34">
        <f>'IESO Res Bill'!P6</f>
        <v>199.85545053707497</v>
      </c>
      <c r="Q19" s="34">
        <f>'IESO Res Bill'!Q6</f>
        <v>202.42298557157022</v>
      </c>
      <c r="R19" s="34">
        <f>'IESO Res Bill'!R6</f>
        <v>204.74964459598468</v>
      </c>
      <c r="S19" s="34">
        <f>'IESO Res Bill'!S6</f>
        <v>206.70587849410711</v>
      </c>
      <c r="T19" s="34">
        <f>'IESO Res Bill'!T6</f>
        <v>208.12189291901626</v>
      </c>
      <c r="U19" s="34">
        <f>'IESO Res Bill'!U6</f>
        <v>204.59443129699886</v>
      </c>
      <c r="AH19" s="53"/>
      <c r="AI19" s="53"/>
      <c r="AJ19" s="53"/>
    </row>
    <row r="20" spans="2:36" s="53" customFormat="1" x14ac:dyDescent="0.25">
      <c r="B20" s="53" t="s">
        <v>133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22">
        <f>U19*(1+U16)</f>
        <v>205.43844915893689</v>
      </c>
      <c r="W20" s="22">
        <f>V20*(1+$U$16)</f>
        <v>206.28594886613706</v>
      </c>
      <c r="X20" s="22">
        <f t="shared" ref="X20:AH20" si="5">W20*(1+$U$16)</f>
        <v>207.13694478233143</v>
      </c>
      <c r="Y20" s="22">
        <f t="shared" si="5"/>
        <v>207.99145133050709</v>
      </c>
      <c r="Z20" s="22">
        <f t="shared" si="5"/>
        <v>208.84948299315059</v>
      </c>
      <c r="AA20" s="22">
        <f t="shared" si="5"/>
        <v>209.71105431249339</v>
      </c>
      <c r="AB20" s="22">
        <f t="shared" si="5"/>
        <v>210.57617989075831</v>
      </c>
      <c r="AC20" s="22">
        <f t="shared" si="5"/>
        <v>211.44487439040711</v>
      </c>
      <c r="AD20" s="22">
        <f t="shared" si="5"/>
        <v>212.31715253438887</v>
      </c>
      <c r="AE20" s="22">
        <f t="shared" si="5"/>
        <v>213.19302910638956</v>
      </c>
      <c r="AF20" s="22">
        <f t="shared" si="5"/>
        <v>214.07251895108266</v>
      </c>
      <c r="AG20" s="22">
        <f t="shared" si="5"/>
        <v>214.95563697438064</v>
      </c>
      <c r="AH20" s="22">
        <f t="shared" si="5"/>
        <v>215.84239814368772</v>
      </c>
      <c r="AI20" s="22">
        <f t="shared" ref="AI20" si="6">AH20*(1+$U$16)</f>
        <v>216.73281748815344</v>
      </c>
      <c r="AJ20" s="22">
        <f t="shared" ref="AJ20" si="7">AI20*(1+$U$16)</f>
        <v>217.62691009892745</v>
      </c>
    </row>
    <row r="21" spans="2:36" s="53" customFormat="1" x14ac:dyDescent="0.25">
      <c r="B21" s="58" t="s">
        <v>125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spans="2:36" s="53" customFormat="1" x14ac:dyDescent="0.25">
      <c r="B22" s="57" t="s">
        <v>122</v>
      </c>
      <c r="C22" s="22">
        <f ca="1">C19+C14</f>
        <v>138.96283261808907</v>
      </c>
      <c r="D22" s="22">
        <f t="shared" ref="D22:U22" ca="1" si="8">D19+D14</f>
        <v>141.78540298964919</v>
      </c>
      <c r="E22" s="22">
        <f t="shared" ca="1" si="8"/>
        <v>144.65610006702124</v>
      </c>
      <c r="F22" s="22">
        <f ca="1">F19+F14</f>
        <v>147.00102368871558</v>
      </c>
      <c r="G22" s="22">
        <f t="shared" ca="1" si="8"/>
        <v>150.3744378047397</v>
      </c>
      <c r="H22" s="22">
        <f t="shared" ca="1" si="8"/>
        <v>159.08888204784864</v>
      </c>
      <c r="I22" s="22">
        <f t="shared" ca="1" si="8"/>
        <v>171.8441793056833</v>
      </c>
      <c r="J22" s="22">
        <f t="shared" ca="1" si="8"/>
        <v>165.01581999807112</v>
      </c>
      <c r="K22" s="22">
        <f t="shared" ca="1" si="8"/>
        <v>184.98510122633712</v>
      </c>
      <c r="L22" s="22">
        <f t="shared" ca="1" si="8"/>
        <v>189.44981565936845</v>
      </c>
      <c r="M22" s="22">
        <f t="shared" ca="1" si="8"/>
        <v>188.34264983085876</v>
      </c>
      <c r="N22" s="22">
        <f t="shared" ca="1" si="8"/>
        <v>194.66041983489376</v>
      </c>
      <c r="O22" s="22">
        <f t="shared" ca="1" si="8"/>
        <v>207.5359811783681</v>
      </c>
      <c r="P22" s="22">
        <f t="shared" ca="1" si="8"/>
        <v>216.44852816108448</v>
      </c>
      <c r="Q22" s="22">
        <f t="shared" ca="1" si="8"/>
        <v>225.99068287975865</v>
      </c>
      <c r="R22" s="22">
        <f t="shared" ca="1" si="8"/>
        <v>228.15367733953292</v>
      </c>
      <c r="S22" s="22">
        <f t="shared" ca="1" si="8"/>
        <v>229.94850411528606</v>
      </c>
      <c r="T22" s="22">
        <f t="shared" ca="1" si="8"/>
        <v>231.20532247429674</v>
      </c>
      <c r="U22" s="22">
        <f t="shared" ca="1" si="8"/>
        <v>227.3659226150458</v>
      </c>
      <c r="V22" s="22">
        <f ca="1">V20+V14</f>
        <v>228.1155474366499</v>
      </c>
      <c r="W22" s="22">
        <f t="shared" ref="W22:AJ22" ca="1" si="9">W20+W14</f>
        <v>228.86904538426009</v>
      </c>
      <c r="X22" s="22">
        <f t="shared" ca="1" si="9"/>
        <v>229.62642919966024</v>
      </c>
      <c r="Y22" s="22">
        <f t="shared" ca="1" si="9"/>
        <v>230.38771169061258</v>
      </c>
      <c r="Z22" s="22">
        <f t="shared" ca="1" si="9"/>
        <v>231.15290573107433</v>
      </c>
      <c r="AA22" s="22">
        <f t="shared" ca="1" si="9"/>
        <v>231.92202426141526</v>
      </c>
      <c r="AB22" s="22">
        <f t="shared" ca="1" si="9"/>
        <v>232.69508028863666</v>
      </c>
      <c r="AC22" s="22">
        <f t="shared" ca="1" si="9"/>
        <v>233.47208688659128</v>
      </c>
      <c r="AD22" s="22">
        <f t="shared" ca="1" si="9"/>
        <v>234.25305719620437</v>
      </c>
      <c r="AE22" s="22">
        <f t="shared" ca="1" si="9"/>
        <v>235.03800442569587</v>
      </c>
      <c r="AF22" s="22">
        <f t="shared" ca="1" si="9"/>
        <v>235.82694185080396</v>
      </c>
      <c r="AG22" s="22">
        <f t="shared" ca="1" si="9"/>
        <v>236.61988281500933</v>
      </c>
      <c r="AH22" s="22">
        <f t="shared" ca="1" si="9"/>
        <v>215.84239814368772</v>
      </c>
      <c r="AI22" s="22">
        <f t="shared" ca="1" si="9"/>
        <v>216.73281748815344</v>
      </c>
      <c r="AJ22" s="22">
        <f t="shared" ca="1" si="9"/>
        <v>217.62691009892745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V30"/>
  <sheetViews>
    <sheetView topLeftCell="A7" workbookViewId="0">
      <selection activeCell="C12" sqref="C12"/>
    </sheetView>
  </sheetViews>
  <sheetFormatPr defaultRowHeight="15" x14ac:dyDescent="0.25"/>
  <cols>
    <col min="2" max="2" width="18.28515625" customWidth="1"/>
  </cols>
  <sheetData>
    <row r="1" spans="2:22" ht="15.75" thickBot="1" x14ac:dyDescent="0.3">
      <c r="B1" s="54" t="s">
        <v>137</v>
      </c>
    </row>
    <row r="2" spans="2:22" ht="16.5" thickBot="1" x14ac:dyDescent="0.3">
      <c r="B2" s="80" t="s">
        <v>152</v>
      </c>
      <c r="C2" s="81">
        <v>2013</v>
      </c>
      <c r="D2" s="81">
        <v>2014</v>
      </c>
      <c r="E2" s="81">
        <v>2015</v>
      </c>
      <c r="F2" s="81">
        <v>2016</v>
      </c>
      <c r="G2" s="81">
        <v>2017</v>
      </c>
      <c r="H2" s="81">
        <v>2018</v>
      </c>
      <c r="I2" s="81">
        <v>2019</v>
      </c>
      <c r="J2" s="81">
        <v>2020</v>
      </c>
      <c r="K2" s="81">
        <v>2021</v>
      </c>
      <c r="L2" s="81">
        <v>2022</v>
      </c>
      <c r="M2" s="81">
        <v>2023</v>
      </c>
      <c r="N2" s="81">
        <v>2024</v>
      </c>
      <c r="O2" s="81">
        <v>2025</v>
      </c>
      <c r="P2" s="81">
        <v>2026</v>
      </c>
      <c r="Q2" s="81">
        <v>2027</v>
      </c>
      <c r="R2" s="81">
        <v>2028</v>
      </c>
      <c r="S2" s="81">
        <v>2029</v>
      </c>
      <c r="T2" s="81">
        <v>2030</v>
      </c>
      <c r="U2" s="81">
        <v>2031</v>
      </c>
      <c r="V2" s="82">
        <v>2032</v>
      </c>
    </row>
    <row r="3" spans="2:22" ht="15.75" x14ac:dyDescent="0.25">
      <c r="B3" s="83" t="s">
        <v>139</v>
      </c>
      <c r="C3" s="84">
        <v>31.43</v>
      </c>
      <c r="D3" s="84">
        <v>33.26</v>
      </c>
      <c r="E3" s="84">
        <v>34.909999999999997</v>
      </c>
      <c r="F3" s="84">
        <v>36.450000000000003</v>
      </c>
      <c r="G3" s="84">
        <v>38.020000000000003</v>
      </c>
      <c r="H3" s="84">
        <v>39.409999999999997</v>
      </c>
      <c r="I3" s="84">
        <v>40.35</v>
      </c>
      <c r="J3" s="84">
        <v>41.53</v>
      </c>
      <c r="K3" s="84">
        <v>42.44</v>
      </c>
      <c r="L3" s="84">
        <v>43.71</v>
      </c>
      <c r="M3" s="84">
        <v>44.98</v>
      </c>
      <c r="N3" s="84">
        <v>46.34</v>
      </c>
      <c r="O3" s="84">
        <v>47.58</v>
      </c>
      <c r="P3" s="84">
        <v>48.83</v>
      </c>
      <c r="Q3" s="84">
        <v>49.91</v>
      </c>
      <c r="R3" s="84">
        <v>51.14</v>
      </c>
      <c r="S3" s="84">
        <v>52.14</v>
      </c>
      <c r="T3" s="84">
        <v>53.13</v>
      </c>
      <c r="U3" s="84">
        <v>54.4</v>
      </c>
      <c r="V3" s="85">
        <v>55.74</v>
      </c>
    </row>
    <row r="4" spans="2:22" ht="15.75" x14ac:dyDescent="0.25">
      <c r="B4" s="83" t="s">
        <v>140</v>
      </c>
      <c r="C4" s="84">
        <v>10.15</v>
      </c>
      <c r="D4" s="84">
        <v>10.8</v>
      </c>
      <c r="E4" s="84">
        <v>11.09</v>
      </c>
      <c r="F4" s="84">
        <v>11.56</v>
      </c>
      <c r="G4" s="84">
        <v>11.9</v>
      </c>
      <c r="H4" s="84">
        <v>12.53</v>
      </c>
      <c r="I4" s="84">
        <v>13.21</v>
      </c>
      <c r="J4" s="84">
        <v>13.48</v>
      </c>
      <c r="K4" s="84">
        <v>13.62</v>
      </c>
      <c r="L4" s="84">
        <v>13.89</v>
      </c>
      <c r="M4" s="84">
        <v>14.14</v>
      </c>
      <c r="N4" s="84">
        <v>14.36</v>
      </c>
      <c r="O4" s="84">
        <v>14.54</v>
      </c>
      <c r="P4" s="84">
        <v>14.73</v>
      </c>
      <c r="Q4" s="84">
        <v>14.86</v>
      </c>
      <c r="R4" s="84">
        <v>15.03</v>
      </c>
      <c r="S4" s="84">
        <v>15.2</v>
      </c>
      <c r="T4" s="84">
        <v>15.37</v>
      </c>
      <c r="U4" s="84">
        <v>15.62</v>
      </c>
      <c r="V4" s="85">
        <v>15.88</v>
      </c>
    </row>
    <row r="5" spans="2:22" ht="15.75" x14ac:dyDescent="0.25">
      <c r="B5" s="83" t="s">
        <v>141</v>
      </c>
      <c r="C5" s="84">
        <v>4.83</v>
      </c>
      <c r="D5" s="84">
        <v>4.93</v>
      </c>
      <c r="E5" s="84">
        <v>5.03</v>
      </c>
      <c r="F5" s="84">
        <v>5.13</v>
      </c>
      <c r="G5" s="84">
        <v>5.23</v>
      </c>
      <c r="H5" s="84">
        <v>5.34</v>
      </c>
      <c r="I5" s="84">
        <v>5.44</v>
      </c>
      <c r="J5" s="84">
        <v>5.55</v>
      </c>
      <c r="K5" s="84">
        <v>5.66</v>
      </c>
      <c r="L5" s="84">
        <v>5.78</v>
      </c>
      <c r="M5" s="84">
        <v>5.89</v>
      </c>
      <c r="N5" s="84">
        <v>6.01</v>
      </c>
      <c r="O5" s="84">
        <v>6.13</v>
      </c>
      <c r="P5" s="84">
        <v>6.25</v>
      </c>
      <c r="Q5" s="84">
        <v>6.38</v>
      </c>
      <c r="R5" s="84">
        <v>6.51</v>
      </c>
      <c r="S5" s="84">
        <v>6.64</v>
      </c>
      <c r="T5" s="84">
        <v>6.77</v>
      </c>
      <c r="U5" s="84">
        <v>6.91</v>
      </c>
      <c r="V5" s="85">
        <v>7.04</v>
      </c>
    </row>
    <row r="6" spans="2:22" ht="15.75" x14ac:dyDescent="0.25">
      <c r="B6" s="83" t="s">
        <v>142</v>
      </c>
      <c r="C6" s="84">
        <v>5.25</v>
      </c>
      <c r="D6" s="84">
        <v>5.25</v>
      </c>
      <c r="E6" s="84">
        <v>5.25</v>
      </c>
      <c r="F6" s="86">
        <v>5.25</v>
      </c>
      <c r="G6" s="86">
        <v>5.25</v>
      </c>
      <c r="H6" s="86">
        <v>5.25</v>
      </c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</row>
    <row r="7" spans="2:22" ht="15.75" x14ac:dyDescent="0.25">
      <c r="B7" s="83" t="s">
        <v>153</v>
      </c>
      <c r="C7" s="84">
        <v>64.13</v>
      </c>
      <c r="D7" s="84">
        <v>72.87</v>
      </c>
      <c r="E7" s="84">
        <v>78.87</v>
      </c>
      <c r="F7" s="84">
        <v>81.7</v>
      </c>
      <c r="G7" s="84">
        <v>82.15</v>
      </c>
      <c r="H7" s="84">
        <v>86.65</v>
      </c>
      <c r="I7" s="84">
        <v>89.06</v>
      </c>
      <c r="J7" s="84">
        <v>91.27</v>
      </c>
      <c r="K7" s="84">
        <v>94.53</v>
      </c>
      <c r="L7" s="84">
        <v>98.12</v>
      </c>
      <c r="M7" s="84">
        <v>92.66</v>
      </c>
      <c r="N7" s="84">
        <v>93.14</v>
      </c>
      <c r="O7" s="84">
        <v>94.38</v>
      </c>
      <c r="P7" s="84">
        <v>96.36</v>
      </c>
      <c r="Q7" s="84">
        <v>96.52</v>
      </c>
      <c r="R7" s="84">
        <v>96.41</v>
      </c>
      <c r="S7" s="84">
        <v>96.76</v>
      </c>
      <c r="T7" s="84">
        <v>96.31</v>
      </c>
      <c r="U7" s="84">
        <v>96.65</v>
      </c>
      <c r="V7" s="85">
        <v>97.06</v>
      </c>
    </row>
    <row r="8" spans="2:22" ht="15.75" x14ac:dyDescent="0.25">
      <c r="B8" s="83" t="s">
        <v>154</v>
      </c>
      <c r="C8" s="84">
        <f>SUM(C3:C7)</f>
        <v>115.78999999999999</v>
      </c>
      <c r="D8" s="84">
        <f t="shared" ref="D8:V8" si="0">SUM(D3:D7)</f>
        <v>127.11000000000001</v>
      </c>
      <c r="E8" s="84">
        <f t="shared" si="0"/>
        <v>135.15</v>
      </c>
      <c r="F8" s="84">
        <f t="shared" si="0"/>
        <v>140.09</v>
      </c>
      <c r="G8" s="84">
        <f t="shared" si="0"/>
        <v>142.55000000000001</v>
      </c>
      <c r="H8" s="84">
        <f t="shared" si="0"/>
        <v>149.18</v>
      </c>
      <c r="I8" s="84">
        <f t="shared" si="0"/>
        <v>148.06</v>
      </c>
      <c r="J8" s="84">
        <f t="shared" si="0"/>
        <v>151.82999999999998</v>
      </c>
      <c r="K8" s="84">
        <f t="shared" si="0"/>
        <v>156.25</v>
      </c>
      <c r="L8" s="84">
        <f t="shared" si="0"/>
        <v>161.5</v>
      </c>
      <c r="M8" s="84">
        <f t="shared" si="0"/>
        <v>157.66999999999999</v>
      </c>
      <c r="N8" s="84">
        <f t="shared" si="0"/>
        <v>159.85000000000002</v>
      </c>
      <c r="O8" s="84">
        <f t="shared" si="0"/>
        <v>162.63</v>
      </c>
      <c r="P8" s="84">
        <f t="shared" si="0"/>
        <v>166.17000000000002</v>
      </c>
      <c r="Q8" s="84">
        <f t="shared" si="0"/>
        <v>167.67</v>
      </c>
      <c r="R8" s="84">
        <f t="shared" si="0"/>
        <v>169.09</v>
      </c>
      <c r="S8" s="84">
        <f t="shared" si="0"/>
        <v>170.74</v>
      </c>
      <c r="T8" s="84">
        <f t="shared" si="0"/>
        <v>171.57999999999998</v>
      </c>
      <c r="U8" s="84">
        <f t="shared" si="0"/>
        <v>173.57999999999998</v>
      </c>
      <c r="V8" s="84">
        <f t="shared" si="0"/>
        <v>175.72000000000003</v>
      </c>
    </row>
    <row r="9" spans="2:22" ht="15.75" x14ac:dyDescent="0.25">
      <c r="B9" s="88" t="s">
        <v>155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</row>
    <row r="10" spans="2:22" ht="15.75" x14ac:dyDescent="0.25">
      <c r="B10" s="83" t="s">
        <v>156</v>
      </c>
      <c r="C10" s="118">
        <f>C8*0.13</f>
        <v>15.0527</v>
      </c>
      <c r="D10" s="118">
        <f t="shared" ref="D10:V10" si="1">D8*0.13</f>
        <v>16.524300000000004</v>
      </c>
      <c r="E10" s="118">
        <f t="shared" si="1"/>
        <v>17.569500000000001</v>
      </c>
      <c r="F10" s="118">
        <f t="shared" si="1"/>
        <v>18.2117</v>
      </c>
      <c r="G10" s="118">
        <f t="shared" si="1"/>
        <v>18.531500000000001</v>
      </c>
      <c r="H10" s="118">
        <f t="shared" si="1"/>
        <v>19.393400000000003</v>
      </c>
      <c r="I10" s="118">
        <f t="shared" si="1"/>
        <v>19.247800000000002</v>
      </c>
      <c r="J10" s="118">
        <f t="shared" si="1"/>
        <v>19.7379</v>
      </c>
      <c r="K10" s="118">
        <f t="shared" si="1"/>
        <v>20.3125</v>
      </c>
      <c r="L10" s="118">
        <f t="shared" si="1"/>
        <v>20.995000000000001</v>
      </c>
      <c r="M10" s="118">
        <f t="shared" si="1"/>
        <v>20.4971</v>
      </c>
      <c r="N10" s="118">
        <f t="shared" si="1"/>
        <v>20.780500000000004</v>
      </c>
      <c r="O10" s="118">
        <f t="shared" si="1"/>
        <v>21.1419</v>
      </c>
      <c r="P10" s="118">
        <f t="shared" si="1"/>
        <v>21.602100000000004</v>
      </c>
      <c r="Q10" s="118">
        <f t="shared" si="1"/>
        <v>21.7971</v>
      </c>
      <c r="R10" s="118">
        <f t="shared" si="1"/>
        <v>21.9817</v>
      </c>
      <c r="S10" s="118">
        <f t="shared" si="1"/>
        <v>22.196200000000001</v>
      </c>
      <c r="T10" s="118">
        <f t="shared" si="1"/>
        <v>22.305399999999999</v>
      </c>
      <c r="U10" s="118">
        <f t="shared" si="1"/>
        <v>22.5654</v>
      </c>
      <c r="V10" s="118">
        <f t="shared" si="1"/>
        <v>22.843600000000006</v>
      </c>
    </row>
    <row r="11" spans="2:22" ht="15.75" x14ac:dyDescent="0.25">
      <c r="B11" s="88" t="s">
        <v>144</v>
      </c>
      <c r="C11" s="119">
        <f>-(C8+C10)*0.1</f>
        <v>-13.084269999999998</v>
      </c>
      <c r="D11" s="119">
        <f t="shared" ref="D11:E11" si="2">-(D8+D10)*0.1</f>
        <v>-14.363430000000003</v>
      </c>
      <c r="E11" s="119">
        <f t="shared" si="2"/>
        <v>-15.271950000000002</v>
      </c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</row>
    <row r="12" spans="2:22" ht="16.5" thickBot="1" x14ac:dyDescent="0.3">
      <c r="B12" s="89" t="s">
        <v>145</v>
      </c>
      <c r="C12" s="120">
        <f>C8+C10+C11</f>
        <v>117.75842999999998</v>
      </c>
      <c r="D12" s="120">
        <f t="shared" ref="D12:V12" si="3">D8+D10+D11</f>
        <v>129.27087000000003</v>
      </c>
      <c r="E12" s="120">
        <f t="shared" si="3"/>
        <v>137.44755000000001</v>
      </c>
      <c r="F12" s="120">
        <f t="shared" si="3"/>
        <v>158.30170000000001</v>
      </c>
      <c r="G12" s="120">
        <f t="shared" si="3"/>
        <v>161.08150000000001</v>
      </c>
      <c r="H12" s="120">
        <f t="shared" si="3"/>
        <v>168.57340000000002</v>
      </c>
      <c r="I12" s="120">
        <f t="shared" si="3"/>
        <v>167.30780000000001</v>
      </c>
      <c r="J12" s="120">
        <f t="shared" si="3"/>
        <v>171.56789999999998</v>
      </c>
      <c r="K12" s="120">
        <f t="shared" si="3"/>
        <v>176.5625</v>
      </c>
      <c r="L12" s="120">
        <f t="shared" si="3"/>
        <v>182.495</v>
      </c>
      <c r="M12" s="120">
        <f t="shared" si="3"/>
        <v>178.16709999999998</v>
      </c>
      <c r="N12" s="120">
        <f t="shared" si="3"/>
        <v>180.63050000000004</v>
      </c>
      <c r="O12" s="120">
        <f t="shared" si="3"/>
        <v>183.77189999999999</v>
      </c>
      <c r="P12" s="120">
        <f t="shared" si="3"/>
        <v>187.77210000000002</v>
      </c>
      <c r="Q12" s="120">
        <f t="shared" si="3"/>
        <v>189.46709999999999</v>
      </c>
      <c r="R12" s="120">
        <f t="shared" si="3"/>
        <v>191.07169999999999</v>
      </c>
      <c r="S12" s="120">
        <f t="shared" si="3"/>
        <v>192.93620000000001</v>
      </c>
      <c r="T12" s="120">
        <f t="shared" si="3"/>
        <v>193.88539999999998</v>
      </c>
      <c r="U12" s="120">
        <f t="shared" si="3"/>
        <v>196.1454</v>
      </c>
      <c r="V12" s="120">
        <f t="shared" si="3"/>
        <v>198.56360000000004</v>
      </c>
    </row>
    <row r="13" spans="2:22" x14ac:dyDescent="0.25">
      <c r="B13" s="90"/>
      <c r="C13">
        <f>C8*0.1</f>
        <v>11.579000000000001</v>
      </c>
    </row>
    <row r="14" spans="2:22" x14ac:dyDescent="0.25">
      <c r="B14" s="90"/>
      <c r="C14">
        <f>C8*0.13</f>
        <v>15.0527</v>
      </c>
      <c r="E14">
        <f>(C10+C8)*0.1</f>
        <v>13.084269999999998</v>
      </c>
    </row>
    <row r="16" spans="2:22" ht="18.75" x14ac:dyDescent="0.3">
      <c r="B16" s="116" t="s">
        <v>171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</row>
    <row r="17" spans="2:22" ht="15.75" x14ac:dyDescent="0.25">
      <c r="B17" s="107" t="s">
        <v>172</v>
      </c>
      <c r="C17" s="108">
        <v>2013</v>
      </c>
      <c r="D17" s="108">
        <v>2014</v>
      </c>
      <c r="E17" s="108">
        <v>2015</v>
      </c>
      <c r="F17" s="108">
        <v>2016</v>
      </c>
      <c r="G17" s="108">
        <v>2017</v>
      </c>
      <c r="H17" s="108">
        <v>2018</v>
      </c>
      <c r="I17" s="108">
        <v>2019</v>
      </c>
      <c r="J17" s="108">
        <v>2020</v>
      </c>
      <c r="K17" s="108">
        <v>2021</v>
      </c>
      <c r="L17" s="108">
        <v>2022</v>
      </c>
      <c r="M17" s="108">
        <v>2023</v>
      </c>
      <c r="N17" s="108">
        <v>2024</v>
      </c>
      <c r="O17" s="108">
        <v>2025</v>
      </c>
      <c r="P17" s="108">
        <v>2026</v>
      </c>
      <c r="Q17" s="108">
        <v>2027</v>
      </c>
      <c r="R17" s="108">
        <v>2028</v>
      </c>
      <c r="S17" s="108">
        <v>2029</v>
      </c>
      <c r="T17" s="108">
        <v>2030</v>
      </c>
      <c r="U17" s="108">
        <v>2031</v>
      </c>
      <c r="V17" s="108">
        <v>2032</v>
      </c>
    </row>
    <row r="18" spans="2:22" ht="15.75" x14ac:dyDescent="0.25">
      <c r="B18" s="109" t="s">
        <v>139</v>
      </c>
      <c r="C18" s="110">
        <v>32</v>
      </c>
      <c r="D18" s="110">
        <v>34</v>
      </c>
      <c r="E18" s="110">
        <v>36</v>
      </c>
      <c r="F18" s="110">
        <v>37</v>
      </c>
      <c r="G18" s="110">
        <v>39</v>
      </c>
      <c r="H18" s="110">
        <v>40</v>
      </c>
      <c r="I18" s="110">
        <v>41</v>
      </c>
      <c r="J18" s="110">
        <v>43</v>
      </c>
      <c r="K18" s="110">
        <v>43</v>
      </c>
      <c r="L18" s="110">
        <v>45</v>
      </c>
      <c r="M18" s="110">
        <v>46</v>
      </c>
      <c r="N18" s="110">
        <v>47</v>
      </c>
      <c r="O18" s="110">
        <v>49</v>
      </c>
      <c r="P18" s="110">
        <v>50</v>
      </c>
      <c r="Q18" s="110">
        <v>51</v>
      </c>
      <c r="R18" s="110">
        <v>52</v>
      </c>
      <c r="S18" s="110">
        <v>53</v>
      </c>
      <c r="T18" s="110">
        <v>54</v>
      </c>
      <c r="U18" s="110">
        <v>56</v>
      </c>
      <c r="V18" s="110">
        <v>57</v>
      </c>
    </row>
    <row r="19" spans="2:22" ht="15.75" x14ac:dyDescent="0.25">
      <c r="B19" s="109" t="s">
        <v>140</v>
      </c>
      <c r="C19" s="110">
        <v>11</v>
      </c>
      <c r="D19" s="110">
        <v>12</v>
      </c>
      <c r="E19" s="110">
        <v>12</v>
      </c>
      <c r="F19" s="110">
        <v>12</v>
      </c>
      <c r="G19" s="110">
        <v>13</v>
      </c>
      <c r="H19" s="110">
        <v>13</v>
      </c>
      <c r="I19" s="110">
        <v>14</v>
      </c>
      <c r="J19" s="110">
        <v>14</v>
      </c>
      <c r="K19" s="110">
        <v>15</v>
      </c>
      <c r="L19" s="110">
        <v>15</v>
      </c>
      <c r="M19" s="110">
        <v>15</v>
      </c>
      <c r="N19" s="110">
        <v>15</v>
      </c>
      <c r="O19" s="110">
        <v>16</v>
      </c>
      <c r="P19" s="110">
        <v>16</v>
      </c>
      <c r="Q19" s="110">
        <v>16</v>
      </c>
      <c r="R19" s="110">
        <v>16</v>
      </c>
      <c r="S19" s="110">
        <v>16</v>
      </c>
      <c r="T19" s="110">
        <v>16</v>
      </c>
      <c r="U19" s="110">
        <v>17</v>
      </c>
      <c r="V19" s="110">
        <v>17</v>
      </c>
    </row>
    <row r="20" spans="2:22" ht="78.75" x14ac:dyDescent="0.25">
      <c r="B20" s="111" t="s">
        <v>173</v>
      </c>
      <c r="C20" s="110">
        <v>5</v>
      </c>
      <c r="D20" s="110">
        <v>5</v>
      </c>
      <c r="E20" s="110">
        <v>5</v>
      </c>
      <c r="F20" s="110">
        <v>5</v>
      </c>
      <c r="G20" s="110">
        <v>6</v>
      </c>
      <c r="H20" s="110">
        <v>6</v>
      </c>
      <c r="I20" s="110">
        <v>6</v>
      </c>
      <c r="J20" s="110">
        <v>6</v>
      </c>
      <c r="K20" s="110">
        <v>6</v>
      </c>
      <c r="L20" s="110">
        <v>6</v>
      </c>
      <c r="M20" s="110">
        <v>6</v>
      </c>
      <c r="N20" s="110">
        <v>6</v>
      </c>
      <c r="O20" s="110">
        <v>7</v>
      </c>
      <c r="P20" s="110">
        <v>7</v>
      </c>
      <c r="Q20" s="110">
        <v>7</v>
      </c>
      <c r="R20" s="110">
        <v>7</v>
      </c>
      <c r="S20" s="110">
        <v>7</v>
      </c>
      <c r="T20" s="110">
        <v>7</v>
      </c>
      <c r="U20" s="110">
        <v>7</v>
      </c>
      <c r="V20" s="110">
        <v>7</v>
      </c>
    </row>
    <row r="21" spans="2:22" ht="15.75" x14ac:dyDescent="0.25">
      <c r="B21" s="109" t="s">
        <v>174</v>
      </c>
      <c r="C21" s="110">
        <v>6</v>
      </c>
      <c r="D21" s="110">
        <v>6</v>
      </c>
      <c r="E21" s="110">
        <v>6</v>
      </c>
      <c r="F21" s="110">
        <v>6</v>
      </c>
      <c r="G21" s="110">
        <v>6</v>
      </c>
      <c r="H21" s="110">
        <v>6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10">
        <v>0</v>
      </c>
    </row>
    <row r="22" spans="2:22" ht="15.75" x14ac:dyDescent="0.25">
      <c r="B22" s="109" t="s">
        <v>138</v>
      </c>
      <c r="C22" s="110">
        <v>69</v>
      </c>
      <c r="D22" s="110">
        <v>78</v>
      </c>
      <c r="E22" s="110">
        <v>84</v>
      </c>
      <c r="F22" s="110">
        <v>87</v>
      </c>
      <c r="G22" s="110">
        <v>88</v>
      </c>
      <c r="H22" s="110">
        <v>93</v>
      </c>
      <c r="I22" s="110">
        <v>95</v>
      </c>
      <c r="J22" s="110">
        <v>98</v>
      </c>
      <c r="K22" s="110">
        <v>101</v>
      </c>
      <c r="L22" s="110">
        <v>105</v>
      </c>
      <c r="M22" s="110">
        <v>99</v>
      </c>
      <c r="N22" s="110">
        <v>100</v>
      </c>
      <c r="O22" s="110">
        <v>101</v>
      </c>
      <c r="P22" s="110">
        <v>103</v>
      </c>
      <c r="Q22" s="110">
        <v>103</v>
      </c>
      <c r="R22" s="110">
        <v>103</v>
      </c>
      <c r="S22" s="110">
        <v>104</v>
      </c>
      <c r="T22" s="110">
        <v>103</v>
      </c>
      <c r="U22" s="110">
        <v>103</v>
      </c>
      <c r="V22" s="110">
        <v>104</v>
      </c>
    </row>
    <row r="23" spans="2:22" ht="15.75" x14ac:dyDescent="0.25">
      <c r="B23" s="112" t="s">
        <v>175</v>
      </c>
      <c r="C23" s="113">
        <v>122</v>
      </c>
      <c r="D23" s="113">
        <v>134</v>
      </c>
      <c r="E23" s="113">
        <v>143</v>
      </c>
      <c r="F23" s="113">
        <v>148</v>
      </c>
      <c r="G23" s="113">
        <v>151</v>
      </c>
      <c r="H23" s="113">
        <v>158</v>
      </c>
      <c r="I23" s="113">
        <v>157</v>
      </c>
      <c r="J23" s="113">
        <v>161</v>
      </c>
      <c r="K23" s="113">
        <v>165</v>
      </c>
      <c r="L23" s="113">
        <v>171</v>
      </c>
      <c r="M23" s="113">
        <v>167</v>
      </c>
      <c r="N23" s="113">
        <v>169</v>
      </c>
      <c r="O23" s="113">
        <v>172</v>
      </c>
      <c r="P23" s="113">
        <v>176</v>
      </c>
      <c r="Q23" s="113">
        <v>177</v>
      </c>
      <c r="R23" s="113">
        <v>179</v>
      </c>
      <c r="S23" s="113">
        <v>180</v>
      </c>
      <c r="T23" s="113">
        <v>181</v>
      </c>
      <c r="U23" s="113">
        <v>183</v>
      </c>
      <c r="V23" s="113">
        <v>185</v>
      </c>
    </row>
    <row r="24" spans="2:22" ht="15.75" x14ac:dyDescent="0.25">
      <c r="B24" s="114" t="s">
        <v>156</v>
      </c>
      <c r="C24" s="115">
        <v>16</v>
      </c>
      <c r="D24" s="115">
        <v>17</v>
      </c>
      <c r="E24" s="115">
        <v>19</v>
      </c>
      <c r="F24" s="115">
        <v>19</v>
      </c>
      <c r="G24" s="115">
        <v>20</v>
      </c>
      <c r="H24" s="115">
        <v>21</v>
      </c>
      <c r="I24" s="115">
        <v>20</v>
      </c>
      <c r="J24" s="115">
        <v>21</v>
      </c>
      <c r="K24" s="115">
        <v>21</v>
      </c>
      <c r="L24" s="115">
        <v>22</v>
      </c>
      <c r="M24" s="115">
        <v>22</v>
      </c>
      <c r="N24" s="115">
        <v>22</v>
      </c>
      <c r="O24" s="115">
        <v>22</v>
      </c>
      <c r="P24" s="115">
        <v>23</v>
      </c>
      <c r="Q24" s="115">
        <v>23</v>
      </c>
      <c r="R24" s="115">
        <v>23</v>
      </c>
      <c r="S24" s="115">
        <v>23</v>
      </c>
      <c r="T24" s="115">
        <v>24</v>
      </c>
      <c r="U24" s="115">
        <v>24</v>
      </c>
      <c r="V24" s="115">
        <v>24</v>
      </c>
    </row>
    <row r="25" spans="2:22" ht="15.75" x14ac:dyDescent="0.25">
      <c r="B25" s="112" t="s">
        <v>176</v>
      </c>
      <c r="C25" s="113">
        <v>138</v>
      </c>
      <c r="D25" s="113">
        <v>152</v>
      </c>
      <c r="E25" s="113">
        <v>162</v>
      </c>
      <c r="F25" s="113">
        <v>167</v>
      </c>
      <c r="G25" s="113">
        <v>170</v>
      </c>
      <c r="H25" s="113">
        <v>178</v>
      </c>
      <c r="I25" s="113">
        <v>177</v>
      </c>
      <c r="J25" s="113">
        <v>181</v>
      </c>
      <c r="K25" s="113">
        <v>187</v>
      </c>
      <c r="L25" s="113">
        <v>193</v>
      </c>
      <c r="M25" s="113">
        <v>188</v>
      </c>
      <c r="N25" s="113">
        <v>191</v>
      </c>
      <c r="O25" s="113">
        <v>194</v>
      </c>
      <c r="P25" s="113">
        <v>198</v>
      </c>
      <c r="Q25" s="113">
        <v>200</v>
      </c>
      <c r="R25" s="113">
        <v>202</v>
      </c>
      <c r="S25" s="113">
        <v>204</v>
      </c>
      <c r="T25" s="113">
        <v>205</v>
      </c>
      <c r="U25" s="113">
        <v>207</v>
      </c>
      <c r="V25" s="113">
        <v>210</v>
      </c>
    </row>
    <row r="26" spans="2:22" ht="15.75" x14ac:dyDescent="0.25">
      <c r="B26" s="109" t="s">
        <v>177</v>
      </c>
      <c r="C26" s="110">
        <v>14</v>
      </c>
      <c r="D26" s="110">
        <v>15</v>
      </c>
      <c r="E26" s="110">
        <v>16</v>
      </c>
      <c r="F26" s="110">
        <v>0</v>
      </c>
      <c r="G26" s="110">
        <v>0</v>
      </c>
      <c r="H26" s="110">
        <v>0</v>
      </c>
      <c r="I26" s="110">
        <v>0</v>
      </c>
      <c r="J26" s="110">
        <v>0</v>
      </c>
      <c r="K26" s="110">
        <v>0</v>
      </c>
      <c r="L26" s="110">
        <v>0</v>
      </c>
      <c r="M26" s="110">
        <v>0</v>
      </c>
      <c r="N26" s="110">
        <v>0</v>
      </c>
      <c r="O26" s="110">
        <v>0</v>
      </c>
      <c r="P26" s="110">
        <v>0</v>
      </c>
      <c r="Q26" s="110">
        <v>0</v>
      </c>
      <c r="R26" s="110">
        <v>0</v>
      </c>
      <c r="S26" s="110">
        <v>0</v>
      </c>
      <c r="T26" s="110">
        <v>0</v>
      </c>
      <c r="U26" s="110">
        <v>0</v>
      </c>
      <c r="V26" s="110">
        <v>0</v>
      </c>
    </row>
    <row r="27" spans="2:22" ht="15.75" x14ac:dyDescent="0.25">
      <c r="B27" s="112" t="s">
        <v>178</v>
      </c>
      <c r="C27" s="113">
        <v>125</v>
      </c>
      <c r="D27" s="113">
        <v>137</v>
      </c>
      <c r="E27" s="113">
        <v>145</v>
      </c>
      <c r="F27" s="113">
        <v>167</v>
      </c>
      <c r="G27" s="113">
        <v>170</v>
      </c>
      <c r="H27" s="113">
        <v>178</v>
      </c>
      <c r="I27" s="113">
        <v>177</v>
      </c>
      <c r="J27" s="113">
        <v>181</v>
      </c>
      <c r="K27" s="113">
        <v>187</v>
      </c>
      <c r="L27" s="113">
        <v>193</v>
      </c>
      <c r="M27" s="113">
        <v>188</v>
      </c>
      <c r="N27" s="113">
        <v>191</v>
      </c>
      <c r="O27" s="113">
        <v>194</v>
      </c>
      <c r="P27" s="113">
        <v>198</v>
      </c>
      <c r="Q27" s="113">
        <v>200</v>
      </c>
      <c r="R27" s="113">
        <v>202</v>
      </c>
      <c r="S27" s="113">
        <v>204</v>
      </c>
      <c r="T27" s="113">
        <v>205</v>
      </c>
      <c r="U27" s="113">
        <v>207</v>
      </c>
      <c r="V27" s="113">
        <v>210</v>
      </c>
    </row>
    <row r="29" spans="2:22" ht="15.75" x14ac:dyDescent="0.25">
      <c r="B29" s="117" t="s">
        <v>179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</row>
    <row r="30" spans="2:22" ht="15.75" x14ac:dyDescent="0.25">
      <c r="B30" s="117" t="s">
        <v>180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Impact Summary</vt:lpstr>
      <vt:lpstr>Ratepayer GA Payments</vt:lpstr>
      <vt:lpstr>Summary</vt:lpstr>
      <vt:lpstr>1d</vt:lpstr>
      <vt:lpstr>1e</vt:lpstr>
      <vt:lpstr>Calcs</vt:lpstr>
      <vt:lpstr>Indicative graph</vt:lpstr>
      <vt:lpstr>Residential Bill</vt:lpstr>
      <vt:lpstr>2013 LTEP</vt:lpstr>
      <vt:lpstr>OPG Costs</vt:lpstr>
      <vt:lpstr>RRRP and OESP</vt:lpstr>
      <vt:lpstr>Historical Data</vt:lpstr>
      <vt:lpstr>IESO Cases</vt:lpstr>
      <vt:lpstr>IESO HOEP-GA</vt:lpstr>
      <vt:lpstr>IESO Res Bill</vt:lpstr>
      <vt:lpstr>HOEP-GA POEM Dynamics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Malecki, Justin (ENERGY)</dc:creator>
  <cp:lastModifiedBy>Larissa Ho</cp:lastModifiedBy>
  <dcterms:created xsi:type="dcterms:W3CDTF">2017-01-03T15:59:43Z</dcterms:created>
  <dcterms:modified xsi:type="dcterms:W3CDTF">2017-02-08T20:35:02Z</dcterms:modified>
</cp:coreProperties>
</file>