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drawings/drawing2.xml" ContentType="application/vnd.openxmlformats-officedocument.drawing+xml"/>
  <Override PartName="/xl/comments8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15" yWindow="2070" windowWidth="11685" windowHeight="6765" firstSheet="2" activeTab="7"/>
  </bookViews>
  <sheets>
    <sheet name="Bill Impacts" sheetId="6" r:id="rId1"/>
    <sheet name="2017" sheetId="8" r:id="rId2"/>
    <sheet name="2016" sheetId="5" r:id="rId3"/>
    <sheet name="2015" sheetId="1" r:id="rId4"/>
    <sheet name="2014" sheetId="4" r:id="rId5"/>
    <sheet name="2013" sheetId="7" r:id="rId6"/>
    <sheet name="Effective dates 2016" sheetId="2" r:id="rId7"/>
    <sheet name="500" sheetId="3" r:id="rId8"/>
    <sheet name="1000" sheetId="9" r:id="rId9"/>
    <sheet name="300" sheetId="10" r:id="rId10"/>
  </sheets>
  <definedNames>
    <definedName name="_xlnm._FilterDatabase" localSheetId="0" hidden="1">'Bill Impacts'!$Y$3:$AR$61</definedName>
    <definedName name="solver_eng" localSheetId="2" hidden="1">1</definedName>
    <definedName name="solver_eng" localSheetId="0" hidden="1">1</definedName>
    <definedName name="solver_neg" localSheetId="2" hidden="1">1</definedName>
    <definedName name="solver_neg" localSheetId="0" hidden="1">1</definedName>
    <definedName name="solver_num" localSheetId="2" hidden="1">0</definedName>
    <definedName name="solver_num" localSheetId="0" hidden="1">0</definedName>
    <definedName name="solver_opt" localSheetId="2" hidden="1">'2016'!$H$25</definedName>
    <definedName name="solver_opt" localSheetId="0" hidden="1">'Bill Impacts'!$C$111</definedName>
    <definedName name="solver_typ" localSheetId="2" hidden="1">1</definedName>
    <definedName name="solver_typ" localSheetId="0" hidden="1">1</definedName>
    <definedName name="solver_val" localSheetId="2" hidden="1">0</definedName>
    <definedName name="solver_val" localSheetId="0" hidden="1">0</definedName>
    <definedName name="solver_ver" localSheetId="2" hidden="1">3</definedName>
    <definedName name="solver_ver" localSheetId="0" hidden="1">3</definedName>
  </definedNames>
  <calcPr calcId="145621"/>
  <oleSize ref="A1:Q149"/>
</workbook>
</file>

<file path=xl/comments1.xml><?xml version="1.0" encoding="utf-8"?>
<comments xmlns="http://schemas.openxmlformats.org/spreadsheetml/2006/main">
  <authors>
    <author>Motluk, Stephen (ENERGY)</author>
  </authors>
  <commentList>
    <comment ref="AE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impact on Total Bill</t>
        </r>
      </text>
    </comment>
    <comment ref="AR1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2011 Yearbook</t>
        </r>
      </text>
    </comment>
    <comment ref="AR1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2011 Yearbook</t>
        </r>
      </text>
    </comment>
    <comment ref="AR1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2011 Yearbook</t>
        </r>
      </text>
    </comment>
    <comment ref="A1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Elora slightly reduced DRC .69 cenrs</t>
        </r>
      </text>
    </comment>
    <comment ref="J16" authorId="0">
      <text>
        <r>
          <rPr>
            <b/>
            <sz val="9"/>
            <color indexed="81"/>
            <rFont val="Tahoma"/>
            <charset val="1"/>
          </rPr>
          <t>Motluk, Stephen (ENERGY):</t>
        </r>
        <r>
          <rPr>
            <sz val="9"/>
            <color indexed="81"/>
            <rFont val="Tahoma"/>
            <charset val="1"/>
          </rPr>
          <t xml:space="preserve">
2015</t>
        </r>
      </text>
    </comment>
    <comment ref="K16" authorId="0">
      <text>
        <r>
          <rPr>
            <b/>
            <sz val="9"/>
            <color indexed="81"/>
            <rFont val="Tahoma"/>
            <charset val="1"/>
          </rPr>
          <t>Motluk, Stephen (ENERGY):</t>
        </r>
        <r>
          <rPr>
            <sz val="9"/>
            <color indexed="81"/>
            <rFont val="Tahoma"/>
            <charset val="1"/>
          </rPr>
          <t xml:space="preserve">
2015</t>
        </r>
      </text>
    </comment>
    <comment ref="L16" authorId="0">
      <text>
        <r>
          <rPr>
            <b/>
            <sz val="9"/>
            <color indexed="81"/>
            <rFont val="Tahoma"/>
            <charset val="1"/>
          </rPr>
          <t>Motluk, Stephen (ENERGY):</t>
        </r>
        <r>
          <rPr>
            <sz val="9"/>
            <color indexed="81"/>
            <rFont val="Tahoma"/>
            <charset val="1"/>
          </rPr>
          <t xml:space="preserve">
2015</t>
        </r>
      </text>
    </comment>
    <comment ref="AR2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2010 Yearbook</t>
        </r>
      </text>
    </comment>
    <comment ref="A2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Strathroy, Mount Brydges, Parkhill</t>
        </r>
      </text>
    </comment>
    <comment ref="AR2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2010 yearbook</t>
        </r>
      </text>
    </comment>
    <comment ref="AR2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2006 yearbook</t>
        </r>
      </text>
    </comment>
    <comment ref="AR2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2006 yearbook</t>
        </r>
      </text>
    </comment>
    <comment ref="J29" authorId="0">
      <text>
        <r>
          <rPr>
            <b/>
            <sz val="9"/>
            <color indexed="81"/>
            <rFont val="Tahoma"/>
            <charset val="1"/>
          </rPr>
          <t>Motluk, Stephen (ENERGY):</t>
        </r>
        <r>
          <rPr>
            <sz val="9"/>
            <color indexed="81"/>
            <rFont val="Tahoma"/>
            <charset val="1"/>
          </rPr>
          <t xml:space="preserve">
2015</t>
        </r>
      </text>
    </comment>
    <comment ref="K29" authorId="0">
      <text>
        <r>
          <rPr>
            <b/>
            <sz val="9"/>
            <color indexed="81"/>
            <rFont val="Tahoma"/>
            <charset val="1"/>
          </rPr>
          <t>Motluk, Stephen (ENERGY):</t>
        </r>
        <r>
          <rPr>
            <sz val="9"/>
            <color indexed="81"/>
            <rFont val="Tahoma"/>
            <charset val="1"/>
          </rPr>
          <t xml:space="preserve">
2015</t>
        </r>
      </text>
    </comment>
    <comment ref="L29" authorId="0">
      <text>
        <r>
          <rPr>
            <b/>
            <sz val="9"/>
            <color indexed="81"/>
            <rFont val="Tahoma"/>
            <charset val="1"/>
          </rPr>
          <t>Motluk, Stephen (ENERGY):</t>
        </r>
        <r>
          <rPr>
            <sz val="9"/>
            <color indexed="81"/>
            <rFont val="Tahoma"/>
            <charset val="1"/>
          </rPr>
          <t xml:space="preserve">
2015</t>
        </r>
      </text>
    </comment>
    <comment ref="AR4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2015 from 2015-2019 application table E.4 Exh A tab 16, Sch 2 p.40 of 45.</t>
        </r>
      </text>
    </comment>
    <comment ref="AR4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2015 from 2015-2019 application table E.4 Exh A tab 16, Sch 2 p.40 of 45.</t>
        </r>
      </text>
    </comment>
    <comment ref="AR4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2015 from 2015-2019 application table E.4 Exh A tab 16, Sch 2 p.40 of 45.</t>
        </r>
      </text>
    </comment>
    <comment ref="AR4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2015 from 2015-2019 application table E.4 Exh A tab 16, Sch 2 p.40 of 45.</t>
        </r>
      </text>
    </comment>
    <comment ref="AR4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2013 forecast Res Non Std A cust from 2013 COS application Exh G1, Tab 1, Sch 3 p 4 of 8, table 1.</t>
        </r>
      </text>
    </comment>
    <comment ref="A5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Bracebridge reduced DRC 0.46 cents</t>
        </r>
      </text>
    </comment>
    <comment ref="J6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interim 2014 less expiring riders</t>
        </r>
      </text>
    </comment>
    <comment ref="A6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Interim 2015</t>
        </r>
      </text>
    </comment>
    <comment ref="AR7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Powerstream 2016 application, part 4, pdf pg 118 - Section III, tab 1, sch 1, p.118 of 366.</t>
        </r>
      </text>
    </comment>
    <comment ref="AR7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2014 yearbook less Barrie</t>
        </r>
      </text>
    </comment>
    <comment ref="J79" authorId="0">
      <text>
        <r>
          <rPr>
            <b/>
            <sz val="9"/>
            <color indexed="81"/>
            <rFont val="Tahoma"/>
            <charset val="1"/>
          </rPr>
          <t>Motluk, Stephen (ENERGY):</t>
        </r>
        <r>
          <rPr>
            <sz val="9"/>
            <color indexed="81"/>
            <rFont val="Tahoma"/>
            <charset val="1"/>
          </rPr>
          <t xml:space="preserve">
2015</t>
        </r>
      </text>
    </comment>
    <comment ref="K79" authorId="0">
      <text>
        <r>
          <rPr>
            <b/>
            <sz val="9"/>
            <color indexed="81"/>
            <rFont val="Tahoma"/>
            <charset val="1"/>
          </rPr>
          <t>Motluk, Stephen (ENERGY):</t>
        </r>
        <r>
          <rPr>
            <sz val="9"/>
            <color indexed="81"/>
            <rFont val="Tahoma"/>
            <charset val="1"/>
          </rPr>
          <t xml:space="preserve">
2015</t>
        </r>
      </text>
    </comment>
    <comment ref="L79" authorId="0">
      <text>
        <r>
          <rPr>
            <b/>
            <sz val="9"/>
            <color indexed="81"/>
            <rFont val="Tahoma"/>
            <charset val="1"/>
          </rPr>
          <t>Motluk, Stephen (ENERGY):</t>
        </r>
        <r>
          <rPr>
            <sz val="9"/>
            <color indexed="81"/>
            <rFont val="Tahoma"/>
            <charset val="1"/>
          </rPr>
          <t xml:space="preserve">
2015</t>
        </r>
      </text>
    </comment>
    <comment ref="J80" authorId="0">
      <text>
        <r>
          <rPr>
            <b/>
            <sz val="9"/>
            <color indexed="81"/>
            <rFont val="Tahoma"/>
            <charset val="1"/>
          </rPr>
          <t>Motluk, Stephen (ENERGY):</t>
        </r>
        <r>
          <rPr>
            <sz val="9"/>
            <color indexed="81"/>
            <rFont val="Tahoma"/>
            <charset val="1"/>
          </rPr>
          <t xml:space="preserve">
2015</t>
        </r>
      </text>
    </comment>
    <comment ref="K80" authorId="0">
      <text>
        <r>
          <rPr>
            <b/>
            <sz val="9"/>
            <color indexed="81"/>
            <rFont val="Tahoma"/>
            <charset val="1"/>
          </rPr>
          <t>Motluk, Stephen (ENERGY):</t>
        </r>
        <r>
          <rPr>
            <sz val="9"/>
            <color indexed="81"/>
            <rFont val="Tahoma"/>
            <charset val="1"/>
          </rPr>
          <t xml:space="preserve">
2015</t>
        </r>
      </text>
    </comment>
    <comment ref="L80" authorId="0">
      <text>
        <r>
          <rPr>
            <b/>
            <sz val="9"/>
            <color indexed="81"/>
            <rFont val="Tahoma"/>
            <charset val="1"/>
          </rPr>
          <t>Motluk, Stephen (ENERGY):</t>
        </r>
        <r>
          <rPr>
            <sz val="9"/>
            <color indexed="81"/>
            <rFont val="Tahoma"/>
            <charset val="1"/>
          </rPr>
          <t xml:space="preserve">
2015</t>
        </r>
      </text>
    </comment>
    <comment ref="A9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Exclude Remotes</t>
        </r>
      </text>
    </comment>
    <comment ref="A9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Excluding </t>
        </r>
        <r>
          <rPr>
            <b/>
            <sz val="9"/>
            <color indexed="81"/>
            <rFont val="Tahoma"/>
            <family val="2"/>
          </rPr>
          <t>Remotes</t>
        </r>
        <r>
          <rPr>
            <sz val="9"/>
            <color indexed="81"/>
            <rFont val="Tahoma"/>
            <family val="2"/>
          </rPr>
          <t>, Ottawa River, TH, Oshawa, Newmarket-Tay, Hearst.</t>
        </r>
      </text>
    </comment>
    <comment ref="C12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4 are H1 (R1, R2, UR, Seas)</t>
        </r>
      </text>
    </comment>
  </commentList>
</comments>
</file>

<file path=xl/comments10.xml><?xml version="1.0" encoding="utf-8"?>
<comments xmlns="http://schemas.openxmlformats.org/spreadsheetml/2006/main">
  <authors>
    <author>Motluk, Stephen (ENERGY)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service charge + riders</t>
        </r>
      </text>
    </comment>
    <comment ref="G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riders</t>
        </r>
      </text>
    </comment>
    <comment ref="I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 means Dx calc consistent with OEB Ministry BI Report dated Sep 21, 2015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Non-farm residential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Strathroy, Mount Brydges, Parkhill</t>
        </r>
      </text>
    </comment>
    <comment ref="I3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$38.41 - incorrectly assigns Clinton rate rider to entire LDC.</t>
        </r>
      </text>
    </comment>
    <comment ref="I3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Not avialble in BI report</t>
        </r>
      </text>
    </comment>
    <comment ref="D4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late</t>
        </r>
      </text>
    </comment>
    <comment ref="C4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D4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</t>
        </r>
      </text>
    </comment>
    <comment ref="F4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$2.23 monthly charge for ice storm costs expires on Oct 31, 2016. </t>
        </r>
      </text>
    </comment>
    <comment ref="C4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hold-over from 2015</t>
        </r>
      </text>
    </comment>
    <comment ref="I4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$25.07? I have double checked tariff sheet. Perhaps BI has not updated interim rate.</t>
        </r>
      </text>
    </comment>
    <comment ref="F4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Not including 0.26 rider ending June 20, 2016
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$34.44? Diference is $0.26 rider expiring June 30, 2016.</t>
        </r>
      </text>
    </comment>
    <comment ref="F5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31.50 RRRP subsidy</t>
        </r>
      </text>
    </comment>
    <comment ref="B5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Non-Std A Year Round Res - R2</t>
        </r>
      </text>
    </comment>
    <comment ref="F5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Remotes has bundled electricity rates.</t>
        </r>
      </text>
    </comment>
    <comment ref="F5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Remotes has bundled electricity rates.</t>
        </r>
      </text>
    </comment>
    <comment ref="I5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$25.83? I have double checked tariff sheet. Perhaps BI has not updated interim rate.</t>
        </r>
      </text>
    </comment>
    <comment ref="E5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Settlement</t>
        </r>
      </text>
    </comment>
    <comment ref="B6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under appeal</t>
        </r>
      </text>
    </comment>
    <comment ref="D6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Effective May 1, Implemented Sept 1.</t>
        </r>
      </text>
    </comment>
    <comment ref="C6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I7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$26.07. I have not included riders expiring on June 30, 2016.</t>
        </r>
      </text>
    </comment>
    <comment ref="B7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interim</t>
        </r>
      </text>
    </comment>
    <comment ref="C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Year 1 rates effective jan 1  - no year 2</t>
        </r>
      </text>
    </comment>
    <comment ref="I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$23.76. I have double checked RO and can't reporoduce.</t>
        </r>
      </text>
    </comment>
    <comment ref="D7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Implemented July1</t>
        </r>
      </text>
    </comment>
    <comment ref="B7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Now Lakeland</t>
        </r>
      </text>
    </comment>
    <comment ref="I7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$24.89. OEB omits a rider applicable to non-wholesale mkt.</t>
        </r>
      </text>
    </comment>
    <comment ref="C8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The CIR was denied. 2016 was IRM and 2017 was COS.</t>
        </r>
      </text>
    </comment>
    <comment ref="F8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som riders end Dec 2016</t>
        </r>
      </text>
    </comment>
    <comment ref="I8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Slightly off, OEB BI reports $22.48. Double checked RO. </t>
        </r>
      </text>
    </comment>
    <comment ref="C8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Still waiting 2015</t>
        </r>
      </text>
    </comment>
    <comment ref="C9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I9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Slightly off, OEB BI reports $31.75. Double checked RO. </t>
        </r>
      </text>
    </comment>
  </commentList>
</comments>
</file>

<file path=xl/comments2.xml><?xml version="1.0" encoding="utf-8"?>
<comments xmlns="http://schemas.openxmlformats.org/spreadsheetml/2006/main">
  <authors>
    <author>Motluk, Stephen (ENERGY)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service charge + riders</t>
        </r>
      </text>
    </comment>
    <comment ref="G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riders</t>
        </r>
      </text>
    </comment>
    <comment ref="I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 means Dx calc consistent with OEB Ministry BI Report dated Sep 21, 2015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Ends Dec 31, 2015. See O. Reg. 493/01 for exemptions.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Non-farm residential</t>
        </r>
      </text>
    </comment>
    <comment ref="M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old Reg Charge for Decisions prior to Dec15 2016.</t>
        </r>
      </text>
    </comment>
    <comment ref="O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1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A1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Merged-Energy+</t>
        </r>
      </text>
    </comment>
    <comment ref="O1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1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1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A1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Merged-Energy+</t>
        </r>
      </text>
    </comment>
    <comment ref="O1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1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1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1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1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2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M2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old Reg Charge for Decisions prior to Dec15 2016.</t>
        </r>
      </text>
    </comment>
    <comment ref="O2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2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A2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Merged-"Alectra"</t>
        </r>
      </text>
    </comment>
    <comment ref="M2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>with updated RRRP.</t>
        </r>
      </text>
    </comment>
    <comment ref="O2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2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B2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Strathroy, Mount Brydges, Parkhill</t>
        </r>
      </text>
    </comment>
    <comment ref="O2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2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2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2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3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3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3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M3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old Reg Charge for Decisions prior to Dec15 2016.</t>
        </r>
      </text>
    </comment>
    <comment ref="O3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3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Fort Frances has a rebate based on hystroical mill agreement of 1.75 cents / kWh. Note OEB BI Report has incorrect power price.</t>
        </r>
      </text>
    </comment>
    <comment ref="O3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M3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>with updated RRRP.</t>
        </r>
      </text>
    </comment>
    <comment ref="O3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M3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old Reg Charge for Decisions prior to Dec15 2016.</t>
        </r>
      </text>
    </comment>
    <comment ref="O3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A4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Acquired-Hydro One</t>
        </r>
      </text>
    </comment>
    <comment ref="C4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M4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>with updated RRRP.</t>
        </r>
      </text>
    </comment>
    <comment ref="O4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F4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$2.23 monthly charge for ice storm costs expires on Oct 31, 2016. </t>
        </r>
      </text>
    </comment>
    <comment ref="O4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4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A4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Merged-'Alectra'</t>
        </r>
      </text>
    </comment>
    <comment ref="O4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F4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Not including 0.26 rider ending June 20, 2016
</t>
        </r>
      </text>
    </comment>
    <comment ref="C4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interim due to over-earning (19.72%) </t>
        </r>
      </text>
    </comment>
    <comment ref="M4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old Reg Charge for Decisions prior to Dec15 2016.</t>
        </r>
      </text>
    </comment>
    <comment ref="O4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A4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Merged-"Alectra"</t>
        </r>
      </text>
    </comment>
    <comment ref="M4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old Reg Charge for Decisions prior to Dec15 2016.</t>
        </r>
      </text>
    </comment>
    <comment ref="O4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M4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>with updated RRRP.</t>
        </r>
      </text>
    </comment>
    <comment ref="O4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F4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60.50 RRRP subsidy</t>
        </r>
      </text>
    </comment>
    <comment ref="M4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>with updated RRRP.</t>
        </r>
      </text>
    </comment>
    <comment ref="O4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M4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>with updated RRRP.</t>
        </r>
      </text>
    </comment>
    <comment ref="O4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M5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>with updated RRRP.</t>
        </r>
      </text>
    </comment>
    <comment ref="O5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B5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Non-Std A Year Round Res - R2</t>
        </r>
      </text>
    </comment>
    <comment ref="F5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Remotes has bundled electricity rates.</t>
        </r>
      </text>
    </comment>
    <comment ref="M5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OESP only</t>
        </r>
      </text>
    </comment>
    <comment ref="F5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Remotes has bundled electricity rates.</t>
        </r>
      </text>
    </comment>
    <comment ref="M5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OESP only</t>
        </r>
      </text>
    </comment>
    <comment ref="M5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>with updated RRRP.</t>
        </r>
      </text>
    </comment>
    <comment ref="O5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5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5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E5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Settlement</t>
        </r>
      </text>
    </comment>
    <comment ref="M5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>with updated RRRP.</t>
        </r>
      </text>
    </comment>
    <comment ref="O5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M5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old Reg Charge for Decisions prior to Dec15 2016.</t>
        </r>
      </text>
    </comment>
    <comment ref="O5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M5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>with updated RRRP.</t>
        </r>
      </text>
    </comment>
    <comment ref="O5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B6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Except for Parry Sound</t>
        </r>
      </text>
    </comment>
    <comment ref="M6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old Reg Charge for Decisions prior to Dec15 2016.</t>
        </r>
      </text>
    </comment>
    <comment ref="O6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6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6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B6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under appeal</t>
        </r>
      </text>
    </comment>
    <comment ref="D6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Effective May 1, Implemented Sept 1.</t>
        </r>
      </text>
    </comment>
    <comment ref="O6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6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O6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X6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reverse these</t>
        </r>
      </text>
    </comment>
    <comment ref="C6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M6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>with updated RRRP.</t>
        </r>
      </text>
    </comment>
    <comment ref="O6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F6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excludes stranded meter rider, which ends June 2016</t>
        </r>
      </text>
    </comment>
    <comment ref="G6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excludes several riders ending June 30 2016</t>
        </r>
      </text>
    </comment>
    <comment ref="O6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B7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interim</t>
        </r>
      </text>
    </comment>
    <comment ref="M7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>with updated RRRP.</t>
        </r>
      </text>
    </comment>
    <comment ref="O7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M7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>with updated RRRP.</t>
        </r>
      </text>
    </comment>
    <comment ref="O7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A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Merged-Lakeland</t>
        </r>
      </text>
    </comment>
    <comment ref="B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Now Lakeland</t>
        </r>
      </text>
    </comment>
    <comment ref="M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old Reg Charge for Decisions prior to Dec15 2016.</t>
        </r>
      </text>
    </comment>
    <comment ref="O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C78" authorId="0">
      <text>
        <r>
          <rPr>
            <b/>
            <sz val="9"/>
            <color indexed="81"/>
            <rFont val="Tahoma"/>
            <family val="2"/>
          </rPr>
          <t xml:space="preserve">Motluk, Stephen (ENERGY): </t>
        </r>
        <r>
          <rPr>
            <sz val="9"/>
            <color indexed="81"/>
            <rFont val="Tahoma"/>
            <family val="2"/>
          </rPr>
          <t xml:space="preserve">CIR denied, set based on IRM/RR in decision.
</t>
        </r>
      </text>
    </comment>
    <comment ref="M7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old Reg Charge for Decisions prior to Dec15 2016.</t>
        </r>
      </text>
    </comment>
    <comment ref="O7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M8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old Reg Charge for Decisions prior to Dec15 2016.</t>
        </r>
      </text>
    </comment>
    <comment ref="O8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F8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0.08 rate rider for Smart Meter costs ends April 30, 2017.</t>
        </r>
      </text>
    </comment>
    <comment ref="M8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>with updated RRRP.</t>
        </r>
      </text>
    </comment>
    <comment ref="O8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M8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old Reg Charge for Decisions prior to Dec15 2016.</t>
        </r>
      </text>
    </comment>
    <comment ref="O8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M9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>with updated RRRP.</t>
        </r>
      </text>
    </comment>
    <comment ref="O9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  <comment ref="C9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M9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>with updated RRRP.</t>
        </r>
      </text>
    </comment>
    <comment ref="O9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May 1 2016</t>
        </r>
      </text>
    </comment>
  </commentList>
</comments>
</file>

<file path=xl/comments3.xml><?xml version="1.0" encoding="utf-8"?>
<comments xmlns="http://schemas.openxmlformats.org/spreadsheetml/2006/main">
  <authors>
    <author>Motluk, Stephen (ENERGY)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service charge + riders</t>
        </r>
      </text>
    </comment>
    <comment ref="G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riders</t>
        </r>
      </text>
    </comment>
    <comment ref="I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 means Dx calc consistent with OEB Ministry BI Report dated Sep 21, 2015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Non-farm residential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Strathroy, Mount Brydges, Parkhill</t>
        </r>
      </text>
    </comment>
    <comment ref="I3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$38.41 - incorrectly assigns Clinton rate rider to entire LDC.</t>
        </r>
      </text>
    </comment>
    <comment ref="I3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Not avialble in BI report</t>
        </r>
      </text>
    </comment>
    <comment ref="D4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late</t>
        </r>
      </text>
    </comment>
    <comment ref="C4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D4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</t>
        </r>
      </text>
    </comment>
    <comment ref="F4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$2.23 monthly charge for ice storm costs expires on Oct 31, 2016. </t>
        </r>
      </text>
    </comment>
    <comment ref="C4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hold-over from 2015</t>
        </r>
      </text>
    </comment>
    <comment ref="I4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$25.07? I have double checked tariff sheet. Perhaps BI has not updated interim rate.</t>
        </r>
      </text>
    </comment>
    <comment ref="F4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Not including 0.26 rider ending June 20, 2016
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$34.44? Diference is $0.26 rider expiring June 30, 2016.</t>
        </r>
      </text>
    </comment>
    <comment ref="F5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31.50 RRRP subsidy</t>
        </r>
      </text>
    </comment>
    <comment ref="B5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Non-Std A Year Round Res - R2</t>
        </r>
      </text>
    </comment>
    <comment ref="F5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Remotes has bundled electricity rates.</t>
        </r>
      </text>
    </comment>
    <comment ref="F5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Remotes has bundled electricity rates.</t>
        </r>
      </text>
    </comment>
    <comment ref="I5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$25.83? I have double checked tariff sheet. Perhaps BI has not updated interim rate.</t>
        </r>
      </text>
    </comment>
    <comment ref="E5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Settlement</t>
        </r>
      </text>
    </comment>
    <comment ref="B6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under appeal</t>
        </r>
      </text>
    </comment>
    <comment ref="D6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Effective May 1, Implemented Sept 1.</t>
        </r>
      </text>
    </comment>
    <comment ref="S6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reverse these</t>
        </r>
      </text>
    </comment>
    <comment ref="C6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I7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$26.07. I have not included riders expiring on June 30, 2016.</t>
        </r>
      </text>
    </comment>
    <comment ref="B7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interim</t>
        </r>
      </text>
    </comment>
    <comment ref="C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Year 1 rates effective jan 1  - no year 2</t>
        </r>
      </text>
    </comment>
    <comment ref="I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$23.76. I have double checked RO and can't reporoduce.</t>
        </r>
      </text>
    </comment>
    <comment ref="D7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Implemented July1</t>
        </r>
      </text>
    </comment>
    <comment ref="B7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Now Lakeland</t>
        </r>
      </text>
    </comment>
    <comment ref="I7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$24.89. OEB omits a rider applicable to non-wholesale mkt.</t>
        </r>
      </text>
    </comment>
    <comment ref="C8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The CIR was denied. 2016 was IRM and 2017 was COS.</t>
        </r>
      </text>
    </comment>
    <comment ref="F8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som riders end Dec 2016</t>
        </r>
      </text>
    </comment>
    <comment ref="I8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Slightly off, OEB BI reports $22.48. Double checked RO. </t>
        </r>
      </text>
    </comment>
    <comment ref="C8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Still waiting 2015</t>
        </r>
      </text>
    </comment>
    <comment ref="C9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I9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Slightly off, OEB BI reports $31.75. Double checked RO. </t>
        </r>
      </text>
    </comment>
  </commentList>
</comments>
</file>

<file path=xl/comments4.xml><?xml version="1.0" encoding="utf-8"?>
<comments xmlns="http://schemas.openxmlformats.org/spreadsheetml/2006/main">
  <authors>
    <author>Motluk, Stephen (ENERGY)</author>
  </authors>
  <commentList>
    <comment ref="E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service charge + riders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riders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 means Dx calc consistent with OEB Ministry BI Report dated Sep 21, 2015</t>
        </r>
      </text>
    </comment>
    <comment ref="M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Ends Dec 31, 2015. See O. Reg. 493/01 for exemptions.</t>
        </r>
      </text>
    </comment>
    <comment ref="C1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Z-factor</t>
        </r>
      </text>
    </comment>
    <comment ref="E1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0.38 for ice storm</t>
        </r>
      </text>
    </comment>
    <comment ref="H1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doesn't include Z-factor adjustment</t>
        </r>
      </text>
    </comment>
    <comment ref="M1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DRC=0.051</t>
        </r>
      </text>
    </comment>
    <comment ref="M1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DRC=0.0</t>
        </r>
      </text>
    </comment>
    <comment ref="B2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Strathroy, Mount Brydges, Parkhill</t>
        </r>
      </text>
    </comment>
    <comment ref="M3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0.47 cents</t>
        </r>
      </text>
    </comment>
    <comment ref="N3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Fort Frances has a rebate based on hystroical mill agreement of 1.75 cents / kWh. Note OEB BI Report has incorrect power price.</t>
        </r>
      </text>
    </comment>
    <comment ref="H4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does include z-factor adjustment (unlike Burlington).</t>
        </r>
      </text>
    </comment>
    <comment ref="M4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weighted for Hamilton 0.7 and St. cath at 0.68 by 2005 res kWh billings.</t>
        </r>
      </text>
    </comment>
    <comment ref="D4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Implemented May 1 2015</t>
        </r>
      </text>
    </comment>
    <comment ref="D4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Implemented May 1 2015</t>
        </r>
      </text>
    </comment>
    <comment ref="E4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RRRP subsidy of $31.50</t>
        </r>
      </text>
    </comment>
    <comment ref="D4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Implemented May 1 2015</t>
        </r>
      </text>
    </comment>
    <comment ref="D5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Implemented May 1 2015</t>
        </r>
      </text>
    </comment>
    <comment ref="E5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Remotes has bundled electricity rates.</t>
        </r>
      </text>
    </comment>
    <comment ref="M5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Hydro Elec Comm Ottawa = 0.69 cents. HO website says .694 cents.</t>
        </r>
      </text>
    </comment>
    <comment ref="H5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out by 4 cents?</t>
        </r>
      </text>
    </comment>
    <comment ref="H6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not in Ministry Sept BI Report</t>
        </r>
      </text>
    </comment>
    <comment ref="B6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Effective Dec 1,  2015.</t>
        </r>
      </text>
    </comment>
    <comment ref="E6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z-factor</t>
        </r>
      </text>
    </comment>
    <comment ref="M7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Orillia = 0.49 cents</t>
        </r>
      </text>
    </comment>
    <comment ref="B7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Now Lakeland</t>
        </r>
      </text>
    </comment>
    <comment ref="M7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Parry Sound = 0.65 cents</t>
        </r>
      </text>
    </comment>
    <comment ref="U7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Now Lakeland</t>
        </r>
      </text>
    </comment>
    <comment ref="V7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pro-rated based on 2013.</t>
        </r>
      </text>
    </comment>
    <comment ref="M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Peterborough = 0.67 cents</t>
        </r>
      </text>
    </comment>
    <comment ref="H7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Barrie &amp; South reversed on OEB Report.</t>
        </r>
      </text>
    </comment>
    <comment ref="H7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Barrie &amp; South reversed on OEB Report.</t>
        </r>
      </text>
    </comment>
    <comment ref="M7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SSM = 0.2 cents</t>
        </r>
      </text>
    </comment>
    <comment ref="M7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Renfrew = 0.61 cents</t>
        </r>
      </text>
    </comment>
    <comment ref="E8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Removed expiring riders Apr. 30</t>
        </r>
      </text>
    </comment>
    <comment ref="F8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Removed expiring riders Apr. 30</t>
        </r>
      </text>
    </comment>
    <comment ref="Q8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From 2014</t>
        </r>
      </text>
    </comment>
    <comment ref="H8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out by 2 cents</t>
        </r>
      </text>
    </comment>
    <comment ref="D10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3 James Bay + ORPC</t>
        </r>
      </text>
    </comment>
    <comment ref="B10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excluding remotes</t>
        </r>
      </text>
    </comment>
  </commentList>
</comments>
</file>

<file path=xl/comments5.xml><?xml version="1.0" encoding="utf-8"?>
<comments xmlns="http://schemas.openxmlformats.org/spreadsheetml/2006/main">
  <authors>
    <author>Motluk, Stephen (ENERGY)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service charge + riders</t>
        </r>
      </text>
    </comment>
    <comment ref="G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riders</t>
        </r>
      </text>
    </comment>
    <comment ref="I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 means Dx calc consistent with OEB Ministry BI Report dated Sep 21, 2015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Ends Dec 31, 2015. See O. Reg. 493/01 for exemptions.</t>
        </r>
      </text>
    </comment>
    <comment ref="D1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Application for 2013 rates becames effective March 1, 2014 - EB-2012-0109</t>
        </r>
      </text>
    </comment>
    <comment ref="E1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Implemented August 1</t>
        </r>
      </text>
    </comment>
    <comment ref="N1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0.51 cents - Granite Power</t>
        </r>
      </text>
    </comment>
    <comment ref="N1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0 cents - Canadian Niagara Power (Fort Erie)</t>
        </r>
      </text>
    </comment>
    <comment ref="B1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Elora slightly reduced DRC .69 cenrs</t>
        </r>
      </text>
    </comment>
    <comment ref="G2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exclude negative rider that expies April 30.</t>
        </r>
      </text>
    </comment>
    <comment ref="G2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excludes rider ending Jan 31, 2014</t>
        </r>
      </text>
    </comment>
    <comment ref="B2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Strathroy, Mount Brydges, Parkhill</t>
        </r>
      </text>
    </comment>
    <comment ref="D2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IRM-DA varied by Board Panel on appeal.</t>
        </r>
      </text>
    </comment>
    <comment ref="E2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Originally May 1</t>
        </r>
      </text>
    </comment>
    <comment ref="F3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one time rebate per customer  of $7.69/12 </t>
        </r>
      </text>
    </comment>
    <comment ref="L3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substantially different from BI Report amount for delivery but double checked against "final" rate order</t>
        </r>
      </text>
    </comment>
    <comment ref="F3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one time rebate per customer  of $1.76/12 </t>
        </r>
      </text>
    </comment>
    <comment ref="N3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0.47 cents</t>
        </r>
      </text>
    </comment>
    <comment ref="O3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Fort Frances has a rebate based on hystroical mill agreement of 1.75 cents / kWh. Note OEB BI Report has incorrect power price.</t>
        </r>
      </text>
    </comment>
    <comment ref="D4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 Decision for 2014 - 2013 rates</t>
        </r>
      </text>
    </comment>
    <comment ref="G4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excludes rider expiring April 30 2014</t>
        </r>
      </text>
    </comment>
    <comment ref="N4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weighted for Hamilton 0.7 and St. cath at 0.68 by 2005 res kWh billings.</t>
        </r>
      </text>
    </comment>
    <comment ref="F4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excluding rebate rider (1.35)  ending April 30, 2014</t>
        </r>
      </text>
    </comment>
    <comment ref="G4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Excluding  rider ending April 30, 2014</t>
        </r>
      </text>
    </comment>
    <comment ref="F5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RRRP subsidy of $28.50</t>
        </r>
      </text>
    </comment>
    <comment ref="F5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Remotes has bundled electricity rates.</t>
        </r>
      </text>
    </comment>
    <comment ref="N5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Hydro Elec Comm Ottawa = 0.69 cents. HO website says .694 cents.</t>
        </r>
      </text>
    </comment>
    <comment ref="G5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excludes riders expring April 30, 2014.</t>
        </r>
      </text>
    </comment>
    <comment ref="F5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excludes rider expiring April 30 2014</t>
        </r>
      </text>
    </comment>
    <comment ref="G5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excludes riders expiring April 30 2014</t>
        </r>
      </text>
    </comment>
    <comment ref="B6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Bracebridge reduced DRC 0.46 cents</t>
        </r>
      </text>
    </comment>
    <comment ref="E6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Z-factor effective Nov 1.</t>
        </r>
      </text>
    </comment>
    <comment ref="F6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excludes ice-storm z-factor of $1.09 because came effective Nov 1</t>
        </r>
      </text>
    </comment>
    <comment ref="D69" authorId="0">
      <text>
        <r>
          <rPr>
            <b/>
            <sz val="9"/>
            <color indexed="81"/>
            <rFont val="Tahoma"/>
            <family val="2"/>
          </rPr>
          <t>Motluk, Stephen (ENERGY):No rate change 2013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excludes riders expiring Apr 30 2014</t>
        </r>
      </text>
    </comment>
    <comment ref="N7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Orillia = 0.49 cents</t>
        </r>
      </text>
    </comment>
    <comment ref="N7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weighted average of Pembroke, Almonte, Killaloe &amp; Beachburg from ORPC website DRC rates and Census number of households.</t>
        </r>
      </text>
    </comment>
    <comment ref="N7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Parry Sound = 0.65 cents</t>
        </r>
      </text>
    </comment>
    <comment ref="N7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Peterborough = 0.67 cents</t>
        </r>
      </text>
    </comment>
    <comment ref="N8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SSM = 0.2 cents</t>
        </r>
      </text>
    </comment>
    <comment ref="N8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Renfrew = 0.61 cents</t>
        </r>
      </text>
    </comment>
    <comment ref="F9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excludes rider ending Apr '14</t>
        </r>
      </text>
    </comment>
    <comment ref="B10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excluding remotes</t>
        </r>
      </text>
    </comment>
  </commentList>
</comments>
</file>

<file path=xl/comments6.xml><?xml version="1.0" encoding="utf-8"?>
<comments xmlns="http://schemas.openxmlformats.org/spreadsheetml/2006/main">
  <authors>
    <author>Motluk, Stephen (ENERGY)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service charge + riders</t>
        </r>
      </text>
    </comment>
    <comment ref="G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riders</t>
        </r>
      </text>
    </comment>
    <comment ref="M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Ends Dec 31, 2015. See O. Reg. 493/01 for exemptions.</t>
        </r>
      </text>
    </comment>
    <comment ref="E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Impl May 1</t>
        </r>
      </text>
    </comment>
    <comment ref="T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Can't reconcile OEB BI (Sept-21)??? Even with riders???</t>
        </r>
      </text>
    </comment>
    <comment ref="E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Use after smart meter decision July 1</t>
        </r>
      </text>
    </comment>
    <comment ref="T1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T1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B1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adjusted SMIRR rider from motion to review and vary</t>
        </r>
      </text>
    </comment>
    <comment ref="T1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M1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0.51 cents - Granite Power</t>
        </r>
      </text>
    </comment>
    <comment ref="M1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0 cents - Canadian Niagara Power (Fort Erie)</t>
        </r>
      </text>
    </comment>
    <comment ref="B1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Elora slightly reduced DRC .69 cenrs</t>
        </r>
      </text>
    </comment>
    <comment ref="T1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T2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T2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L2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Jan 1 rates diff</t>
        </r>
      </text>
    </comment>
    <comment ref="T2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 within $.30. Likely due to OEB BI report retaining rider ending April 30, 2013</t>
        </r>
      </text>
    </comment>
    <comment ref="B2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Strathroy, Mount Brydges, Parkhill</t>
        </r>
      </text>
    </comment>
    <comment ref="T2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T3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T3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M3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0.47 cents</t>
        </r>
      </text>
    </comment>
    <comment ref="N3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Fort Frances has a rebate based on hystroical mill agreement of 1.75 cents / kWh. Note OEB BI Report has incorrect power price.</t>
        </r>
      </text>
    </comment>
    <comment ref="L4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Jan 1 rates diff</t>
        </r>
      </text>
    </comment>
    <comment ref="T4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is slightly off. Likely due to OEB BI report retaining rider ending April 30, 2013</t>
        </r>
      </text>
    </comment>
    <comment ref="T4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L4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Jan 1 rates diff</t>
        </r>
      </text>
    </comment>
    <comment ref="M4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weighted for Hamilton 0.7 and St. cath at 0.68 by 2005 res kWh billings.</t>
        </r>
      </text>
    </comment>
    <comment ref="T4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is slightly off. Likely due to OEB BI report retaining rider ending April 30, 2013</t>
        </r>
      </text>
    </comment>
    <comment ref="T4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T4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L4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Jan 1 rates diff</t>
        </r>
      </text>
    </comment>
    <comment ref="T4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is slightly off. </t>
        </r>
      </text>
    </comment>
    <comment ref="L5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Jan 1 rates diff</t>
        </r>
      </text>
    </comment>
    <comment ref="T5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Can't reconcile OEB BI - Looks like OEB did not apply RRRP?</t>
        </r>
      </text>
    </comment>
    <comment ref="L5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Jan 1 rates diff</t>
        </r>
      </text>
    </comment>
    <comment ref="L5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Jan 1 rates diff</t>
        </r>
      </text>
    </comment>
    <comment ref="T5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is slightly off. </t>
        </r>
      </text>
    </comment>
    <comment ref="L5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Jan 1 rates diff</t>
        </r>
      </text>
    </comment>
    <comment ref="M5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Hydro Elec Comm Ottawa = 0.69 cents. HO website says .694 cents.</t>
        </r>
      </text>
    </comment>
    <comment ref="T5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Can't reconcile OEB BI. Out by about  $1</t>
        </r>
      </text>
    </comment>
    <comment ref="T5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T5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B6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Bracebridge reduced DRC 0.46 cents</t>
        </r>
      </text>
    </comment>
    <comment ref="T6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L6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Uses Jan 1 Reg Charges even though eares eff May 1? On OEB approved final tariff??</t>
        </r>
      </text>
    </comment>
    <comment ref="T6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Can't reconcile OEB BI. Could be due to Reg Charge. About $0.35 diff.</t>
        </r>
      </text>
    </comment>
    <comment ref="T6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T7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T7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is slightly off.by about $0.10 losses?</t>
        </r>
      </text>
    </comment>
    <comment ref="M7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Orillia = 0.49 cents</t>
        </r>
      </text>
    </comment>
    <comment ref="M7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weighted average of Pembroke, Almonte, Killaloe &amp; Beachburg from ORPC website DRC rates and Census number of households.</t>
        </r>
      </text>
    </comment>
    <comment ref="M7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Parry Sound = 0.65 cents</t>
        </r>
      </text>
    </comment>
    <comment ref="M7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Peterborough = 0.67 cents</t>
        </r>
      </text>
    </comment>
    <comment ref="L8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Jan 1 rates diff</t>
        </r>
      </text>
    </comment>
    <comment ref="T8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is slightly off. </t>
        </r>
      </text>
    </comment>
    <comment ref="M8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SSM = 0.2 cents</t>
        </r>
      </text>
    </comment>
    <comment ref="M8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Renfrew = 0.61 cents</t>
        </r>
      </text>
    </comment>
    <comment ref="T8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T8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is slightly off. </t>
        </r>
      </text>
    </comment>
    <comment ref="T9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matches</t>
        </r>
      </text>
    </comment>
    <comment ref="L9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Uses Jan 1 Reg Charges even though eares eff May 1? On OEB approved final tariff??
Note this is settlement</t>
        </r>
      </text>
    </comment>
    <comment ref="T9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Delivery is slightly off. Could be Reg Charge</t>
        </r>
      </text>
    </comment>
    <comment ref="B10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excluding remotes</t>
        </r>
      </text>
    </comment>
  </commentList>
</comments>
</file>

<file path=xl/comments7.xml><?xml version="1.0" encoding="utf-8"?>
<comments xmlns="http://schemas.openxmlformats.org/spreadsheetml/2006/main">
  <authors>
    <author>Motluk, Stephen (ENERGY)</author>
  </authors>
  <commentList>
    <comment ref="D1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Implemented May 1 2015</t>
        </r>
      </text>
    </comment>
    <comment ref="D1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Implemented May 1 2015</t>
        </r>
      </text>
    </comment>
    <comment ref="D1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Implemented May 1 2015</t>
        </r>
      </text>
    </comment>
    <comment ref="D1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Implemented May 1 2015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Now Lakeland</t>
        </r>
      </text>
    </comment>
    <comment ref="C3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Z-factor</t>
        </r>
      </text>
    </comment>
    <comment ref="B4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Strathroy, Mount Brydges, Parkhill</t>
        </r>
      </text>
    </comment>
    <comment ref="B8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interim</t>
        </r>
      </text>
    </comment>
  </commentList>
</comments>
</file>

<file path=xl/comments8.xml><?xml version="1.0" encoding="utf-8"?>
<comments xmlns="http://schemas.openxmlformats.org/spreadsheetml/2006/main">
  <authors>
    <author>Motluk, Stephen (ENERGY)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service charge + riders</t>
        </r>
      </text>
    </comment>
    <comment ref="G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riders</t>
        </r>
      </text>
    </comment>
    <comment ref="I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 means Dx calc consistent with OEB Ministry BI Report dated Sep 21, 2015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Non-farm residential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Strathroy, Mount Brydges, Parkhill</t>
        </r>
      </text>
    </comment>
    <comment ref="I3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$38.41 - incorrectly assigns Clinton rate rider to entire LDC.</t>
        </r>
      </text>
    </comment>
    <comment ref="I3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Not avialble in BI report</t>
        </r>
      </text>
    </comment>
    <comment ref="D4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late</t>
        </r>
      </text>
    </comment>
    <comment ref="C4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D4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</t>
        </r>
      </text>
    </comment>
    <comment ref="F4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$2.23 monthly charge for ice storm costs expires on Oct 31, 2016. </t>
        </r>
      </text>
    </comment>
    <comment ref="C4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hold-over from 2015</t>
        </r>
      </text>
    </comment>
    <comment ref="I4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$25.07? I have double checked tariff sheet. Perhaps BI has not updated interim rate.</t>
        </r>
      </text>
    </comment>
    <comment ref="F4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Not including 0.26 rider ending June 20, 2016
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$34.44? Diference is $0.26 rider expiring June 30, 2016.</t>
        </r>
      </text>
    </comment>
    <comment ref="F5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31.50 RRRP subsidy</t>
        </r>
      </text>
    </comment>
    <comment ref="B5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Non-Std A Year Round Res - R2</t>
        </r>
      </text>
    </comment>
    <comment ref="F5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Remotes has bundled electricity rates.</t>
        </r>
      </text>
    </comment>
    <comment ref="F5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Remotes has bundled electricity rates.</t>
        </r>
      </text>
    </comment>
    <comment ref="I5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$25.83? I have double checked tariff sheet. Perhaps BI has not updated interim rate.</t>
        </r>
      </text>
    </comment>
    <comment ref="E5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Settlement</t>
        </r>
      </text>
    </comment>
    <comment ref="B6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under appeal</t>
        </r>
      </text>
    </comment>
    <comment ref="D6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Effective May 1, Implemented Sept 1.</t>
        </r>
      </text>
    </comment>
    <comment ref="C6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I7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$26.07. I have not included riders expiring on June 30, 2016.</t>
        </r>
      </text>
    </comment>
    <comment ref="B7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interim</t>
        </r>
      </text>
    </comment>
    <comment ref="C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Year 1 rates effective jan 1  - no year 2</t>
        </r>
      </text>
    </comment>
    <comment ref="I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$23.76. I have double checked RO and can't reporoduce.</t>
        </r>
      </text>
    </comment>
    <comment ref="D7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Implemented July1</t>
        </r>
      </text>
    </comment>
    <comment ref="B7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Now Lakeland</t>
        </r>
      </text>
    </comment>
    <comment ref="I7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$24.89. OEB omits a rider applicable to non-wholesale mkt.</t>
        </r>
      </text>
    </comment>
    <comment ref="C8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The CIR was denied. 2016 was IRM and 2017 was COS.</t>
        </r>
      </text>
    </comment>
    <comment ref="F8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som riders end Dec 2016</t>
        </r>
      </text>
    </comment>
    <comment ref="I8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Slightly off, OEB BI reports $22.48. Double checked RO. </t>
        </r>
      </text>
    </comment>
    <comment ref="C8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Still waiting 2015</t>
        </r>
      </text>
    </comment>
    <comment ref="C9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I9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Slightly off, OEB BI reports $31.75. Double checked RO. </t>
        </r>
      </text>
    </comment>
  </commentList>
</comments>
</file>

<file path=xl/comments9.xml><?xml version="1.0" encoding="utf-8"?>
<comments xmlns="http://schemas.openxmlformats.org/spreadsheetml/2006/main">
  <authors>
    <author>Motluk, Stephen (ENERGY)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service charge + riders</t>
        </r>
      </text>
    </comment>
    <comment ref="G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riders</t>
        </r>
      </text>
    </comment>
    <comment ref="I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 means Dx calc consistent with OEB Ministry BI Report dated Sep 21, 2015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Non-farm residential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Strathroy, Mount Brydges, Parkhill</t>
        </r>
      </text>
    </comment>
    <comment ref="I3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$38.41 - incorrectly assigns Clinton rate rider to entire LDC.</t>
        </r>
      </text>
    </comment>
    <comment ref="I3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Not avialble in BI report</t>
        </r>
      </text>
    </comment>
    <comment ref="D4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late</t>
        </r>
      </text>
    </comment>
    <comment ref="C4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D4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</t>
        </r>
      </text>
    </comment>
    <comment ref="F4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$2.23 monthly charge for ice storm costs expires on Oct 31, 2016. </t>
        </r>
      </text>
    </comment>
    <comment ref="C4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hold-over from 2015</t>
        </r>
      </text>
    </comment>
    <comment ref="I4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$25.07? I have double checked tariff sheet. Perhaps BI has not updated interim rate.</t>
        </r>
      </text>
    </comment>
    <comment ref="F4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Not including 0.26 rider ending June 20, 2016
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$34.44? Diference is $0.26 rider expiring June 30, 2016.</t>
        </r>
      </text>
    </comment>
    <comment ref="F5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31.50 RRRP subsidy</t>
        </r>
      </text>
    </comment>
    <comment ref="B5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Non-Std A Year Round Res - R2</t>
        </r>
      </text>
    </comment>
    <comment ref="F5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Remotes has bundled electricity rates.</t>
        </r>
      </text>
    </comment>
    <comment ref="F5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Remotes has bundled electricity rates.</t>
        </r>
      </text>
    </comment>
    <comment ref="I5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$25.83? I have double checked tariff sheet. Perhaps BI has not updated interim rate.</t>
        </r>
      </text>
    </comment>
    <comment ref="E5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Settlement</t>
        </r>
      </text>
    </comment>
    <comment ref="B6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under appeal</t>
        </r>
      </text>
    </comment>
    <comment ref="D6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Effective May 1, Implemented Sept 1.</t>
        </r>
      </text>
    </comment>
    <comment ref="C6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I7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$26.07. I have not included riders expiring on June 30, 2016.</t>
        </r>
      </text>
    </comment>
    <comment ref="B7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interim</t>
        </r>
      </text>
    </comment>
    <comment ref="C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Year 1 rates effective jan 1  - no year 2</t>
        </r>
      </text>
    </comment>
    <comment ref="I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$23.76. I have double checked RO and can't reporoduce.</t>
        </r>
      </text>
    </comment>
    <comment ref="D7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Implemented July1</t>
        </r>
      </text>
    </comment>
    <comment ref="B7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Now Lakeland</t>
        </r>
      </text>
    </comment>
    <comment ref="I7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$24.89. OEB omits a rider applicable to non-wholesale mkt.</t>
        </r>
      </text>
    </comment>
    <comment ref="C8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The CIR was denied. 2016 was IRM and 2017 was COS.</t>
        </r>
      </text>
    </comment>
    <comment ref="F8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som riders end Dec 2016</t>
        </r>
      </text>
    </comment>
    <comment ref="I8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Slightly off, OEB BI reports $22.48. Double checked RO. </t>
        </r>
      </text>
    </comment>
    <comment ref="C8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Still waiting 2015</t>
        </r>
      </text>
    </comment>
    <comment ref="C9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I9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Slightly off, OEB BI reports $31.75. Double checked RO. </t>
        </r>
      </text>
    </comment>
  </commentList>
</comments>
</file>

<file path=xl/sharedStrings.xml><?xml version="1.0" encoding="utf-8"?>
<sst xmlns="http://schemas.openxmlformats.org/spreadsheetml/2006/main" count="3575" uniqueCount="339">
  <si>
    <t>DISTRIBUTION RATES 2015</t>
  </si>
  <si>
    <t>LDC</t>
  </si>
  <si>
    <t>Algoma Power</t>
  </si>
  <si>
    <t>Atikokan Hydro</t>
  </si>
  <si>
    <t>Attawapiskat Power</t>
  </si>
  <si>
    <t>Bluewater Power</t>
  </si>
  <si>
    <t>Brant County Power</t>
  </si>
  <si>
    <t>Brantford Power</t>
  </si>
  <si>
    <t>CNP (EOP)</t>
  </si>
  <si>
    <t>CNP (Fort Erie)</t>
  </si>
  <si>
    <t>CNP (Port Colborne)</t>
  </si>
  <si>
    <t>Centre Wellington</t>
  </si>
  <si>
    <t>Chapleau PUC</t>
  </si>
  <si>
    <t>COLLUS PowerStream</t>
  </si>
  <si>
    <t>ELK Energy</t>
  </si>
  <si>
    <t>Enersource Hydro</t>
  </si>
  <si>
    <t>Entegrus Powerlines (CK Hydro)</t>
  </si>
  <si>
    <t>Entegrus Powerlines (Middlesex)</t>
  </si>
  <si>
    <t>Entegrus Powerlines (Dutton)</t>
  </si>
  <si>
    <t>Entegrus Powerlines (Newbury)</t>
  </si>
  <si>
    <t>EnWin</t>
  </si>
  <si>
    <t>Erie Thames Powerlines</t>
  </si>
  <si>
    <t>Erie Thames Powerlines (Clinton)</t>
  </si>
  <si>
    <t>Erie Thames Powerlines (West Perth)</t>
  </si>
  <si>
    <t>Espanola Regional Hydro</t>
  </si>
  <si>
    <t>Essex Powerlines</t>
  </si>
  <si>
    <t>Festival Hydro</t>
  </si>
  <si>
    <t>Festival Hydro (Hensall)</t>
  </si>
  <si>
    <t>Fort Albany Power</t>
  </si>
  <si>
    <t>Greater Sudbury Hydro</t>
  </si>
  <si>
    <t>Grimsby Power</t>
  </si>
  <si>
    <t>Guelph Hydro</t>
  </si>
  <si>
    <t>Halton Hills Hydro</t>
  </si>
  <si>
    <t>Hearst Power</t>
  </si>
  <si>
    <t>Horizon Utilities</t>
  </si>
  <si>
    <t>Hydro 2000</t>
  </si>
  <si>
    <t>Hydro One Brampton</t>
  </si>
  <si>
    <t>Hydro One Networks (R1)</t>
  </si>
  <si>
    <t>Hydro One Networks (R2)</t>
  </si>
  <si>
    <t>Hydro One Networks (UR)</t>
  </si>
  <si>
    <t>Hydro One Remote Communities</t>
  </si>
  <si>
    <t>Hydro Ottawa</t>
  </si>
  <si>
    <t>Innisfil Hydro</t>
  </si>
  <si>
    <t>Kashechewan Power</t>
  </si>
  <si>
    <t>Kenora Hydro</t>
  </si>
  <si>
    <t xml:space="preserve">Kingston Hydro </t>
  </si>
  <si>
    <t>Lakefront Utilities</t>
  </si>
  <si>
    <t>Lakeland Power</t>
  </si>
  <si>
    <t>London Hydro</t>
  </si>
  <si>
    <t>Midland Power</t>
  </si>
  <si>
    <t>Milton Hydro</t>
  </si>
  <si>
    <t>Newmarket-Tay Power</t>
  </si>
  <si>
    <t>Norfolk Power</t>
  </si>
  <si>
    <t>North Bay Hydro</t>
  </si>
  <si>
    <t>Northern Ontario Wires</t>
  </si>
  <si>
    <t>Orillia Power</t>
  </si>
  <si>
    <t>Oshawa PUC</t>
  </si>
  <si>
    <t>Ottawa River Power</t>
  </si>
  <si>
    <t>Parry Sound Power</t>
  </si>
  <si>
    <t>Peterborough Distribution</t>
  </si>
  <si>
    <t>Powerstream (Barrie)</t>
  </si>
  <si>
    <t>Powerstream (South)</t>
  </si>
  <si>
    <t>PUC Distribution</t>
  </si>
  <si>
    <t>Renfrew Hydro</t>
  </si>
  <si>
    <t>Rideau St. Lawrence</t>
  </si>
  <si>
    <t>Sioux Lookout</t>
  </si>
  <si>
    <t>St. Thomas Energy</t>
  </si>
  <si>
    <t>Thunder Bay Hydro</t>
  </si>
  <si>
    <t>Tillsonburg Hydro</t>
  </si>
  <si>
    <t>Toronto Hydro</t>
  </si>
  <si>
    <t>Wasaga Distribution</t>
  </si>
  <si>
    <t>Waterloo North Hydro</t>
  </si>
  <si>
    <t>Welland Hydro</t>
  </si>
  <si>
    <t>Wellington North Power</t>
  </si>
  <si>
    <t>West Coast Huron</t>
  </si>
  <si>
    <t>Westario</t>
  </si>
  <si>
    <t>Whitby Hydro</t>
  </si>
  <si>
    <t>Woodstock Hydro</t>
  </si>
  <si>
    <t>Monthly Fixed</t>
  </si>
  <si>
    <t>Variable</t>
  </si>
  <si>
    <t>Total Dx $</t>
  </si>
  <si>
    <t>kWh</t>
  </si>
  <si>
    <t>Retail Tx</t>
  </si>
  <si>
    <t>Secondary LF</t>
  </si>
  <si>
    <t>Regulatory Charge</t>
  </si>
  <si>
    <t>TOU May 1, 2015</t>
  </si>
  <si>
    <t>Off-Peak</t>
  </si>
  <si>
    <t>Mid-Peak</t>
  </si>
  <si>
    <t>On-Peak</t>
  </si>
  <si>
    <t>Avg</t>
  </si>
  <si>
    <t>Line Loss</t>
  </si>
  <si>
    <t>Delivery</t>
  </si>
  <si>
    <t>COS</t>
  </si>
  <si>
    <t>DRC</t>
  </si>
  <si>
    <t>Electricity</t>
  </si>
  <si>
    <t>Total Bill</t>
  </si>
  <si>
    <t>Eff May 1</t>
  </si>
  <si>
    <t>Eff Jan 1</t>
  </si>
  <si>
    <t>IRM</t>
  </si>
  <si>
    <t>N/A</t>
  </si>
  <si>
    <t>IRM-DA</t>
  </si>
  <si>
    <t>û</t>
  </si>
  <si>
    <t>ü</t>
  </si>
  <si>
    <t>Burlington Hydro Inc.</t>
  </si>
  <si>
    <t>Cambridge and North Dumfries Hydro</t>
  </si>
  <si>
    <t>Coop Hydro Embrun</t>
  </si>
  <si>
    <t>Fort Frances Power</t>
  </si>
  <si>
    <t>Haldimand County Hydro</t>
  </si>
  <si>
    <t>Hydro Hawkesbury</t>
  </si>
  <si>
    <t>Kitchener Wilmot Hydro</t>
  </si>
  <si>
    <t>Niagara On The Lake Hydro</t>
  </si>
  <si>
    <t>Oakville Hydro</t>
  </si>
  <si>
    <t>Orangeville Hydro</t>
  </si>
  <si>
    <t>Veridian Connections-Main</t>
  </si>
  <si>
    <t>Veridian Connections-Gravenhurst</t>
  </si>
  <si>
    <t>same as BI report</t>
  </si>
  <si>
    <t>Eff Jun 1</t>
  </si>
  <si>
    <t>No Decision yet</t>
  </si>
  <si>
    <t>CIR</t>
  </si>
  <si>
    <t>H1 acquired</t>
  </si>
  <si>
    <t>-</t>
  </si>
  <si>
    <t>Hydro One Networks (Seas)</t>
  </si>
  <si>
    <t>No Application</t>
  </si>
  <si>
    <t>Eff June 1</t>
  </si>
  <si>
    <t>Niagara Peninsula</t>
  </si>
  <si>
    <t>No Final RO Interim Rates</t>
  </si>
  <si>
    <t>No APPL for 2015</t>
  </si>
  <si>
    <t>Res Cust 2014</t>
  </si>
  <si>
    <t>Algoma Power Inc.</t>
  </si>
  <si>
    <t>Atikokan Hydro Inc.</t>
  </si>
  <si>
    <t>Bluewater Power Distribution Corporation</t>
  </si>
  <si>
    <t>Brant County Power Inc.</t>
  </si>
  <si>
    <t>Brantford Power Inc.</t>
  </si>
  <si>
    <t>Cambridge and North Dumfries Hydro Inc.</t>
  </si>
  <si>
    <t>Canadian Niagara Power Inc.</t>
  </si>
  <si>
    <t>Centre Wellington Hydro Ltd.</t>
  </si>
  <si>
    <t>Chapleau Public Utilities Corporation</t>
  </si>
  <si>
    <t>COLLUS PowerStream Corp.</t>
  </si>
  <si>
    <t>Cooperative Hydro Embrun Inc.</t>
  </si>
  <si>
    <t>E.L.K. Energy Inc.</t>
  </si>
  <si>
    <t>Enersource Hydro Mississauga Inc.</t>
  </si>
  <si>
    <t>Entegrus Powerlines Inc.</t>
  </si>
  <si>
    <t>EnWin Utilities Ltd.</t>
  </si>
  <si>
    <t>Erie Thames Powerlines Corporation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</si>
  <si>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</si>
  <si>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</si>
  <si>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</si>
  <si>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</si>
  <si>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</si>
  <si>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</si>
  <si>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Guelph Hydro Electric Systems Inc.</t>
  </si>
  <si>
    <t>Haldimand County Hydro Inc.</t>
  </si>
  <si>
    <t>Halton Hills Hydro Inc.</t>
  </si>
  <si>
    <t>Hearst Power Distribution Company Limited</t>
  </si>
  <si>
    <t>Horizon Utilities Corporation</t>
  </si>
  <si>
    <t>Hydro 2000 Inc.</t>
  </si>
  <si>
    <t>Hydro Hawkesbury Inc.</t>
  </si>
  <si>
    <t>Hydro One Brampton Networks Inc.</t>
  </si>
  <si>
    <t>Hydro One Networks Inc.</t>
  </si>
  <si>
    <t>Hydro Ottawa Limited</t>
  </si>
  <si>
    <t>Innpower Corporation</t>
  </si>
  <si>
    <t>Kenora Hydro Electric Corporation Ltd.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</si>
  <si>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</si>
  <si>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</si>
  <si>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</si>
  <si>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</si>
  <si>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</si>
  <si>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Midland Power Utility Corporation</t>
  </si>
  <si>
    <t>Milton Hydro Distribution Inc.</t>
  </si>
  <si>
    <t>Newmarket-Tay Power Distribution Ltd.</t>
  </si>
  <si>
    <t>Niagara Peninsula Energy Inc.</t>
  </si>
  <si>
    <t>Niagara-on-the-Lake Hydro Inc.</t>
  </si>
  <si>
    <t>Norfolk Power Distribution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</si>
  <si>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</si>
  <si>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</si>
  <si>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</si>
  <si>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</si>
  <si>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</si>
  <si>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</si>
  <si>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</si>
  <si>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</si>
  <si>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PowerStream Inc.</t>
  </si>
  <si>
    <t>PUC Distribution Inc.</t>
  </si>
  <si>
    <t>Renfrew Hydro Inc.</t>
  </si>
  <si>
    <t>Rideau St. Lawrence Distribution Inc.</t>
  </si>
  <si>
    <t>Sioux Lookout Hydro Inc.</t>
  </si>
  <si>
    <t>St. Thomas Energy Inc.</t>
  </si>
  <si>
    <t>Thunder Bay Hydro Electricity Distribution Inc.</t>
  </si>
  <si>
    <t>Tillsonburg Hydro Inc.</t>
  </si>
  <si>
    <t>Toronto Hydro-Electric System Limited</t>
  </si>
  <si>
    <t>Veridian Connections Inc.</t>
  </si>
  <si>
    <t>Wasaga Distribution Inc.</t>
  </si>
  <si>
    <t>Waterloo North Hydro Inc.</t>
  </si>
  <si>
    <t>Welland Hydro-Electric System Corp.</t>
  </si>
  <si>
    <t>Wellington North Power Inc.</t>
  </si>
  <si>
    <t>West Coast Huron Energy Inc.</t>
  </si>
  <si>
    <t>Westario Power Inc.</t>
  </si>
  <si>
    <t>Whitby Hydro Electric Corporation</t>
  </si>
  <si>
    <t>Woodstock Hydro Services Inc.</t>
  </si>
  <si>
    <t>DISTRIBUTION RATES 2014</t>
  </si>
  <si>
    <t>DISTRIBUTION RATES 2016</t>
  </si>
  <si>
    <t>CIR-YR2</t>
  </si>
  <si>
    <t>Eff Jan 1 impl Mar1</t>
  </si>
  <si>
    <t>TOU May 1, 2014</t>
  </si>
  <si>
    <t>Eff Mar 1</t>
  </si>
  <si>
    <t>IRM-DA*</t>
  </si>
  <si>
    <t>Eff Aug 1</t>
  </si>
  <si>
    <t>Eff Sep 1</t>
  </si>
  <si>
    <t>May 1 2013</t>
  </si>
  <si>
    <t>Eff March 1</t>
  </si>
  <si>
    <t>AIRI</t>
  </si>
  <si>
    <t>Eff May 1 / Z Nov 1</t>
  </si>
  <si>
    <t>Newmarket-Tay Power - Newmarket</t>
  </si>
  <si>
    <t>Newmarket-Tay Power - Tay</t>
  </si>
  <si>
    <t>IRM3</t>
  </si>
  <si>
    <t>x</t>
  </si>
  <si>
    <t>Rate Zones</t>
  </si>
  <si>
    <t># Zone Filed</t>
  </si>
  <si>
    <t># Not Filed</t>
  </si>
  <si>
    <t>Lowest Total Dx</t>
  </si>
  <si>
    <t>Highest Total Dx</t>
  </si>
  <si>
    <t>Highest Total Bill</t>
  </si>
  <si>
    <t>Lowest Total Bill</t>
  </si>
  <si>
    <t>2014 Delivery</t>
  </si>
  <si>
    <t>2014 Total Bill</t>
  </si>
  <si>
    <t>2014 Total Dx</t>
  </si>
  <si>
    <t>Arithmetic Average</t>
  </si>
  <si>
    <t>Customer Weighted Average</t>
  </si>
  <si>
    <t>2015 Total Dx</t>
  </si>
  <si>
    <t>2015 Delivery</t>
  </si>
  <si>
    <t>2015 Total Bill</t>
  </si>
  <si>
    <t>$ change</t>
  </si>
  <si>
    <t>% change</t>
  </si>
  <si>
    <t>2015 Bill Impacts</t>
  </si>
  <si>
    <t>Distribution</t>
  </si>
  <si>
    <t>Type</t>
  </si>
  <si>
    <t xml:space="preserve">Customer weighting </t>
  </si>
  <si>
    <t>excl Remotes, TH, OPUC, OPRC, Hearst</t>
  </si>
  <si>
    <t>All LDCs</t>
  </si>
  <si>
    <t>Largest Bill Increase (Dx)</t>
  </si>
  <si>
    <t>Largest Bill Increase (Total Bill)</t>
  </si>
  <si>
    <t>Largest Bill Increase (Delivery)</t>
  </si>
  <si>
    <t>Largest % Increase (Dx)</t>
  </si>
  <si>
    <t>Largest % Increase (Delivery))</t>
  </si>
  <si>
    <t>Largest % Increase (Total Bill)</t>
  </si>
  <si>
    <t>Smallest Bill Increase (Dx)</t>
  </si>
  <si>
    <t>Smallest % Increase (Dx)</t>
  </si>
  <si>
    <t>Smallest Bill Increase (Delivery)</t>
  </si>
  <si>
    <t>Smallest % Increase (Delivery))</t>
  </si>
  <si>
    <t>Smallest Bill Increase (Total Bill)</t>
  </si>
  <si>
    <t>Smallest % Increase (Total Bill)</t>
  </si>
  <si>
    <t>Avg (Arith) Increase COS</t>
  </si>
  <si>
    <t>Avg (Arith) Increase IRM</t>
  </si>
  <si>
    <t>Avg (Arith) Increase IRM-DA</t>
  </si>
  <si>
    <t>%</t>
  </si>
  <si>
    <t>N</t>
  </si>
  <si>
    <t>Avg (Arith) Increase CIR</t>
  </si>
  <si>
    <t>Avg (Arith) Increase AIRI</t>
  </si>
  <si>
    <t>Distribution Rates</t>
  </si>
  <si>
    <t>DISTRIBUTION RATES 2013</t>
  </si>
  <si>
    <t>TOU May 1, 2013</t>
  </si>
  <si>
    <t>Jan 1</t>
  </si>
  <si>
    <t>for more appropriate comparisions. Electricity costs do reconcile with OEB report with this adjustment</t>
  </si>
  <si>
    <t>Note: In 2013 and prior years, OEB did not include Line Loss in Delivery, but in Electricity Cost. I have kept in Delivery</t>
  </si>
  <si>
    <t>May 1</t>
  </si>
  <si>
    <t>May 1; SM Jul 1</t>
  </si>
  <si>
    <t>"</t>
  </si>
  <si>
    <t>Del-LL</t>
  </si>
  <si>
    <t>deferred to 2014</t>
  </si>
  <si>
    <t>change around</t>
  </si>
  <si>
    <t>Jan 1 2016</t>
  </si>
  <si>
    <t>?</t>
  </si>
  <si>
    <t>? Most likely not</t>
  </si>
  <si>
    <t>Not filed yet COS</t>
  </si>
  <si>
    <t>Innisfil Hydro (Innpower)</t>
  </si>
  <si>
    <t>May 1 2016</t>
  </si>
  <si>
    <t>Draft RO</t>
  </si>
  <si>
    <t>Effective</t>
  </si>
  <si>
    <t>Yes</t>
  </si>
  <si>
    <t>InnPower</t>
  </si>
  <si>
    <t>RRC</t>
  </si>
  <si>
    <t>May  1</t>
  </si>
  <si>
    <t>2016 Bill Impacts</t>
  </si>
  <si>
    <t>Dec&amp;RO</t>
  </si>
  <si>
    <t>IRM Jan 1</t>
  </si>
  <si>
    <t>COS Jan 1</t>
  </si>
  <si>
    <t>CIR Jan 1</t>
  </si>
  <si>
    <t>Total Jan 1</t>
  </si>
  <si>
    <t>Total May 1</t>
  </si>
  <si>
    <t>Filed</t>
  </si>
  <si>
    <t>2016 Total Dx</t>
  </si>
  <si>
    <t>2016 Delivery</t>
  </si>
  <si>
    <t>2016 Total Bill</t>
  </si>
  <si>
    <t>2014 continue</t>
  </si>
  <si>
    <t>Delivery Total Bill Impact</t>
  </si>
  <si>
    <t>July 1</t>
  </si>
  <si>
    <t>These bills calc'ed as of May 1 even if rates efective Jan 1, unlike OEB BI report</t>
  </si>
  <si>
    <t xml:space="preserve">IRM </t>
  </si>
  <si>
    <t>Feb 1</t>
  </si>
  <si>
    <t>Interim</t>
  </si>
  <si>
    <t>Min</t>
  </si>
  <si>
    <t>Max</t>
  </si>
  <si>
    <t>% of total</t>
  </si>
  <si>
    <t>TX</t>
  </si>
  <si>
    <t>DX</t>
  </si>
  <si>
    <t>May-01-2016</t>
  </si>
  <si>
    <t>HORC - Standard A Res Air Access</t>
  </si>
  <si>
    <t>Brant County Power-Energy+</t>
  </si>
  <si>
    <t>Cambridge and N. Dumfries Hydro-Energy+</t>
  </si>
  <si>
    <t>No</t>
  </si>
  <si>
    <t>AIRI-DA</t>
  </si>
  <si>
    <t>Erie Thames Powerlines-Clinton</t>
  </si>
  <si>
    <t>same as BI report @750</t>
  </si>
  <si>
    <t>CIR-Settled</t>
  </si>
  <si>
    <t>Kingston Hydro</t>
  </si>
  <si>
    <t>CIR-YR3</t>
  </si>
  <si>
    <t>Cornwall Electric - residential urban</t>
  </si>
  <si>
    <t>Cornwall Electric - rural and farm</t>
  </si>
  <si>
    <t>Sep 1</t>
  </si>
  <si>
    <t>CIR (IRM)</t>
  </si>
  <si>
    <t>TOU May 1, 2016, extended for Nov'16-Apr'17</t>
  </si>
  <si>
    <t>TOU Nov 1, 2016 (same as May 1, 2016)</t>
  </si>
  <si>
    <t>Powerstream</t>
  </si>
  <si>
    <t>CIR (IRM/RR)</t>
  </si>
  <si>
    <t>CIR YR3</t>
  </si>
  <si>
    <t>RRC-DA</t>
  </si>
  <si>
    <t>DISTRIBUTION RATES 2017</t>
  </si>
  <si>
    <t>2017 Total Dx</t>
  </si>
  <si>
    <t>2017 Delivery</t>
  </si>
  <si>
    <t>2017 Total Bill</t>
  </si>
  <si>
    <t>HONI - R1</t>
  </si>
  <si>
    <t>HONI - R2</t>
  </si>
  <si>
    <t>Algoma</t>
  </si>
  <si>
    <t>Parry Sound</t>
  </si>
  <si>
    <t>Norfolk</t>
  </si>
  <si>
    <t>Erie Thames</t>
  </si>
  <si>
    <t>Horizon</t>
  </si>
  <si>
    <t>PowerStream</t>
  </si>
  <si>
    <t>Aver. kWhs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</si>
</sst>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"/>
    <numFmt numFmtId="165" formatCode="&quot;$&quot;#,##0.000"/>
    <numFmt numFmtId="166" formatCode="0.0%"/>
    <numFmt numFmtId="167" formatCode="&quot;$&quot;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rgb="FFFF0000"/>
      <name val="Wingdings"/>
      <charset val="2"/>
    </font>
    <font>
      <sz val="14"/>
      <color rgb="FF00B050"/>
      <name val="Wingdings"/>
      <charset val="2"/>
    </font>
    <font>
      <sz val="14"/>
      <color rgb="FFFF0000"/>
      <name val="Stencil"/>
      <family val="5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29">
    <xf numFmtId="0" fontId="0" fillId="0" borderId="0" xfId="0"/>
    <xf numFmtId="0" fontId="3" fillId="0" borderId="0" xfId="2" applyFont="1"/>
    <xf numFmtId="0" fontId="4" fillId="0" borderId="0" xfId="0" applyFont="1"/>
    <xf numFmtId="0" fontId="0" fillId="0" borderId="0" xfId="0" applyAlignment="1">
      <alignment horizontal="right"/>
    </xf>
    <xf numFmtId="164" fontId="0" fillId="0" borderId="0" xfId="0" applyNumberFormat="1"/>
    <xf numFmtId="0" fontId="8" fillId="0" borderId="0" xfId="0" applyFont="1" applyAlignment="1">
      <alignment horizontal="right"/>
    </xf>
    <xf numFmtId="0" fontId="7" fillId="0" borderId="0" xfId="0" applyFont="1"/>
    <xf numFmtId="0" fontId="0" fillId="0" borderId="0" xfId="0" applyAlignment="1"/>
    <xf numFmtId="165" fontId="0" fillId="0" borderId="0" xfId="0" applyNumberFormat="1"/>
    <xf numFmtId="9" fontId="0" fillId="0" borderId="0" xfId="1" applyNumberFormat="1" applyFont="1"/>
    <xf numFmtId="0" fontId="9" fillId="0" borderId="0" xfId="0" applyFont="1"/>
    <xf numFmtId="0" fontId="0" fillId="2" borderId="0" xfId="0" applyFill="1"/>
    <xf numFmtId="0" fontId="0" fillId="0" borderId="0" xfId="0" applyFill="1"/>
    <xf numFmtId="0" fontId="0" fillId="3" borderId="0" xfId="0" applyFill="1"/>
    <xf numFmtId="0" fontId="10" fillId="0" borderId="0" xfId="0" applyFont="1"/>
    <xf numFmtId="0" fontId="10" fillId="2" borderId="0" xfId="0" applyFont="1" applyFill="1"/>
    <xf numFmtId="0" fontId="11" fillId="2" borderId="0" xfId="0" applyFont="1" applyFill="1" applyAlignment="1">
      <alignment horizontal="center"/>
    </xf>
    <xf numFmtId="164" fontId="0" fillId="2" borderId="0" xfId="0" applyNumberFormat="1" applyFill="1"/>
    <xf numFmtId="164" fontId="0" fillId="4" borderId="0" xfId="0" applyNumberFormat="1" applyFill="1"/>
    <xf numFmtId="0" fontId="0" fillId="4" borderId="0" xfId="0" applyFill="1"/>
    <xf numFmtId="164" fontId="0" fillId="5" borderId="0" xfId="0" applyNumberFormat="1" applyFill="1"/>
    <xf numFmtId="0" fontId="9" fillId="5" borderId="0" xfId="0" applyFont="1" applyFill="1"/>
    <xf numFmtId="164" fontId="0" fillId="0" borderId="0" xfId="0" applyNumberFormat="1" applyFill="1"/>
    <xf numFmtId="0" fontId="10" fillId="0" borderId="0" xfId="0" applyFont="1" applyFill="1"/>
    <xf numFmtId="0" fontId="7" fillId="0" borderId="0" xfId="0" applyFont="1" applyFill="1"/>
    <xf numFmtId="0" fontId="9" fillId="0" borderId="0" xfId="0" applyFont="1" applyFill="1"/>
    <xf numFmtId="0" fontId="11" fillId="0" borderId="0" xfId="0" applyFont="1" applyFill="1" applyAlignment="1">
      <alignment horizontal="center"/>
    </xf>
    <xf numFmtId="0" fontId="0" fillId="6" borderId="0" xfId="0" applyFill="1"/>
    <xf numFmtId="0" fontId="0" fillId="0" borderId="0" xfId="0" applyFill="1" applyAlignment="1"/>
    <xf numFmtId="164" fontId="12" fillId="2" borderId="0" xfId="0" applyNumberFormat="1" applyFont="1" applyFill="1"/>
    <xf numFmtId="164" fontId="0" fillId="3" borderId="0" xfId="0" applyNumberFormat="1" applyFill="1"/>
    <xf numFmtId="16" fontId="0" fillId="0" borderId="0" xfId="0" applyNumberFormat="1"/>
    <xf numFmtId="0" fontId="13" fillId="0" borderId="0" xfId="0" applyFont="1"/>
    <xf numFmtId="0" fontId="4" fillId="6" borderId="0" xfId="0" applyFont="1" applyFill="1" applyAlignment="1">
      <alignment horizontal="right"/>
    </xf>
    <xf numFmtId="0" fontId="4" fillId="6" borderId="0" xfId="0" applyFont="1" applyFill="1"/>
    <xf numFmtId="164" fontId="4" fillId="6" borderId="0" xfId="0" applyNumberFormat="1" applyFont="1" applyFill="1"/>
    <xf numFmtId="2" fontId="0" fillId="0" borderId="0" xfId="0" applyNumberFormat="1"/>
    <xf numFmtId="3" fontId="0" fillId="0" borderId="0" xfId="0" applyNumberFormat="1"/>
    <xf numFmtId="166" fontId="0" fillId="0" borderId="0" xfId="1" applyNumberFormat="1" applyFont="1"/>
    <xf numFmtId="166" fontId="0" fillId="4" borderId="0" xfId="1" applyNumberFormat="1" applyFont="1" applyFill="1"/>
    <xf numFmtId="0" fontId="12" fillId="2" borderId="0" xfId="0" applyFont="1" applyFill="1"/>
    <xf numFmtId="0" fontId="14" fillId="7" borderId="0" xfId="0" applyFont="1" applyFill="1"/>
    <xf numFmtId="164" fontId="14" fillId="7" borderId="0" xfId="0" applyNumberFormat="1" applyFont="1" applyFill="1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3" fontId="0" fillId="2" borderId="0" xfId="0" applyNumberFormat="1" applyFill="1"/>
    <xf numFmtId="3" fontId="15" fillId="2" borderId="0" xfId="0" applyNumberFormat="1" applyFont="1" applyFill="1"/>
    <xf numFmtId="3" fontId="12" fillId="2" borderId="0" xfId="0" applyNumberFormat="1" applyFont="1" applyFill="1"/>
    <xf numFmtId="0" fontId="14" fillId="2" borderId="0" xfId="0" applyFont="1" applyFill="1"/>
    <xf numFmtId="3" fontId="0" fillId="0" borderId="0" xfId="0" applyNumberFormat="1" applyFill="1"/>
    <xf numFmtId="3" fontId="15" fillId="0" borderId="0" xfId="0" applyNumberFormat="1" applyFont="1" applyFill="1"/>
    <xf numFmtId="3" fontId="12" fillId="0" borderId="0" xfId="0" applyNumberFormat="1" applyFont="1" applyFill="1"/>
    <xf numFmtId="0" fontId="16" fillId="6" borderId="0" xfId="0" applyFont="1" applyFill="1"/>
    <xf numFmtId="0" fontId="0" fillId="7" borderId="0" xfId="0" applyFill="1"/>
    <xf numFmtId="164" fontId="14" fillId="0" borderId="0" xfId="0" applyNumberFormat="1" applyFont="1" applyFill="1"/>
    <xf numFmtId="0" fontId="14" fillId="0" borderId="0" xfId="0" applyFont="1" applyFill="1"/>
    <xf numFmtId="166" fontId="14" fillId="0" borderId="0" xfId="1" applyNumberFormat="1" applyFont="1" applyFill="1"/>
    <xf numFmtId="166" fontId="0" fillId="0" borderId="0" xfId="0" applyNumberFormat="1"/>
    <xf numFmtId="164" fontId="14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164" fontId="14" fillId="0" borderId="0" xfId="0" applyNumberFormat="1" applyFont="1"/>
    <xf numFmtId="166" fontId="14" fillId="0" borderId="0" xfId="0" applyNumberFormat="1" applyFont="1"/>
    <xf numFmtId="0" fontId="14" fillId="0" borderId="0" xfId="0" applyFont="1"/>
    <xf numFmtId="0" fontId="17" fillId="0" borderId="0" xfId="0" applyFont="1"/>
    <xf numFmtId="0" fontId="17" fillId="0" borderId="0" xfId="0" applyFont="1" applyAlignment="1">
      <alignment horizontal="right"/>
    </xf>
    <xf numFmtId="167" fontId="0" fillId="0" borderId="0" xfId="0" applyNumberFormat="1"/>
    <xf numFmtId="166" fontId="14" fillId="0" borderId="0" xfId="1" applyNumberFormat="1" applyFont="1"/>
    <xf numFmtId="16" fontId="0" fillId="0" borderId="0" xfId="0" quotePrefix="1" applyNumberFormat="1" applyFill="1" applyAlignment="1"/>
    <xf numFmtId="0" fontId="12" fillId="2" borderId="0" xfId="0" applyFont="1" applyFill="1" applyAlignment="1">
      <alignment horizontal="left" indent="4"/>
    </xf>
    <xf numFmtId="16" fontId="0" fillId="0" borderId="0" xfId="0" quotePrefix="1" applyNumberFormat="1" applyFill="1"/>
    <xf numFmtId="0" fontId="18" fillId="2" borderId="0" xfId="0" quotePrefix="1" applyFont="1" applyFill="1" applyAlignment="1">
      <alignment horizontal="center"/>
    </xf>
    <xf numFmtId="0" fontId="0" fillId="0" borderId="0" xfId="0" quotePrefix="1" applyFill="1"/>
    <xf numFmtId="0" fontId="10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64" fontId="12" fillId="4" borderId="0" xfId="0" applyNumberFormat="1" applyFont="1" applyFill="1"/>
    <xf numFmtId="166" fontId="12" fillId="4" borderId="0" xfId="1" applyNumberFormat="1" applyFont="1" applyFill="1"/>
    <xf numFmtId="0" fontId="0" fillId="0" borderId="0" xfId="0" applyFill="1" applyAlignment="1">
      <alignment horizontal="right"/>
    </xf>
    <xf numFmtId="0" fontId="0" fillId="0" borderId="0" xfId="0" quotePrefix="1" applyAlignment="1">
      <alignment horizontal="right"/>
    </xf>
    <xf numFmtId="16" fontId="0" fillId="2" borderId="0" xfId="0" quotePrefix="1" applyNumberFormat="1" applyFill="1" applyAlignment="1">
      <alignment horizontal="right"/>
    </xf>
    <xf numFmtId="16" fontId="0" fillId="3" borderId="0" xfId="0" quotePrefix="1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0" fillId="3" borderId="0" xfId="0" quotePrefix="1" applyFill="1" applyAlignment="1">
      <alignment horizontal="right"/>
    </xf>
    <xf numFmtId="0" fontId="0" fillId="0" borderId="0" xfId="0" quotePrefix="1" applyFill="1" applyAlignment="1">
      <alignment horizontal="right"/>
    </xf>
    <xf numFmtId="0" fontId="0" fillId="4" borderId="0" xfId="0" applyFill="1" applyAlignment="1">
      <alignment horizontal="right"/>
    </xf>
    <xf numFmtId="0" fontId="0" fillId="8" borderId="0" xfId="0" applyFill="1"/>
    <xf numFmtId="0" fontId="7" fillId="3" borderId="0" xfId="0" applyFont="1" applyFill="1"/>
    <xf numFmtId="16" fontId="0" fillId="6" borderId="0" xfId="0" quotePrefix="1" applyNumberFormat="1" applyFill="1" applyAlignment="1">
      <alignment horizontal="right"/>
    </xf>
    <xf numFmtId="164" fontId="0" fillId="9" borderId="0" xfId="0" applyNumberFormat="1" applyFill="1"/>
    <xf numFmtId="164" fontId="0" fillId="0" borderId="0" xfId="0" applyNumberFormat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9" borderId="0" xfId="1" applyNumberFormat="1" applyFont="1" applyFill="1" applyAlignment="1">
      <alignment horizontal="center"/>
    </xf>
    <xf numFmtId="164" fontId="14" fillId="6" borderId="0" xfId="0" applyNumberFormat="1" applyFont="1" applyFill="1"/>
    <xf numFmtId="166" fontId="14" fillId="6" borderId="0" xfId="0" applyNumberFormat="1" applyFont="1" applyFill="1"/>
    <xf numFmtId="0" fontId="14" fillId="6" borderId="0" xfId="0" applyFont="1" applyFill="1"/>
    <xf numFmtId="166" fontId="14" fillId="6" borderId="0" xfId="1" applyNumberFormat="1" applyFont="1" applyFill="1"/>
    <xf numFmtId="0" fontId="7" fillId="2" borderId="0" xfId="0" applyFont="1" applyFill="1"/>
    <xf numFmtId="0" fontId="10" fillId="6" borderId="0" xfId="0" applyFont="1" applyFill="1" applyAlignment="1">
      <alignment horizontal="center"/>
    </xf>
    <xf numFmtId="164" fontId="0" fillId="10" borderId="0" xfId="0" applyNumberFormat="1" applyFill="1"/>
    <xf numFmtId="0" fontId="0" fillId="9" borderId="0" xfId="0" applyFill="1" applyAlignment="1">
      <alignment horizontal="right"/>
    </xf>
    <xf numFmtId="166" fontId="0" fillId="3" borderId="0" xfId="1" applyNumberFormat="1" applyFont="1" applyFill="1" applyAlignment="1">
      <alignment horizontal="center"/>
    </xf>
    <xf numFmtId="0" fontId="0" fillId="2" borderId="0" xfId="0" quotePrefix="1" applyFill="1" applyAlignment="1">
      <alignment horizontal="right"/>
    </xf>
    <xf numFmtId="0" fontId="0" fillId="2" borderId="0" xfId="0" applyFill="1" applyAlignment="1">
      <alignment horizontal="right"/>
    </xf>
    <xf numFmtId="164" fontId="0" fillId="0" borderId="0" xfId="0" applyNumberFormat="1" applyFill="1" applyAlignment="1">
      <alignment horizontal="center"/>
    </xf>
    <xf numFmtId="166" fontId="0" fillId="0" borderId="0" xfId="1" applyNumberFormat="1" applyFont="1" applyFill="1" applyAlignment="1">
      <alignment horizontal="center"/>
    </xf>
    <xf numFmtId="10" fontId="0" fillId="0" borderId="0" xfId="1" applyNumberFormat="1" applyFont="1"/>
    <xf numFmtId="10" fontId="0" fillId="9" borderId="0" xfId="1" applyNumberFormat="1" applyFont="1" applyFill="1" applyAlignment="1">
      <alignment horizontal="center"/>
    </xf>
    <xf numFmtId="164" fontId="0" fillId="6" borderId="0" xfId="0" applyNumberFormat="1" applyFill="1"/>
    <xf numFmtId="0" fontId="9" fillId="2" borderId="0" xfId="0" applyFont="1" applyFill="1"/>
    <xf numFmtId="0" fontId="0" fillId="6" borderId="0" xfId="0" quotePrefix="1" applyFill="1" applyAlignment="1">
      <alignment horizontal="right"/>
    </xf>
    <xf numFmtId="16" fontId="0" fillId="0" borderId="0" xfId="0" quotePrefix="1" applyNumberFormat="1" applyFill="1" applyAlignment="1">
      <alignment horizontal="right"/>
    </xf>
    <xf numFmtId="164" fontId="12" fillId="0" borderId="0" xfId="0" applyNumberFormat="1" applyFont="1" applyFill="1"/>
    <xf numFmtId="0" fontId="0" fillId="4" borderId="0" xfId="0" quotePrefix="1" applyFill="1" applyAlignment="1">
      <alignment horizontal="right"/>
    </xf>
    <xf numFmtId="0" fontId="9" fillId="4" borderId="0" xfId="0" applyFont="1" applyFill="1"/>
    <xf numFmtId="0" fontId="7" fillId="4" borderId="0" xfId="0" applyFont="1" applyFill="1"/>
    <xf numFmtId="164" fontId="0" fillId="8" borderId="0" xfId="0" applyNumberFormat="1" applyFill="1"/>
    <xf numFmtId="0" fontId="0" fillId="9" borderId="0" xfId="0" applyFill="1"/>
    <xf numFmtId="0" fontId="0" fillId="9" borderId="0" xfId="0" quotePrefix="1" applyFill="1" applyAlignment="1">
      <alignment horizontal="right"/>
    </xf>
    <xf numFmtId="16" fontId="12" fillId="2" borderId="0" xfId="0" quotePrefix="1" applyNumberFormat="1" applyFont="1" applyFill="1" applyAlignment="1">
      <alignment horizontal="right"/>
    </xf>
    <xf numFmtId="2" fontId="0" fillId="4" borderId="0" xfId="0" applyNumberFormat="1" applyFill="1"/>
    <xf numFmtId="0" fontId="0" fillId="11" borderId="0" xfId="0" applyFill="1"/>
    <xf numFmtId="164" fontId="14" fillId="11" borderId="0" xfId="0" applyNumberFormat="1" applyFont="1" applyFill="1"/>
    <xf numFmtId="0" fontId="14" fillId="11" borderId="0" xfId="0" applyFont="1" applyFill="1"/>
    <xf numFmtId="1" fontId="0" fillId="0" borderId="0" xfId="0" applyNumberFormat="1"/>
    <xf numFmtId="0" fontId="14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316776027996502"/>
          <c:y val="7.4548702245552642E-2"/>
          <c:w val="0.7240402449693788"/>
          <c:h val="0.532655657626130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'500'!$A$104:$A$116</c:f>
              <c:strCache>
                <c:ptCount val="13"/>
                <c:pt idx="0">
                  <c:v>HONI - R2</c:v>
                </c:pt>
                <c:pt idx="1">
                  <c:v>HONI - R1</c:v>
                </c:pt>
                <c:pt idx="2">
                  <c:v>Algoma</c:v>
                </c:pt>
                <c:pt idx="3">
                  <c:v>Parry Sound</c:v>
                </c:pt>
                <c:pt idx="4">
                  <c:v>InnPower</c:v>
                </c:pt>
                <c:pt idx="5">
                  <c:v>Sioux Lookout</c:v>
                </c:pt>
                <c:pt idx="6">
                  <c:v>Toronto Hydro</c:v>
                </c:pt>
                <c:pt idx="7">
                  <c:v>Erie Thames</c:v>
                </c:pt>
                <c:pt idx="8">
                  <c:v>Norfolk</c:v>
                </c:pt>
                <c:pt idx="9">
                  <c:v>Northern Ontario Wires</c:v>
                </c:pt>
                <c:pt idx="10">
                  <c:v>Horizon</c:v>
                </c:pt>
                <c:pt idx="11">
                  <c:v>Hydro Ottawa</c:v>
                </c:pt>
                <c:pt idx="12">
                  <c:v>PowerStream</c:v>
                </c:pt>
              </c:strCache>
            </c:strRef>
          </c:cat>
          <c:val>
            <c:numRef>
              <c:f>'500'!$B$104:$B$116</c:f>
              <c:numCache>
                <c:formatCode>General</c:formatCode>
                <c:ptCount val="13"/>
                <c:pt idx="0">
                  <c:v>164</c:v>
                </c:pt>
                <c:pt idx="1">
                  <c:v>460</c:v>
                </c:pt>
                <c:pt idx="2">
                  <c:v>526</c:v>
                </c:pt>
                <c:pt idx="3">
                  <c:v>716</c:v>
                </c:pt>
                <c:pt idx="4">
                  <c:v>751</c:v>
                </c:pt>
                <c:pt idx="5">
                  <c:v>802</c:v>
                </c:pt>
                <c:pt idx="6">
                  <c:v>776</c:v>
                </c:pt>
                <c:pt idx="7">
                  <c:v>842</c:v>
                </c:pt>
                <c:pt idx="8">
                  <c:v>843</c:v>
                </c:pt>
                <c:pt idx="9">
                  <c:v>865</c:v>
                </c:pt>
                <c:pt idx="10">
                  <c:v>1120</c:v>
                </c:pt>
                <c:pt idx="11">
                  <c:v>1233</c:v>
                </c:pt>
                <c:pt idx="12">
                  <c:v>1304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123840"/>
        <c:axId val="109820160"/>
      </c:barChart>
      <c:catAx>
        <c:axId val="109123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Kwhs sold to Equal $55 on the Delivery Line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109820160"/>
        <c:crosses val="autoZero"/>
        <c:auto val="1"/>
        <c:lblAlgn val="ctr"/>
        <c:lblOffset val="100"/>
        <c:noMultiLvlLbl val="0"/>
      </c:catAx>
      <c:valAx>
        <c:axId val="10982016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kwhs</a:t>
                </a:r>
              </a:p>
            </c:rich>
          </c:tx>
          <c:layout>
            <c:manualLayout>
              <c:xMode val="edge"/>
              <c:yMode val="edge"/>
              <c:x val="7.5615654577268751E-2"/>
              <c:y val="0.2535510159132206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091238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'500'!$A$104:$A$116</c:f>
              <c:strCache>
                <c:ptCount val="13"/>
                <c:pt idx="0">
                  <c:v>HONI - R2</c:v>
                </c:pt>
                <c:pt idx="1">
                  <c:v>HONI - R1</c:v>
                </c:pt>
                <c:pt idx="2">
                  <c:v>Algoma</c:v>
                </c:pt>
                <c:pt idx="3">
                  <c:v>Parry Sound</c:v>
                </c:pt>
                <c:pt idx="4">
                  <c:v>InnPower</c:v>
                </c:pt>
                <c:pt idx="5">
                  <c:v>Sioux Lookout</c:v>
                </c:pt>
                <c:pt idx="6">
                  <c:v>Toronto Hydro</c:v>
                </c:pt>
                <c:pt idx="7">
                  <c:v>Erie Thames</c:v>
                </c:pt>
                <c:pt idx="8">
                  <c:v>Norfolk</c:v>
                </c:pt>
                <c:pt idx="9">
                  <c:v>Northern Ontario Wires</c:v>
                </c:pt>
                <c:pt idx="10">
                  <c:v>Horizon</c:v>
                </c:pt>
                <c:pt idx="11">
                  <c:v>Hydro Ottawa</c:v>
                </c:pt>
                <c:pt idx="12">
                  <c:v>PowerStream</c:v>
                </c:pt>
              </c:strCache>
            </c:strRef>
          </c:cat>
          <c:val>
            <c:numRef>
              <c:f>'500'!$B$104:$B$116</c:f>
              <c:numCache>
                <c:formatCode>General</c:formatCode>
                <c:ptCount val="13"/>
                <c:pt idx="0">
                  <c:v>164</c:v>
                </c:pt>
                <c:pt idx="1">
                  <c:v>460</c:v>
                </c:pt>
                <c:pt idx="2">
                  <c:v>526</c:v>
                </c:pt>
                <c:pt idx="3">
                  <c:v>716</c:v>
                </c:pt>
                <c:pt idx="4">
                  <c:v>751</c:v>
                </c:pt>
                <c:pt idx="5">
                  <c:v>802</c:v>
                </c:pt>
                <c:pt idx="6">
                  <c:v>776</c:v>
                </c:pt>
                <c:pt idx="7">
                  <c:v>842</c:v>
                </c:pt>
                <c:pt idx="8">
                  <c:v>843</c:v>
                </c:pt>
                <c:pt idx="9">
                  <c:v>865</c:v>
                </c:pt>
                <c:pt idx="10">
                  <c:v>1120</c:v>
                </c:pt>
                <c:pt idx="11">
                  <c:v>1233</c:v>
                </c:pt>
                <c:pt idx="12">
                  <c:v>1304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521856"/>
        <c:axId val="120523392"/>
      </c:barChart>
      <c:catAx>
        <c:axId val="120521856"/>
        <c:scaling>
          <c:orientation val="minMax"/>
        </c:scaling>
        <c:delete val="0"/>
        <c:axPos val="b"/>
        <c:majorTickMark val="out"/>
        <c:minorTickMark val="none"/>
        <c:tickLblPos val="nextTo"/>
        <c:crossAx val="120523392"/>
        <c:crosses val="autoZero"/>
        <c:auto val="1"/>
        <c:lblAlgn val="ctr"/>
        <c:lblOffset val="100"/>
        <c:noMultiLvlLbl val="0"/>
      </c:catAx>
      <c:valAx>
        <c:axId val="120523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05218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$55 Cap Consumption Threshold</c:v>
          </c:tx>
          <c:invertIfNegative val="0"/>
          <c:cat>
            <c:strRef>
              <c:f>'500'!$A$104:$A$116</c:f>
              <c:strCache>
                <c:ptCount val="13"/>
                <c:pt idx="0">
                  <c:v>HONI - R2</c:v>
                </c:pt>
                <c:pt idx="1">
                  <c:v>HONI - R1</c:v>
                </c:pt>
                <c:pt idx="2">
                  <c:v>Algoma</c:v>
                </c:pt>
                <c:pt idx="3">
                  <c:v>Parry Sound</c:v>
                </c:pt>
                <c:pt idx="4">
                  <c:v>InnPower</c:v>
                </c:pt>
                <c:pt idx="5">
                  <c:v>Sioux Lookout</c:v>
                </c:pt>
                <c:pt idx="6">
                  <c:v>Toronto Hydro</c:v>
                </c:pt>
                <c:pt idx="7">
                  <c:v>Erie Thames</c:v>
                </c:pt>
                <c:pt idx="8">
                  <c:v>Norfolk</c:v>
                </c:pt>
                <c:pt idx="9">
                  <c:v>Northern Ontario Wires</c:v>
                </c:pt>
                <c:pt idx="10">
                  <c:v>Horizon</c:v>
                </c:pt>
                <c:pt idx="11">
                  <c:v>Hydro Ottawa</c:v>
                </c:pt>
                <c:pt idx="12">
                  <c:v>PowerStream</c:v>
                </c:pt>
              </c:strCache>
            </c:strRef>
          </c:cat>
          <c:val>
            <c:numRef>
              <c:f>'500'!$B$104:$B$116</c:f>
              <c:numCache>
                <c:formatCode>General</c:formatCode>
                <c:ptCount val="13"/>
                <c:pt idx="0">
                  <c:v>164</c:v>
                </c:pt>
                <c:pt idx="1">
                  <c:v>460</c:v>
                </c:pt>
                <c:pt idx="2">
                  <c:v>526</c:v>
                </c:pt>
                <c:pt idx="3">
                  <c:v>716</c:v>
                </c:pt>
                <c:pt idx="4">
                  <c:v>751</c:v>
                </c:pt>
                <c:pt idx="5">
                  <c:v>802</c:v>
                </c:pt>
                <c:pt idx="6">
                  <c:v>776</c:v>
                </c:pt>
                <c:pt idx="7">
                  <c:v>842</c:v>
                </c:pt>
                <c:pt idx="8">
                  <c:v>843</c:v>
                </c:pt>
                <c:pt idx="9">
                  <c:v>865</c:v>
                </c:pt>
                <c:pt idx="10">
                  <c:v>1120</c:v>
                </c:pt>
                <c:pt idx="11">
                  <c:v>1233</c:v>
                </c:pt>
                <c:pt idx="12">
                  <c:v>1304</c:v>
                </c:pt>
              </c:numCache>
            </c:numRef>
          </c:val>
        </c:ser>
        <c:ser>
          <c:idx val="1"/>
          <c:order val="1"/>
          <c:tx>
            <c:v>Average Customer Consumption per LDC</c:v>
          </c:tx>
          <c:invertIfNegative val="0"/>
          <c:cat>
            <c:strRef>
              <c:f>'500'!$A$104:$A$116</c:f>
              <c:strCache>
                <c:ptCount val="13"/>
                <c:pt idx="0">
                  <c:v>HONI - R2</c:v>
                </c:pt>
                <c:pt idx="1">
                  <c:v>HONI - R1</c:v>
                </c:pt>
                <c:pt idx="2">
                  <c:v>Algoma</c:v>
                </c:pt>
                <c:pt idx="3">
                  <c:v>Parry Sound</c:v>
                </c:pt>
                <c:pt idx="4">
                  <c:v>InnPower</c:v>
                </c:pt>
                <c:pt idx="5">
                  <c:v>Sioux Lookout</c:v>
                </c:pt>
                <c:pt idx="6">
                  <c:v>Toronto Hydro</c:v>
                </c:pt>
                <c:pt idx="7">
                  <c:v>Erie Thames</c:v>
                </c:pt>
                <c:pt idx="8">
                  <c:v>Norfolk</c:v>
                </c:pt>
                <c:pt idx="9">
                  <c:v>Northern Ontario Wires</c:v>
                </c:pt>
                <c:pt idx="10">
                  <c:v>Horizon</c:v>
                </c:pt>
                <c:pt idx="11">
                  <c:v>Hydro Ottawa</c:v>
                </c:pt>
                <c:pt idx="12">
                  <c:v>PowerStream</c:v>
                </c:pt>
              </c:strCache>
            </c:strRef>
          </c:cat>
          <c:val>
            <c:numRef>
              <c:f>'500'!$C$104:$C$116</c:f>
              <c:numCache>
                <c:formatCode>0</c:formatCode>
                <c:ptCount val="13"/>
                <c:pt idx="0">
                  <c:v>1326</c:v>
                </c:pt>
                <c:pt idx="1">
                  <c:v>988</c:v>
                </c:pt>
                <c:pt idx="2">
                  <c:v>815.58</c:v>
                </c:pt>
                <c:pt idx="3">
                  <c:v>874.16</c:v>
                </c:pt>
                <c:pt idx="4">
                  <c:v>825.5</c:v>
                </c:pt>
                <c:pt idx="5">
                  <c:v>1203.33</c:v>
                </c:pt>
                <c:pt idx="6">
                  <c:v>620</c:v>
                </c:pt>
                <c:pt idx="7">
                  <c:v>692.5</c:v>
                </c:pt>
                <c:pt idx="8">
                  <c:v>674</c:v>
                </c:pt>
                <c:pt idx="9">
                  <c:v>665.58</c:v>
                </c:pt>
                <c:pt idx="10">
                  <c:v>603.41</c:v>
                </c:pt>
                <c:pt idx="11">
                  <c:v>631.25</c:v>
                </c:pt>
                <c:pt idx="12">
                  <c:v>730.83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02336"/>
        <c:axId val="134355968"/>
      </c:barChart>
      <c:catAx>
        <c:axId val="134302336"/>
        <c:scaling>
          <c:orientation val="minMax"/>
        </c:scaling>
        <c:delete val="0"/>
        <c:axPos val="b"/>
        <c:majorTickMark val="out"/>
        <c:minorTickMark val="none"/>
        <c:tickLblPos val="nextTo"/>
        <c:crossAx val="134355968"/>
        <c:crosses val="autoZero"/>
        <c:auto val="1"/>
        <c:lblAlgn val="ctr"/>
        <c:lblOffset val="100"/>
        <c:noMultiLvlLbl val="0"/>
      </c:catAx>
      <c:valAx>
        <c:axId val="134355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43023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1494692</xdr:colOff>
      <xdr:row>19</xdr:row>
      <xdr:rowOff>102577</xdr:rowOff>
    </xdr:from>
    <xdr:to>
      <xdr:col>1</xdr:col>
      <xdr:colOff>2190750</xdr:colOff>
      <xdr:row>21</xdr:row>
      <xdr:rowOff>117231</xdr:rowOff>
    </xdr:to>
    <xdr:cxnSp macro="">
      <xdr:nvCxnSpPr>
        <xdr:cNvPr id="3" name="Straight Arrow Connector 2"/>
        <xdr:cNvCxnSpPr/>
      </xdr:nvCxnSpPr>
      <xdr:spPr>
        <a:xfrm flipV="1">
          <a:off x="1692519" y="3722077"/>
          <a:ext cx="696058" cy="39565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329712</xdr:colOff>
      <xdr:row>13</xdr:row>
      <xdr:rowOff>36635</xdr:rowOff>
    </xdr:from>
    <xdr:to>
      <xdr:col>4</xdr:col>
      <xdr:colOff>329712</xdr:colOff>
      <xdr:row>15</xdr:row>
      <xdr:rowOff>124558</xdr:rowOff>
    </xdr:to>
    <xdr:cxnSp macro="">
      <xdr:nvCxnSpPr>
        <xdr:cNvPr id="5" name="Straight Arrow Connector 4"/>
        <xdr:cNvCxnSpPr/>
      </xdr:nvCxnSpPr>
      <xdr:spPr>
        <a:xfrm>
          <a:off x="4974981" y="2513135"/>
          <a:ext cx="0" cy="46892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307731</xdr:colOff>
      <xdr:row>41</xdr:row>
      <xdr:rowOff>43962</xdr:rowOff>
    </xdr:from>
    <xdr:to>
      <xdr:col>4</xdr:col>
      <xdr:colOff>315058</xdr:colOff>
      <xdr:row>43</xdr:row>
      <xdr:rowOff>139212</xdr:rowOff>
    </xdr:to>
    <xdr:cxnSp macro="">
      <xdr:nvCxnSpPr>
        <xdr:cNvPr id="8" name="Straight Arrow Connector 7"/>
        <xdr:cNvCxnSpPr/>
      </xdr:nvCxnSpPr>
      <xdr:spPr>
        <a:xfrm>
          <a:off x="4953000" y="7282962"/>
          <a:ext cx="7327" cy="476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297180</xdr:colOff>
      <xdr:row>100</xdr:row>
      <xdr:rowOff>160020</xdr:rowOff>
    </xdr:from>
    <xdr:to>
      <xdr:col>12</xdr:col>
      <xdr:colOff>60960</xdr:colOff>
      <xdr:row>115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396246</xdr:colOff>
      <xdr:row>116</xdr:row>
      <xdr:rowOff>163830</xdr:rowOff>
    </xdr:from>
    <xdr:to>
      <xdr:col>12</xdr:col>
      <xdr:colOff>91446</xdr:colOff>
      <xdr:row>131</xdr:row>
      <xdr:rowOff>163830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68586</xdr:colOff>
      <xdr:row>135</xdr:row>
      <xdr:rowOff>38100</xdr:rowOff>
    </xdr:from>
    <xdr:to>
      <xdr:col>11</xdr:col>
      <xdr:colOff>373386</xdr:colOff>
      <xdr:row>150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122"/>
  <sheetViews>
    <sheetView zoomScaleNormal="10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K4" sqref="K4"/>
    </sheetView>
  </sheetViews>
  <sheetFormatPr defaultRowHeight="15" x14ac:dyDescent="0.25"/>
  <cols>
    <col min="1" max="1" width="35" bestFit="1" customWidth="1"/>
    <col min="2" max="2" width="12.5703125" bestFit="1" customWidth="1"/>
    <col min="3" max="3" width="12.85546875" bestFit="1" customWidth="1"/>
    <col min="4" max="4" width="13.28515625" bestFit="1" customWidth="1"/>
    <col min="5" max="5" width="3.42578125" customWidth="1"/>
    <col min="6" max="6" width="12.5703125" bestFit="1" customWidth="1"/>
    <col min="7" max="7" width="12.85546875" bestFit="1" customWidth="1"/>
    <col min="8" max="8" width="13.28515625" bestFit="1" customWidth="1"/>
    <col min="9" max="9" width="3" customWidth="1"/>
    <col min="10" max="10" width="12.5703125" bestFit="1" customWidth="1"/>
    <col min="11" max="11" width="12.85546875" bestFit="1" customWidth="1"/>
    <col min="12" max="12" width="14.28515625" customWidth="1"/>
    <col min="13" max="13" width="3" customWidth="1"/>
    <col min="14" max="16" width="12.5703125" customWidth="1"/>
    <col min="17" max="17" width="2.140625" customWidth="1"/>
    <col min="20" max="21" width="9.140625" customWidth="1"/>
    <col min="24" max="24" width="2.42578125" customWidth="1"/>
    <col min="26" max="26" width="3" customWidth="1"/>
    <col min="31" max="31" width="11.7109375" customWidth="1"/>
    <col min="33" max="33" width="3.28515625" customWidth="1"/>
    <col min="44" max="44" width="12.85546875" bestFit="1" customWidth="1"/>
    <col min="45" max="45" width="12.85546875" customWidth="1"/>
    <col min="46" max="46" width="19.5703125" bestFit="1" customWidth="1"/>
    <col min="48" max="48" width="12.5703125" bestFit="1" customWidth="1"/>
    <col min="49" max="49" width="12.85546875" bestFit="1" customWidth="1"/>
    <col min="50" max="50" width="13.28515625" bestFit="1" customWidth="1"/>
    <col min="52" max="52" width="12.5703125" bestFit="1" customWidth="1"/>
    <col min="53" max="53" width="12.85546875" bestFit="1" customWidth="1"/>
    <col min="54" max="54" width="13.28515625" bestFit="1" customWidth="1"/>
  </cols>
  <sheetData>
    <row r="1" spans="1:54" x14ac:dyDescent="0.25">
      <c r="A1" t="str">
        <f>CONCATENATE("Residential @ ",'2014'!F5," kWh/month")</f>
        <v>Residential @ 750 kWh/month</v>
      </c>
      <c r="R1" s="127" t="s">
        <v>233</v>
      </c>
      <c r="S1" s="127"/>
      <c r="T1" s="127"/>
      <c r="U1" s="127"/>
      <c r="V1" s="127"/>
      <c r="W1" s="127"/>
      <c r="AA1" s="127" t="s">
        <v>282</v>
      </c>
      <c r="AB1" s="127"/>
      <c r="AC1" s="127"/>
      <c r="AD1" s="127"/>
      <c r="AE1" s="127"/>
      <c r="AF1" s="127"/>
    </row>
    <row r="2" spans="1:54" ht="18.75" x14ac:dyDescent="0.3">
      <c r="A2" s="2" t="s">
        <v>1</v>
      </c>
      <c r="B2" t="s">
        <v>269</v>
      </c>
      <c r="R2" s="127" t="s">
        <v>234</v>
      </c>
      <c r="S2" s="127"/>
      <c r="T2" s="127" t="s">
        <v>91</v>
      </c>
      <c r="U2" s="127"/>
      <c r="V2" s="127" t="s">
        <v>95</v>
      </c>
      <c r="W2" s="127"/>
      <c r="AA2" s="127" t="s">
        <v>234</v>
      </c>
      <c r="AB2" s="127"/>
      <c r="AC2" s="127" t="s">
        <v>91</v>
      </c>
      <c r="AD2" s="127"/>
      <c r="AE2" s="127" t="s">
        <v>294</v>
      </c>
      <c r="AF2" s="127"/>
      <c r="AT2" t="s">
        <v>237</v>
      </c>
    </row>
    <row r="3" spans="1:54" ht="18.75" x14ac:dyDescent="0.3">
      <c r="A3" s="2"/>
      <c r="B3" s="3" t="s">
        <v>225</v>
      </c>
      <c r="C3" s="3" t="s">
        <v>223</v>
      </c>
      <c r="D3" s="3" t="s">
        <v>224</v>
      </c>
      <c r="F3" s="3" t="s">
        <v>228</v>
      </c>
      <c r="G3" s="3" t="s">
        <v>229</v>
      </c>
      <c r="H3" s="3" t="s">
        <v>230</v>
      </c>
      <c r="J3" s="3" t="s">
        <v>290</v>
      </c>
      <c r="K3" s="3" t="s">
        <v>291</v>
      </c>
      <c r="L3" s="3" t="s">
        <v>292</v>
      </c>
      <c r="N3" s="3" t="s">
        <v>327</v>
      </c>
      <c r="O3" s="3" t="s">
        <v>328</v>
      </c>
      <c r="P3" s="3" t="s">
        <v>329</v>
      </c>
      <c r="R3" s="3" t="s">
        <v>231</v>
      </c>
      <c r="S3" s="3" t="s">
        <v>232</v>
      </c>
      <c r="T3" s="3" t="s">
        <v>231</v>
      </c>
      <c r="U3" s="3" t="s">
        <v>232</v>
      </c>
      <c r="V3" s="3" t="s">
        <v>231</v>
      </c>
      <c r="W3" s="3" t="s">
        <v>232</v>
      </c>
      <c r="Y3" s="43" t="s">
        <v>235</v>
      </c>
      <c r="Z3" s="43"/>
      <c r="AA3" s="3" t="s">
        <v>231</v>
      </c>
      <c r="AB3" s="3" t="s">
        <v>232</v>
      </c>
      <c r="AC3" s="3" t="s">
        <v>231</v>
      </c>
      <c r="AD3" s="3" t="s">
        <v>232</v>
      </c>
      <c r="AE3" s="3" t="s">
        <v>231</v>
      </c>
      <c r="AF3" s="101"/>
      <c r="AH3" s="43" t="s">
        <v>235</v>
      </c>
      <c r="AI3" s="43"/>
      <c r="AJ3" s="43"/>
      <c r="AK3" s="43"/>
      <c r="AL3" s="43"/>
      <c r="AM3" s="43"/>
      <c r="AN3" s="43"/>
      <c r="AO3" s="43"/>
      <c r="AP3" s="43"/>
      <c r="AQ3" s="43"/>
      <c r="AR3" s="3" t="s">
        <v>127</v>
      </c>
      <c r="AS3" s="3"/>
      <c r="AT3" s="3" t="s">
        <v>236</v>
      </c>
      <c r="AV3" s="3" t="s">
        <v>225</v>
      </c>
      <c r="AW3" s="3" t="s">
        <v>223</v>
      </c>
      <c r="AX3" s="3" t="s">
        <v>224</v>
      </c>
      <c r="AZ3" s="3" t="s">
        <v>228</v>
      </c>
      <c r="BA3" s="3" t="s">
        <v>229</v>
      </c>
      <c r="BB3" s="3" t="s">
        <v>230</v>
      </c>
    </row>
    <row r="4" spans="1:54" x14ac:dyDescent="0.25">
      <c r="A4" t="s">
        <v>2</v>
      </c>
      <c r="B4" s="4">
        <f>IF(INDEX('2014'!$H$8:$H$98,MATCH('Bill Impacts'!A4,'2014'!$B$8:$B$98,0))&lt;&gt;0,INDEX('2014'!$H$8:$H$98,MATCH('Bill Impacts'!A4,'2014'!$B$8:$B$98,0)),"")</f>
        <v>48.849999999999994</v>
      </c>
      <c r="C4" s="4">
        <f>IF(INDEX('2014'!$L$8:$L$98,MATCH('Bill Impacts'!A4,'2014'!$B$8:$B$98,0))&lt;&gt;0,INDEX('2014'!$L$8:$L$98,MATCH('Bill Impacts'!A4,'2014'!$B$8:$B$98,0)),"")</f>
        <v>64.700487999999993</v>
      </c>
      <c r="D4" s="36">
        <f>IF(INDEX('2014'!$P$8:$P$98,MATCH('Bill Impacts'!A4,'2014'!$B$8:$B$98,0))&lt;&gt;0,INDEX('2014'!$P$8:$P$98,MATCH('Bill Impacts'!A4,'2014'!$B$8:$B$98,0)),"")</f>
        <v>140.43984799999998</v>
      </c>
      <c r="F4" s="4">
        <f>IF(INDEX('2015'!$G$8:$G$94,MATCH('Bill Impacts'!A4,'2015'!$B$8:$B$94,0))&lt;&gt;0,INDEX('2015'!$G$8:$G$94,MATCH('Bill Impacts'!A4,'2015'!$B$8:$B$94,0)),"")</f>
        <v>38.93</v>
      </c>
      <c r="G4" s="4">
        <f>IF(INDEX('2015'!$K$8:$K$94,MATCH('Bill Impacts'!A4,'2015'!$B$8:$B$94,0))&lt;&gt;0,INDEX('2015'!$K$8:$K$94,MATCH('Bill Impacts'!A4,'2015'!$B$8:$B$94,0)),"")</f>
        <v>55.171123999999999</v>
      </c>
      <c r="H4" s="4">
        <f>IF(INDEX('2015'!$O$8:$O$94,MATCH('Bill Impacts'!A4,'2015'!$B$8:$B$94,0))&lt;&gt;0,INDEX('2015'!$O$8:$O$94,MATCH('Bill Impacts'!A4,'2015'!$B$8:$B$94,0)),"")</f>
        <v>138.14654400000001</v>
      </c>
      <c r="J4" s="4">
        <f>'2016'!H8</f>
        <v>48.725000000000001</v>
      </c>
      <c r="K4" s="4">
        <f>'2016'!L8</f>
        <v>66.293024749999987</v>
      </c>
      <c r="L4" s="4" t="e">
        <f>'2016'!#REF!</f>
        <v>#REF!</v>
      </c>
      <c r="R4" s="4">
        <f>F4-B4</f>
        <v>-9.9199999999999946</v>
      </c>
      <c r="S4" s="38">
        <f>F4/B4-1</f>
        <v>-0.20307062436028656</v>
      </c>
      <c r="T4" s="4">
        <f>G4-C4</f>
        <v>-9.529363999999994</v>
      </c>
      <c r="U4" s="38">
        <f>G4/C4-1</f>
        <v>-0.14728426777862935</v>
      </c>
      <c r="V4" s="4">
        <f>H4-D4</f>
        <v>-2.2933039999999778</v>
      </c>
      <c r="W4" s="38">
        <f>H4/D4-1</f>
        <v>-1.6329439490706199E-2</v>
      </c>
      <c r="Y4" s="43" t="str">
        <f>IF(INDEX('2015'!$C$8:$C$94,MATCH('Bill Impacts'!A4,'2015'!$B$8:$B$94,0))=0,"",INDEX('2015'!$C$8:$C$94,MATCH('Bill Impacts'!A4,'2015'!$B$8:$B$94,0)))</f>
        <v>COS</v>
      </c>
      <c r="Z4" s="43"/>
      <c r="AA4" s="91">
        <f>J4-F4</f>
        <v>9.7950000000000017</v>
      </c>
      <c r="AB4" s="92">
        <f>J4/F4-1</f>
        <v>0.2516054456717185</v>
      </c>
      <c r="AC4" s="91">
        <f>K4-G4</f>
        <v>11.121900749999988</v>
      </c>
      <c r="AD4" s="102">
        <f>K4/G4-1</f>
        <v>0.20158916374442515</v>
      </c>
      <c r="AE4" s="43"/>
      <c r="AF4" s="93" t="e">
        <f>AC4/L4</f>
        <v>#REF!</v>
      </c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37">
        <f>INDEX('2015'!$V$8:$V$94,MATCH('Bill Impacts'!A4,'2015'!$B$8:$B$94,0))</f>
        <v>11607</v>
      </c>
      <c r="AS4" s="37"/>
      <c r="AT4">
        <f>AR4/$AR$99</f>
        <v>3.0802734057787172E-3</v>
      </c>
      <c r="AV4" s="4">
        <f t="shared" ref="AV4:AX5" si="0">$AT4*B4</f>
        <v>0.15047135587229032</v>
      </c>
      <c r="AW4" s="4">
        <f t="shared" si="0"/>
        <v>0.19929519252730499</v>
      </c>
      <c r="AX4" s="4">
        <f t="shared" si="0"/>
        <v>0.43259312890600532</v>
      </c>
      <c r="AZ4" s="4">
        <f t="shared" ref="AZ4:BB5" si="1">$AT4*F4</f>
        <v>0.11991504368696546</v>
      </c>
      <c r="BA4" s="4">
        <f t="shared" si="1"/>
        <v>0.16994214602411992</v>
      </c>
      <c r="BB4" s="4">
        <f t="shared" si="1"/>
        <v>0.42552912558343942</v>
      </c>
    </row>
    <row r="5" spans="1:54" x14ac:dyDescent="0.25">
      <c r="A5" t="s">
        <v>3</v>
      </c>
      <c r="B5" s="4">
        <f>IF(INDEX('2014'!$H$8:$H$98,MATCH('Bill Impacts'!A5,'2014'!$B$8:$B$98,0))&lt;&gt;0,INDEX('2014'!$H$8:$H$98,MATCH('Bill Impacts'!A5,'2014'!$B$8:$B$98,0)),"")</f>
        <v>51.039999999999992</v>
      </c>
      <c r="C5" s="4">
        <f>IF(INDEX('2014'!$L$8:$L$98,MATCH('Bill Impacts'!A5,'2014'!$B$8:$B$98,0))&lt;&gt;0,INDEX('2014'!$L$8:$L$98,MATCH('Bill Impacts'!A5,'2014'!$B$8:$B$98,0)),"")</f>
        <v>64.680211</v>
      </c>
      <c r="D5" s="36">
        <f>IF(INDEX('2014'!$P$8:$P$98,MATCH('Bill Impacts'!A5,'2014'!$B$8:$B$98,0))&lt;&gt;0,INDEX('2014'!$P$8:$P$98,MATCH('Bill Impacts'!A5,'2014'!$B$8:$B$98,0)),"")</f>
        <v>144.13280600000002</v>
      </c>
      <c r="F5" s="4">
        <f>IF(INDEX('2015'!$G$8:$G$94,MATCH('Bill Impacts'!A5,'2015'!$B$8:$B$94,0))&lt;&gt;0,INDEX('2015'!$G$8:$G$94,MATCH('Bill Impacts'!A5,'2015'!$B$8:$B$94,0)),"")</f>
        <v>45.964999999999996</v>
      </c>
      <c r="G5" s="4">
        <f>IF(INDEX('2015'!$K$8:$K$94,MATCH('Bill Impacts'!A5,'2015'!$B$8:$B$94,0))&lt;&gt;0,INDEX('2015'!$K$8:$K$94,MATCH('Bill Impacts'!A5,'2015'!$B$8:$B$94,0)),"")</f>
        <v>60.493379000000004</v>
      </c>
      <c r="H5" s="4">
        <f>IF(INDEX('2015'!$O$8:$O$94,MATCH('Bill Impacts'!A5,'2015'!$B$8:$B$94,0))&lt;&gt;0,INDEX('2015'!$O$8:$O$94,MATCH('Bill Impacts'!A5,'2015'!$B$8:$B$94,0)),"")</f>
        <v>147.20597400000003</v>
      </c>
      <c r="J5" s="4">
        <f>'2016'!H9</f>
        <v>47.2</v>
      </c>
      <c r="K5" s="4">
        <f>'2016'!L9</f>
        <v>60.247241500000001</v>
      </c>
      <c r="L5" s="4" t="e">
        <f>'2016'!#REF!</f>
        <v>#REF!</v>
      </c>
      <c r="R5" s="4">
        <f>F5-B5</f>
        <v>-5.0749999999999957</v>
      </c>
      <c r="S5" s="38">
        <f>F5/B5-1</f>
        <v>-9.9431818181818121E-2</v>
      </c>
      <c r="T5" s="4">
        <f>G5-C5</f>
        <v>-4.1868319999999954</v>
      </c>
      <c r="U5" s="38">
        <f>G5/C5-1</f>
        <v>-6.4731266878520155E-2</v>
      </c>
      <c r="V5" s="4">
        <f>H5-D5</f>
        <v>3.0731680000000097</v>
      </c>
      <c r="W5" s="38">
        <f>H5/D5-1</f>
        <v>2.1321780136577706E-2</v>
      </c>
      <c r="Y5" s="43" t="str">
        <f>IF(INDEX('2015'!$C$8:$C$94,MATCH('Bill Impacts'!A5,'2015'!$B$8:$B$94,0))=0,"",INDEX('2015'!$C$8:$C$94,MATCH('Bill Impacts'!A5,'2015'!$B$8:$B$94,0)))</f>
        <v>IRM-DA</v>
      </c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37">
        <f>INDEX('2015'!$V$8:$V$94,MATCH('Bill Impacts'!A5,'2015'!$B$8:$B$94,0))</f>
        <v>1408</v>
      </c>
      <c r="AS5" s="37"/>
      <c r="AT5">
        <f>AR5/$AR$99</f>
        <v>3.7365597961027259E-4</v>
      </c>
      <c r="AV5" s="4">
        <f t="shared" si="0"/>
        <v>1.9071401199308311E-2</v>
      </c>
      <c r="AW5" s="4">
        <f t="shared" si="0"/>
        <v>2.4168147602604131E-2</v>
      </c>
      <c r="AX5" s="4">
        <f t="shared" si="0"/>
        <v>5.3856084819907384E-2</v>
      </c>
      <c r="AZ5" s="4">
        <f t="shared" si="1"/>
        <v>1.7175097102786179E-2</v>
      </c>
      <c r="BA5" s="4">
        <f t="shared" si="1"/>
        <v>2.2603712790180495E-2</v>
      </c>
      <c r="BB5" s="4">
        <f t="shared" si="1"/>
        <v>5.5004392419454325E-2</v>
      </c>
    </row>
    <row r="6" spans="1:54" x14ac:dyDescent="0.25">
      <c r="A6" s="11" t="s">
        <v>4</v>
      </c>
      <c r="B6" s="4" t="str">
        <f>IF(INDEX('2014'!$H$8:$H$98,MATCH('Bill Impacts'!A6,'2014'!$B$8:$B$98,0))&lt;&gt;0,INDEX('2014'!$H$8:$H$98,MATCH('Bill Impacts'!A6,'2014'!$B$8:$B$98,0)),"")</f>
        <v/>
      </c>
      <c r="C6" s="4" t="str">
        <f>IF(INDEX('2014'!$L$8:$L$98,MATCH('Bill Impacts'!A6,'2014'!$B$8:$B$98,0))&lt;&gt;0,INDEX('2014'!$L$8:$L$98,MATCH('Bill Impacts'!A6,'2014'!$B$8:$B$98,0)),"")</f>
        <v/>
      </c>
      <c r="D6" s="36" t="str">
        <f>IF(INDEX('2014'!$P$8:$P$98,MATCH('Bill Impacts'!A6,'2014'!$B$8:$B$98,0))&lt;&gt;0,INDEX('2014'!$P$8:$P$98,MATCH('Bill Impacts'!A6,'2014'!$B$8:$B$98,0)),"")</f>
        <v/>
      </c>
      <c r="F6" s="4" t="str">
        <f>IF(INDEX('2015'!$G$8:$G$94,MATCH('Bill Impacts'!A6,'2015'!$B$8:$B$94,0))&lt;&gt;0,INDEX('2015'!$G$8:$G$94,MATCH('Bill Impacts'!A6,'2015'!$B$8:$B$94,0)),"")</f>
        <v/>
      </c>
      <c r="G6" s="4" t="str">
        <f>IF(INDEX('2015'!$K$8:$K$94,MATCH('Bill Impacts'!A6,'2015'!$B$8:$B$94,0))&lt;&gt;0,INDEX('2015'!$K$8:$K$94,MATCH('Bill Impacts'!A6,'2015'!$B$8:$B$94,0)),"")</f>
        <v/>
      </c>
      <c r="H6" s="4" t="str">
        <f>IF(INDEX('2015'!$O$8:$O$94,MATCH('Bill Impacts'!A6,'2015'!$B$8:$B$94,0))&lt;&gt;0,INDEX('2015'!$O$8:$O$94,MATCH('Bill Impacts'!A6,'2015'!$B$8:$B$94,0)),"")</f>
        <v/>
      </c>
      <c r="J6" s="4"/>
      <c r="K6" s="4"/>
      <c r="L6" s="4"/>
      <c r="Y6" s="43" t="str">
        <f>IF(INDEX('2015'!$C$8:$C$94,MATCH('Bill Impacts'!A6,'2015'!$B$8:$B$94,0))=0,"",INDEX('2015'!$C$8:$C$94,MATCH('Bill Impacts'!A6,'2015'!$B$8:$B$94,0)))</f>
        <v/>
      </c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37"/>
      <c r="AS6" s="37"/>
      <c r="AV6" s="17"/>
      <c r="AW6" s="17"/>
      <c r="AX6" s="17"/>
      <c r="AZ6" s="17"/>
      <c r="BA6" s="17"/>
      <c r="BB6" s="17"/>
    </row>
    <row r="7" spans="1:54" x14ac:dyDescent="0.25">
      <c r="A7" t="s">
        <v>5</v>
      </c>
      <c r="B7" s="4">
        <f>IF(INDEX('2014'!$H$8:$H$98,MATCH('Bill Impacts'!A7,'2014'!$B$8:$B$98,0))&lt;&gt;0,INDEX('2014'!$H$8:$H$98,MATCH('Bill Impacts'!A7,'2014'!$B$8:$B$98,0)),"")</f>
        <v>31.834999999999997</v>
      </c>
      <c r="C7" s="4">
        <f>IF(INDEX('2014'!$L$8:$L$98,MATCH('Bill Impacts'!A7,'2014'!$B$8:$B$98,0))&lt;&gt;0,INDEX('2014'!$L$8:$L$98,MATCH('Bill Impacts'!A7,'2014'!$B$8:$B$98,0)),"")</f>
        <v>44.445954499999999</v>
      </c>
      <c r="D7" s="36">
        <f>IF(INDEX('2014'!$P$8:$P$98,MATCH('Bill Impacts'!A7,'2014'!$B$8:$B$98,0))&lt;&gt;0,INDEX('2014'!$P$8:$P$98,MATCH('Bill Impacts'!A7,'2014'!$B$8:$B$98,0)),"")</f>
        <v>123.745932</v>
      </c>
      <c r="F7" s="4">
        <f>IF(INDEX('2015'!$G$8:$G$94,MATCH('Bill Impacts'!A7,'2015'!$B$8:$B$94,0))&lt;&gt;0,INDEX('2015'!$G$8:$G$94,MATCH('Bill Impacts'!A7,'2015'!$B$8:$B$94,0)),"")</f>
        <v>31.914999999999999</v>
      </c>
      <c r="G7" s="4">
        <f>IF(INDEX('2015'!$K$8:$K$94,MATCH('Bill Impacts'!A7,'2015'!$B$8:$B$94,0))&lt;&gt;0,INDEX('2015'!$K$8:$K$94,MATCH('Bill Impacts'!A7,'2015'!$B$8:$B$94,0)),"")</f>
        <v>44.987915500000007</v>
      </c>
      <c r="H7" s="4">
        <f>IF(INDEX('2015'!$O$8:$O$94,MATCH('Bill Impacts'!A7,'2015'!$B$8:$B$94,0))&lt;&gt;0,INDEX('2015'!$O$8:$O$94,MATCH('Bill Impacts'!A7,'2015'!$B$8:$B$94,0)),"")</f>
        <v>131.54789300000002</v>
      </c>
      <c r="J7" s="4">
        <f>'2016'!H11</f>
        <v>33.26</v>
      </c>
      <c r="K7" s="4">
        <f>'2016'!L11</f>
        <v>46.468669250000005</v>
      </c>
      <c r="L7" s="4" t="e">
        <f>'2016'!#REF!</f>
        <v>#REF!</v>
      </c>
      <c r="R7" s="4">
        <f t="shared" ref="R7:R26" si="2">F7-B7</f>
        <v>8.0000000000001847E-2</v>
      </c>
      <c r="S7" s="38">
        <f t="shared" ref="S7:S26" si="3">F7/B7-1</f>
        <v>2.5129574367834806E-3</v>
      </c>
      <c r="T7" s="4">
        <f t="shared" ref="T7:T26" si="4">G7-C7</f>
        <v>0.54196100000000769</v>
      </c>
      <c r="U7" s="38">
        <f t="shared" ref="U7:U26" si="5">G7/C7-1</f>
        <v>1.2193708203521725E-2</v>
      </c>
      <c r="V7" s="4">
        <f t="shared" ref="V7:V26" si="6">H7-D7</f>
        <v>7.8019610000000199</v>
      </c>
      <c r="W7" s="38">
        <f t="shared" ref="W7:W26" si="7">H7/D7-1</f>
        <v>6.3048222061958592E-2</v>
      </c>
      <c r="Y7" s="43" t="str">
        <f>IF(INDEX('2015'!$C$8:$C$94,MATCH('Bill Impacts'!A7,'2015'!$B$8:$B$94,0))=0,"",INDEX('2015'!$C$8:$C$94,MATCH('Bill Impacts'!A7,'2015'!$B$8:$B$94,0)))</f>
        <v>IRM-DA</v>
      </c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37">
        <f>INDEX('2015'!$V$8:$V$94,MATCH('Bill Impacts'!A7,'2015'!$B$8:$B$94,0))</f>
        <v>32215</v>
      </c>
      <c r="AS7" s="37"/>
      <c r="AT7">
        <f t="shared" ref="AT7:AT26" si="8">AR7/$AR$99</f>
        <v>8.5492381982563426E-3</v>
      </c>
      <c r="AV7" s="4">
        <f t="shared" ref="AV7:AV26" si="9">$AT7*B7</f>
        <v>0.27216499804149064</v>
      </c>
      <c r="AW7" s="4">
        <f t="shared" ref="AW7:AW26" si="10">$AT7*C7</f>
        <v>0.37997905196936338</v>
      </c>
      <c r="AX7" s="4">
        <f t="shared" ref="AX7:AX26" si="11">$AT7*D7</f>
        <v>1.0579334487332319</v>
      </c>
      <c r="AZ7" s="4">
        <f t="shared" ref="AZ7:AZ26" si="12">$AT7*F7</f>
        <v>0.27284893709735114</v>
      </c>
      <c r="BA7" s="4">
        <f t="shared" ref="BA7:BA26" si="13">$AT7*G7</f>
        <v>0.38461240565252863</v>
      </c>
      <c r="BB7" s="4">
        <f t="shared" ref="BB7:BB26" si="14">$AT7*H7</f>
        <v>1.1246342717357383</v>
      </c>
    </row>
    <row r="8" spans="1:54" x14ac:dyDescent="0.25">
      <c r="A8" t="s">
        <v>6</v>
      </c>
      <c r="B8" s="4">
        <f>IF(INDEX('2014'!$H$8:$H$98,MATCH('Bill Impacts'!A8,'2014'!$B$8:$B$98,0))&lt;&gt;0,INDEX('2014'!$H$8:$H$98,MATCH('Bill Impacts'!A8,'2014'!$B$8:$B$98,0)),"")</f>
        <v>28.01</v>
      </c>
      <c r="C8" s="4">
        <f>IF(INDEX('2014'!$L$8:$L$98,MATCH('Bill Impacts'!A8,'2014'!$B$8:$B$98,0))&lt;&gt;0,INDEX('2014'!$L$8:$L$98,MATCH('Bill Impacts'!A8,'2014'!$B$8:$B$98,0)),"")</f>
        <v>36.79502750000001</v>
      </c>
      <c r="D8" s="36">
        <f>IF(INDEX('2014'!$P$8:$P$98,MATCH('Bill Impacts'!A8,'2014'!$B$8:$B$98,0))&lt;&gt;0,INDEX('2014'!$P$8:$P$98,MATCH('Bill Impacts'!A8,'2014'!$B$8:$B$98,0)),"")</f>
        <v>116.12664000000001</v>
      </c>
      <c r="F8" s="4">
        <f>IF(INDEX('2015'!$G$8:$G$94,MATCH('Bill Impacts'!A8,'2015'!$B$8:$B$94,0))&lt;&gt;0,INDEX('2015'!$G$8:$G$94,MATCH('Bill Impacts'!A8,'2015'!$B$8:$B$94,0)),"")</f>
        <v>26.135000000000002</v>
      </c>
      <c r="G8" s="4">
        <f>IF(INDEX('2015'!$K$8:$K$94,MATCH('Bill Impacts'!A8,'2015'!$B$8:$B$94,0))&lt;&gt;0,INDEX('2015'!$K$8:$K$94,MATCH('Bill Impacts'!A8,'2015'!$B$8:$B$94,0)),"")</f>
        <v>35.200685000000014</v>
      </c>
      <c r="H8" s="4">
        <f>IF(INDEX('2015'!$O$8:$O$94,MATCH('Bill Impacts'!A8,'2015'!$B$8:$B$94,0))&lt;&gt;0,INDEX('2015'!$O$8:$O$94,MATCH('Bill Impacts'!A8,'2015'!$B$8:$B$94,0)),"")</f>
        <v>121.79229750000002</v>
      </c>
      <c r="J8" s="4">
        <f>'2016'!H12</f>
        <v>33.314999999999998</v>
      </c>
      <c r="K8" s="4">
        <f>'2016'!L12</f>
        <v>44.691903750000016</v>
      </c>
      <c r="L8" s="4" t="e">
        <f>'2016'!#REF!</f>
        <v>#REF!</v>
      </c>
      <c r="R8" s="4">
        <f t="shared" si="2"/>
        <v>-1.875</v>
      </c>
      <c r="S8" s="38">
        <f t="shared" si="3"/>
        <v>-6.6940378436272763E-2</v>
      </c>
      <c r="T8" s="4">
        <f t="shared" si="4"/>
        <v>-1.5943424999999962</v>
      </c>
      <c r="U8" s="38">
        <f t="shared" si="5"/>
        <v>-4.3330379356286586E-2</v>
      </c>
      <c r="V8" s="4">
        <f t="shared" si="6"/>
        <v>5.6656575000000089</v>
      </c>
      <c r="W8" s="38">
        <f t="shared" si="7"/>
        <v>4.8788611295392803E-2</v>
      </c>
      <c r="Y8" s="43" t="str">
        <f>IF(INDEX('2015'!$C$8:$C$94,MATCH('Bill Impacts'!A8,'2015'!$B$8:$B$94,0))=0,"",INDEX('2015'!$C$8:$C$94,MATCH('Bill Impacts'!A8,'2015'!$B$8:$B$94,0)))</f>
        <v>AIRI</v>
      </c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37">
        <f>INDEX('2015'!$V$8:$V$94,MATCH('Bill Impacts'!A8,'2015'!$B$8:$B$94,0))</f>
        <v>8569</v>
      </c>
      <c r="AS8" s="37"/>
      <c r="AT8">
        <f t="shared" si="8"/>
        <v>2.2740469384093932E-3</v>
      </c>
      <c r="AV8" s="4">
        <f t="shared" si="9"/>
        <v>6.3696054744847103E-2</v>
      </c>
      <c r="AW8" s="4">
        <f t="shared" si="10"/>
        <v>8.367361963506445E-2</v>
      </c>
      <c r="AX8" s="4">
        <f t="shared" si="11"/>
        <v>0.26407743015976981</v>
      </c>
      <c r="AZ8" s="4">
        <f t="shared" si="12"/>
        <v>5.9432216735329495E-2</v>
      </c>
      <c r="BA8" s="4">
        <f t="shared" si="13"/>
        <v>8.0048009954163488E-2</v>
      </c>
      <c r="BB8" s="4">
        <f t="shared" si="14"/>
        <v>0.27696140125172103</v>
      </c>
    </row>
    <row r="9" spans="1:54" x14ac:dyDescent="0.25">
      <c r="A9" t="s">
        <v>7</v>
      </c>
      <c r="B9" s="4">
        <f>IF(INDEX('2014'!$H$8:$H$98,MATCH('Bill Impacts'!A9,'2014'!$B$8:$B$98,0))&lt;&gt;0,INDEX('2014'!$H$8:$H$98,MATCH('Bill Impacts'!A9,'2014'!$B$8:$B$98,0)),"")</f>
        <v>20.734999999999999</v>
      </c>
      <c r="C9" s="4">
        <f>IF(INDEX('2014'!$L$8:$L$98,MATCH('Bill Impacts'!A9,'2014'!$B$8:$B$98,0))&lt;&gt;0,INDEX('2014'!$L$8:$L$98,MATCH('Bill Impacts'!A9,'2014'!$B$8:$B$98,0)),"")</f>
        <v>33.090180499999995</v>
      </c>
      <c r="D9" s="36">
        <f>IF(INDEX('2014'!$P$8:$P$98,MATCH('Bill Impacts'!A9,'2014'!$B$8:$B$98,0))&lt;&gt;0,INDEX('2014'!$P$8:$P$98,MATCH('Bill Impacts'!A9,'2014'!$B$8:$B$98,0)),"")</f>
        <v>112.35937799999999</v>
      </c>
      <c r="F9" s="4">
        <f>IF(INDEX('2015'!$G$8:$G$94,MATCH('Bill Impacts'!A9,'2015'!$B$8:$B$94,0))&lt;&gt;0,INDEX('2015'!$G$8:$G$94,MATCH('Bill Impacts'!A9,'2015'!$B$8:$B$94,0)),"")</f>
        <v>23.435000000000002</v>
      </c>
      <c r="G9" s="4">
        <f>IF(INDEX('2015'!$K$8:$K$94,MATCH('Bill Impacts'!A9,'2015'!$B$8:$B$94,0))&lt;&gt;0,INDEX('2015'!$K$8:$K$94,MATCH('Bill Impacts'!A9,'2015'!$B$8:$B$94,0)),"")</f>
        <v>37.363051999999996</v>
      </c>
      <c r="H9" s="4">
        <f>IF(INDEX('2015'!$O$8:$O$94,MATCH('Bill Impacts'!A9,'2015'!$B$8:$B$94,0))&lt;&gt;0,INDEX('2015'!$O$8:$O$94,MATCH('Bill Impacts'!A9,'2015'!$B$8:$B$94,0)),"")</f>
        <v>123.89224949999999</v>
      </c>
      <c r="J9" s="4">
        <f>'2016'!H13</f>
        <v>23.810000000000002</v>
      </c>
      <c r="K9" s="4">
        <f>'2016'!L13</f>
        <v>37.43684824999999</v>
      </c>
      <c r="L9" s="4" t="e">
        <f>'2016'!#REF!</f>
        <v>#REF!</v>
      </c>
      <c r="R9" s="4">
        <f t="shared" si="2"/>
        <v>2.7000000000000028</v>
      </c>
      <c r="S9" s="38">
        <f t="shared" si="3"/>
        <v>0.13021461297323378</v>
      </c>
      <c r="T9" s="4">
        <f t="shared" si="4"/>
        <v>4.2728715000000008</v>
      </c>
      <c r="U9" s="38">
        <f t="shared" si="5"/>
        <v>0.12912808076099802</v>
      </c>
      <c r="V9" s="4">
        <f t="shared" si="6"/>
        <v>11.532871499999999</v>
      </c>
      <c r="W9" s="38">
        <f t="shared" si="7"/>
        <v>0.10264271398868008</v>
      </c>
      <c r="Y9" s="43" t="str">
        <f>IF(INDEX('2015'!$C$8:$C$94,MATCH('Bill Impacts'!A9,'2015'!$B$8:$B$94,0))=0,"",INDEX('2015'!$C$8:$C$94,MATCH('Bill Impacts'!A9,'2015'!$B$8:$B$94,0)))</f>
        <v>IRM</v>
      </c>
      <c r="Z9" s="43"/>
      <c r="AA9" s="91">
        <f>J9-F9</f>
        <v>0.375</v>
      </c>
      <c r="AB9" s="92">
        <f>J9/F9-1</f>
        <v>1.600170684873059E-2</v>
      </c>
      <c r="AC9" s="91">
        <f>K9-G9</f>
        <v>7.379624999999379E-2</v>
      </c>
      <c r="AD9" s="102">
        <f>K9/G9-1</f>
        <v>1.975113007363305E-3</v>
      </c>
      <c r="AE9" s="43"/>
      <c r="AF9" s="93" t="e">
        <f>AC9/L9</f>
        <v>#REF!</v>
      </c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37">
        <f>INDEX('2015'!$V$8:$V$94,MATCH('Bill Impacts'!A9,'2015'!$B$8:$B$94,0))</f>
        <v>35576</v>
      </c>
      <c r="AS9" s="37"/>
      <c r="AT9">
        <f t="shared" si="8"/>
        <v>9.4411826211754663E-3</v>
      </c>
      <c r="AV9" s="4">
        <f t="shared" si="9"/>
        <v>0.19576292165007328</v>
      </c>
      <c r="AW9" s="4">
        <f t="shared" si="10"/>
        <v>0.31241043706815924</v>
      </c>
      <c r="AX9" s="4">
        <f t="shared" si="11"/>
        <v>1.0608054068996851</v>
      </c>
      <c r="AZ9" s="4">
        <f t="shared" si="12"/>
        <v>0.22125411472724707</v>
      </c>
      <c r="BA9" s="4">
        <f t="shared" si="13"/>
        <v>0.35275139721647519</v>
      </c>
      <c r="BB9" s="4">
        <f t="shared" si="14"/>
        <v>1.1696893528777348</v>
      </c>
    </row>
    <row r="10" spans="1:54" x14ac:dyDescent="0.25">
      <c r="A10" t="s">
        <v>103</v>
      </c>
      <c r="B10" s="4">
        <f>IF(INDEX('2014'!$H$8:$H$98,MATCH('Bill Impacts'!A10,'2014'!$B$8:$B$98,0))&lt;&gt;0,INDEX('2014'!$H$8:$H$98,MATCH('Bill Impacts'!A10,'2014'!$B$8:$B$98,0)),"")</f>
        <v>24.29</v>
      </c>
      <c r="C10" s="4">
        <f>IF(INDEX('2014'!$L$8:$L$98,MATCH('Bill Impacts'!A10,'2014'!$B$8:$B$98,0))&lt;&gt;0,INDEX('2014'!$L$8:$L$98,MATCH('Bill Impacts'!A10,'2014'!$B$8:$B$98,0)),"")</f>
        <v>37.223636000000013</v>
      </c>
      <c r="D10" s="36">
        <f>IF(INDEX('2014'!$P$8:$P$98,MATCH('Bill Impacts'!A10,'2014'!$B$8:$B$98,0))&lt;&gt;0,INDEX('2014'!$P$8:$P$98,MATCH('Bill Impacts'!A10,'2014'!$B$8:$B$98,0)),"")</f>
        <v>116.50309350000001</v>
      </c>
      <c r="F10" s="4">
        <f>IF(INDEX('2015'!$G$8:$G$94,MATCH('Bill Impacts'!A10,'2015'!$B$8:$B$94,0))&lt;&gt;0,INDEX('2015'!$G$8:$G$94,MATCH('Bill Impacts'!A10,'2015'!$B$8:$B$94,0)),"")</f>
        <v>24.455000000000002</v>
      </c>
      <c r="G10" s="4">
        <f>IF(INDEX('2015'!$K$8:$K$94,MATCH('Bill Impacts'!A10,'2015'!$B$8:$B$94,0))&lt;&gt;0,INDEX('2015'!$K$8:$K$94,MATCH('Bill Impacts'!A10,'2015'!$B$8:$B$94,0)),"")</f>
        <v>38.204016500000009</v>
      </c>
      <c r="H10" s="4">
        <f>IF(INDEX('2015'!$O$8:$O$94,MATCH('Bill Impacts'!A10,'2015'!$B$8:$B$94,0))&lt;&gt;0,INDEX('2015'!$O$8:$O$94,MATCH('Bill Impacts'!A10,'2015'!$B$8:$B$94,0)),"")</f>
        <v>124.74347400000002</v>
      </c>
      <c r="J10" s="4">
        <f>'2016'!H14</f>
        <v>26.395000000000003</v>
      </c>
      <c r="K10" s="4">
        <f>'2016'!L14</f>
        <v>39.730618000000007</v>
      </c>
      <c r="L10" s="4" t="e">
        <f>'2016'!#REF!</f>
        <v>#REF!</v>
      </c>
      <c r="R10" s="4">
        <f t="shared" si="2"/>
        <v>0.1650000000000027</v>
      </c>
      <c r="S10" s="38">
        <f t="shared" si="3"/>
        <v>6.7929188966653342E-3</v>
      </c>
      <c r="T10" s="4">
        <f t="shared" si="4"/>
        <v>0.98038049999999544</v>
      </c>
      <c r="U10" s="38">
        <f t="shared" si="5"/>
        <v>2.6337580240683556E-2</v>
      </c>
      <c r="V10" s="4">
        <f t="shared" si="6"/>
        <v>8.2403805000000148</v>
      </c>
      <c r="W10" s="38">
        <f t="shared" si="7"/>
        <v>7.0731001662200699E-2</v>
      </c>
      <c r="Y10" s="43" t="str">
        <f>IF(INDEX('2015'!$C$8:$C$94,MATCH('Bill Impacts'!A10,'2015'!$B$8:$B$94,0))=0,"",INDEX('2015'!$C$8:$C$94,MATCH('Bill Impacts'!A10,'2015'!$B$8:$B$94,0)))</f>
        <v>IRM</v>
      </c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37">
        <f>INDEX('2015'!$V$8:$V$94,MATCH('Bill Impacts'!A10,'2015'!$B$8:$B$94,0))</f>
        <v>60095</v>
      </c>
      <c r="AS10" s="37"/>
      <c r="AT10">
        <f t="shared" si="8"/>
        <v>1.5948051203607479E-2</v>
      </c>
      <c r="AV10" s="4">
        <f t="shared" si="9"/>
        <v>0.38737816373562567</v>
      </c>
      <c r="AW10" s="4">
        <f t="shared" si="10"/>
        <v>0.59364445291244694</v>
      </c>
      <c r="AX10" s="4">
        <f t="shared" si="11"/>
        <v>1.8579973005166699</v>
      </c>
      <c r="AZ10" s="4">
        <f t="shared" si="12"/>
        <v>0.39000959218422093</v>
      </c>
      <c r="BA10" s="4">
        <f t="shared" si="13"/>
        <v>0.60927961132546515</v>
      </c>
      <c r="BB10" s="4">
        <f t="shared" si="14"/>
        <v>1.9894153106678787</v>
      </c>
    </row>
    <row r="11" spans="1:54" x14ac:dyDescent="0.25">
      <c r="A11" t="s">
        <v>104</v>
      </c>
      <c r="B11" s="4">
        <f>IF(INDEX('2014'!$H$8:$H$98,MATCH('Bill Impacts'!A11,'2014'!$B$8:$B$98,0))&lt;&gt;0,INDEX('2014'!$H$8:$H$98,MATCH('Bill Impacts'!A11,'2014'!$B$8:$B$98,0)),"")</f>
        <v>24.934999999999995</v>
      </c>
      <c r="C11" s="4">
        <f>IF(INDEX('2014'!$L$8:$L$98,MATCH('Bill Impacts'!A11,'2014'!$B$8:$B$98,0))&lt;&gt;0,INDEX('2014'!$L$8:$L$98,MATCH('Bill Impacts'!A11,'2014'!$B$8:$B$98,0)),"")</f>
        <v>35.706920000000004</v>
      </c>
      <c r="D11" s="36">
        <f>IF(INDEX('2014'!$P$8:$P$98,MATCH('Bill Impacts'!A11,'2014'!$B$8:$B$98,0))&lt;&gt;0,INDEX('2014'!$P$8:$P$98,MATCH('Bill Impacts'!A11,'2014'!$B$8:$B$98,0)),"")</f>
        <v>114.97013250000001</v>
      </c>
      <c r="F11" s="4">
        <f>IF(INDEX('2015'!$G$8:$G$94,MATCH('Bill Impacts'!A11,'2015'!$B$8:$B$94,0))&lt;&gt;0,INDEX('2015'!$G$8:$G$94,MATCH('Bill Impacts'!A11,'2015'!$B$8:$B$94,0)),"")</f>
        <v>24.819999999999997</v>
      </c>
      <c r="G11" s="4">
        <f>IF(INDEX('2015'!$K$8:$K$94,MATCH('Bill Impacts'!A11,'2015'!$B$8:$B$94,0))&lt;&gt;0,INDEX('2015'!$K$8:$K$94,MATCH('Bill Impacts'!A11,'2015'!$B$8:$B$94,0)),"")</f>
        <v>35.602592500000007</v>
      </c>
      <c r="H11" s="4">
        <f>IF(INDEX('2015'!$O$8:$O$94,MATCH('Bill Impacts'!A11,'2015'!$B$8:$B$94,0))&lt;&gt;0,INDEX('2015'!$O$8:$O$94,MATCH('Bill Impacts'!A11,'2015'!$B$8:$B$94,0)),"")</f>
        <v>122.12580500000001</v>
      </c>
      <c r="J11" s="4">
        <f>'2016'!H15</f>
        <v>24.759999999999998</v>
      </c>
      <c r="K11" s="4">
        <f>'2016'!L15</f>
        <v>35.464948750000012</v>
      </c>
      <c r="L11" s="4" t="e">
        <f>'2016'!#REF!</f>
        <v>#REF!</v>
      </c>
      <c r="R11" s="4">
        <f t="shared" si="2"/>
        <v>-0.11499999999999844</v>
      </c>
      <c r="S11" s="38">
        <f t="shared" si="3"/>
        <v>-4.6119911770603483E-3</v>
      </c>
      <c r="T11" s="4">
        <f t="shared" si="4"/>
        <v>-0.10432749999999658</v>
      </c>
      <c r="U11" s="38">
        <f t="shared" si="5"/>
        <v>-2.9217725863781574E-3</v>
      </c>
      <c r="V11" s="4">
        <f t="shared" si="6"/>
        <v>7.1556725000000085</v>
      </c>
      <c r="W11" s="38">
        <f t="shared" si="7"/>
        <v>6.2239403786022551E-2</v>
      </c>
      <c r="Y11" s="43" t="str">
        <f>IF(INDEX('2015'!$C$8:$C$94,MATCH('Bill Impacts'!A11,'2015'!$B$8:$B$94,0))=0,"",INDEX('2015'!$C$8:$C$94,MATCH('Bill Impacts'!A11,'2015'!$B$8:$B$94,0)))</f>
        <v>IRM</v>
      </c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37">
        <f>INDEX('2015'!$V$8:$V$94,MATCH('Bill Impacts'!A11,'2015'!$B$8:$B$94,0))</f>
        <v>47143</v>
      </c>
      <c r="AS11" s="37"/>
      <c r="AT11">
        <f t="shared" si="8"/>
        <v>1.2510840800260711E-2</v>
      </c>
      <c r="AV11" s="4">
        <f t="shared" si="9"/>
        <v>0.31195781535450073</v>
      </c>
      <c r="AW11" s="4">
        <f t="shared" si="10"/>
        <v>0.44672359158764524</v>
      </c>
      <c r="AX11" s="4">
        <f t="shared" si="11"/>
        <v>1.43837302449238</v>
      </c>
      <c r="AZ11" s="4">
        <f t="shared" si="12"/>
        <v>0.31051906866247081</v>
      </c>
      <c r="BA11" s="4">
        <f t="shared" si="13"/>
        <v>0.44541836684405606</v>
      </c>
      <c r="BB11" s="4">
        <f t="shared" si="14"/>
        <v>1.5278965039586836</v>
      </c>
    </row>
    <row r="12" spans="1:54" x14ac:dyDescent="0.25">
      <c r="A12" t="s">
        <v>8</v>
      </c>
      <c r="B12" s="4">
        <f>IF(INDEX('2014'!$H$8:$H$98,MATCH('Bill Impacts'!A12,'2014'!$B$8:$B$98,0))&lt;&gt;0,INDEX('2014'!$H$8:$H$98,MATCH('Bill Impacts'!A12,'2014'!$B$8:$B$98,0)),"")</f>
        <v>36.819999999999993</v>
      </c>
      <c r="C12" s="4">
        <f>IF(INDEX('2014'!$L$8:$L$98,MATCH('Bill Impacts'!A12,'2014'!$B$8:$B$98,0))&lt;&gt;0,INDEX('2014'!$L$8:$L$98,MATCH('Bill Impacts'!A12,'2014'!$B$8:$B$98,0)),"")</f>
        <v>50.382558999999993</v>
      </c>
      <c r="D12" s="36">
        <f>IF(INDEX('2014'!$P$8:$P$98,MATCH('Bill Impacts'!A12,'2014'!$B$8:$B$98,0))&lt;&gt;0,INDEX('2014'!$P$8:$P$98,MATCH('Bill Impacts'!A12,'2014'!$B$8:$B$98,0)),"")</f>
        <v>128.30926399999998</v>
      </c>
      <c r="F12" s="4">
        <f>IF(INDEX('2015'!$G$8:$G$94,MATCH('Bill Impacts'!A12,'2015'!$B$8:$B$94,0))&lt;&gt;0,INDEX('2015'!$G$8:$G$94,MATCH('Bill Impacts'!A12,'2015'!$B$8:$B$94,0)),"")</f>
        <v>35.82</v>
      </c>
      <c r="G12" s="4">
        <f>IF(INDEX('2015'!$K$8:$K$94,MATCH('Bill Impacts'!A12,'2015'!$B$8:$B$94,0))&lt;&gt;0,INDEX('2015'!$K$8:$K$94,MATCH('Bill Impacts'!A12,'2015'!$B$8:$B$94,0)),"")</f>
        <v>50.250440999999995</v>
      </c>
      <c r="H12" s="4">
        <f>IF(INDEX('2015'!$O$8:$O$94,MATCH('Bill Impacts'!A12,'2015'!$B$8:$B$94,0))&lt;&gt;0,INDEX('2015'!$O$8:$O$94,MATCH('Bill Impacts'!A12,'2015'!$B$8:$B$94,0)),"")</f>
        <v>135.43714599999998</v>
      </c>
      <c r="J12" s="4">
        <f>'2016'!H16</f>
        <v>33.980000000000004</v>
      </c>
      <c r="K12" s="4">
        <f>'2016'!L16</f>
        <v>48.7864535</v>
      </c>
      <c r="L12" s="4" t="e">
        <f>'2016'!#REF!</f>
        <v>#REF!</v>
      </c>
      <c r="R12" s="4">
        <f t="shared" si="2"/>
        <v>-0.99999999999999289</v>
      </c>
      <c r="S12" s="38">
        <f t="shared" si="3"/>
        <v>-2.7159152634437578E-2</v>
      </c>
      <c r="T12" s="4">
        <f t="shared" si="4"/>
        <v>-0.1321179999999984</v>
      </c>
      <c r="U12" s="38">
        <f t="shared" si="5"/>
        <v>-2.6222963386992593E-3</v>
      </c>
      <c r="V12" s="4">
        <f t="shared" si="6"/>
        <v>7.1278819999999996</v>
      </c>
      <c r="W12" s="38">
        <f t="shared" si="7"/>
        <v>5.5552356687199156E-2</v>
      </c>
      <c r="Y12" s="43" t="str">
        <f>IF(INDEX('2015'!$C$8:$C$94,MATCH('Bill Impacts'!A12,'2015'!$B$8:$B$94,0))=0,"",INDEX('2015'!$C$8:$C$94,MATCH('Bill Impacts'!A12,'2015'!$B$8:$B$94,0)))</f>
        <v>IRM</v>
      </c>
      <c r="Z12" s="43"/>
      <c r="AA12" s="91">
        <f>J12-F12</f>
        <v>-1.8399999999999963</v>
      </c>
      <c r="AB12" s="92">
        <f>J12/F12-1</f>
        <v>-5.1367950865438217E-2</v>
      </c>
      <c r="AC12" s="91">
        <f>K12-G12</f>
        <v>-1.4639874999999947</v>
      </c>
      <c r="AD12" s="102">
        <f>K12/G12-1</f>
        <v>-2.9133823920072577E-2</v>
      </c>
      <c r="AE12" s="43"/>
      <c r="AF12" s="93" t="e">
        <f t="shared" ref="AF12:AF14" si="15">AC12/L12</f>
        <v>#REF!</v>
      </c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5">
        <v>3123</v>
      </c>
      <c r="AS12" s="49"/>
      <c r="AT12">
        <f t="shared" si="8"/>
        <v>8.2878382409295537E-4</v>
      </c>
      <c r="AV12" s="4">
        <f t="shared" si="9"/>
        <v>3.0515820403102613E-2</v>
      </c>
      <c r="AW12" s="4">
        <f t="shared" si="10"/>
        <v>4.1756249915608938E-2</v>
      </c>
      <c r="AX12" s="4">
        <f t="shared" si="11"/>
        <v>0.10634064248447256</v>
      </c>
      <c r="AZ12" s="4">
        <f t="shared" si="12"/>
        <v>2.9687036579009663E-2</v>
      </c>
      <c r="BA12" s="4">
        <f t="shared" si="13"/>
        <v>4.1646752654337427E-2</v>
      </c>
      <c r="BB12" s="4">
        <f t="shared" si="14"/>
        <v>0.1122481157861159</v>
      </c>
    </row>
    <row r="13" spans="1:54" x14ac:dyDescent="0.25">
      <c r="A13" s="12" t="s">
        <v>9</v>
      </c>
      <c r="B13" s="4">
        <f>IF(INDEX('2014'!$H$8:$H$98,MATCH('Bill Impacts'!A13,'2014'!$B$8:$B$98,0))&lt;&gt;0,INDEX('2014'!$H$8:$H$98,MATCH('Bill Impacts'!A13,'2014'!$B$8:$B$98,0)),"")</f>
        <v>37.28</v>
      </c>
      <c r="C13" s="4">
        <f>IF(INDEX('2014'!$L$8:$L$98,MATCH('Bill Impacts'!A13,'2014'!$B$8:$B$98,0))&lt;&gt;0,INDEX('2014'!$L$8:$L$98,MATCH('Bill Impacts'!A13,'2014'!$B$8:$B$98,0)),"")</f>
        <v>50.842559000000001</v>
      </c>
      <c r="D13" s="36">
        <f>IF(INDEX('2014'!$P$8:$P$98,MATCH('Bill Impacts'!A13,'2014'!$B$8:$B$98,0))&lt;&gt;0,INDEX('2014'!$P$8:$P$98,MATCH('Bill Impacts'!A13,'2014'!$B$8:$B$98,0)),"")</f>
        <v>124.944264</v>
      </c>
      <c r="F13" s="4">
        <f>IF(INDEX('2015'!$G$8:$G$94,MATCH('Bill Impacts'!A13,'2015'!$B$8:$B$94,0))&lt;&gt;0,INDEX('2015'!$G$8:$G$94,MATCH('Bill Impacts'!A13,'2015'!$B$8:$B$94,0)),"")</f>
        <v>36.194999999999993</v>
      </c>
      <c r="G13" s="4">
        <f>IF(INDEX('2015'!$K$8:$K$94,MATCH('Bill Impacts'!A13,'2015'!$B$8:$B$94,0))&lt;&gt;0,INDEX('2015'!$K$8:$K$94,MATCH('Bill Impacts'!A13,'2015'!$B$8:$B$94,0)),"")</f>
        <v>50.625440999999988</v>
      </c>
      <c r="H13" s="4">
        <f>IF(INDEX('2015'!$O$8:$O$94,MATCH('Bill Impacts'!A13,'2015'!$B$8:$B$94,0))&lt;&gt;0,INDEX('2015'!$O$8:$O$94,MATCH('Bill Impacts'!A13,'2015'!$B$8:$B$94,0)),"")</f>
        <v>131.987146</v>
      </c>
      <c r="J13" s="4">
        <f>'2016'!H17</f>
        <v>36.08</v>
      </c>
      <c r="K13" s="4">
        <f>'2016'!L17</f>
        <v>50.886453499999995</v>
      </c>
      <c r="L13" s="4" t="e">
        <f>'2016'!#REF!</f>
        <v>#REF!</v>
      </c>
      <c r="R13" s="4">
        <f t="shared" si="2"/>
        <v>-1.085000000000008</v>
      </c>
      <c r="S13" s="38">
        <f t="shared" si="3"/>
        <v>-2.9104077253219063E-2</v>
      </c>
      <c r="T13" s="4">
        <f t="shared" si="4"/>
        <v>-0.21711800000001347</v>
      </c>
      <c r="U13" s="38">
        <f t="shared" si="5"/>
        <v>-4.2703987421249812E-3</v>
      </c>
      <c r="V13" s="4">
        <f t="shared" si="6"/>
        <v>7.0428819999999916</v>
      </c>
      <c r="W13" s="38">
        <f t="shared" si="7"/>
        <v>5.636818989945791E-2</v>
      </c>
      <c r="Y13" s="43" t="str">
        <f>IF(INDEX('2015'!$C$8:$C$94,MATCH('Bill Impacts'!A13,'2015'!$B$8:$B$94,0))=0,"",INDEX('2015'!$C$8:$C$94,MATCH('Bill Impacts'!A13,'2015'!$B$8:$B$94,0)))</f>
        <v>IRM</v>
      </c>
      <c r="Z13" s="43"/>
      <c r="AA13" s="91">
        <f>J13-F13</f>
        <v>-0.11499999999999488</v>
      </c>
      <c r="AB13" s="92">
        <f>J13/F13-1</f>
        <v>-3.1772344246441264E-3</v>
      </c>
      <c r="AC13" s="91">
        <f>K13-G13</f>
        <v>0.26101250000000675</v>
      </c>
      <c r="AD13" s="102">
        <f>K13/G13-1</f>
        <v>5.1557575567588998E-3</v>
      </c>
      <c r="AE13" s="43"/>
      <c r="AF13" s="93" t="e">
        <f t="shared" si="15"/>
        <v>#REF!</v>
      </c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5">
        <v>14369</v>
      </c>
      <c r="AS13" s="49"/>
      <c r="AT13">
        <f t="shared" si="8"/>
        <v>3.8132548089630726E-3</v>
      </c>
      <c r="AV13" s="4">
        <f t="shared" si="9"/>
        <v>0.14215813927814336</v>
      </c>
      <c r="AW13" s="4">
        <f t="shared" si="10"/>
        <v>0.19387563260673876</v>
      </c>
      <c r="AX13" s="4">
        <f t="shared" si="11"/>
        <v>0.47644431555035172</v>
      </c>
      <c r="AZ13" s="4">
        <f t="shared" si="12"/>
        <v>0.13802075781041839</v>
      </c>
      <c r="BA13" s="4">
        <f t="shared" si="13"/>
        <v>0.19304770634912627</v>
      </c>
      <c r="BB13" s="4">
        <f t="shared" si="14"/>
        <v>0.50330061920581115</v>
      </c>
    </row>
    <row r="14" spans="1:54" x14ac:dyDescent="0.25">
      <c r="A14" s="12" t="s">
        <v>10</v>
      </c>
      <c r="B14" s="4">
        <f>IF(INDEX('2014'!$H$8:$H$98,MATCH('Bill Impacts'!A14,'2014'!$B$8:$B$98,0))&lt;&gt;0,INDEX('2014'!$H$8:$H$98,MATCH('Bill Impacts'!A14,'2014'!$B$8:$B$98,0)),"")</f>
        <v>40.855000000000004</v>
      </c>
      <c r="C14" s="4">
        <f>IF(INDEX('2014'!$L$8:$L$98,MATCH('Bill Impacts'!A14,'2014'!$B$8:$B$98,0))&lt;&gt;0,INDEX('2014'!$L$8:$L$98,MATCH('Bill Impacts'!A14,'2014'!$B$8:$B$98,0)),"")</f>
        <v>54.417559000000004</v>
      </c>
      <c r="D14" s="36">
        <f>IF(INDEX('2014'!$P$8:$P$98,MATCH('Bill Impacts'!A14,'2014'!$B$8:$B$98,0))&lt;&gt;0,INDEX('2014'!$P$8:$P$98,MATCH('Bill Impacts'!A14,'2014'!$B$8:$B$98,0)),"")</f>
        <v>133.76926400000002</v>
      </c>
      <c r="F14" s="4">
        <f>IF(INDEX('2015'!$G$8:$G$94,MATCH('Bill Impacts'!A14,'2015'!$B$8:$B$94,0))&lt;&gt;0,INDEX('2015'!$G$8:$G$94,MATCH('Bill Impacts'!A14,'2015'!$B$8:$B$94,0)),"")</f>
        <v>35.75</v>
      </c>
      <c r="G14" s="4">
        <f>IF(INDEX('2015'!$K$8:$K$94,MATCH('Bill Impacts'!A14,'2015'!$B$8:$B$94,0))&lt;&gt;0,INDEX('2015'!$K$8:$K$94,MATCH('Bill Impacts'!A14,'2015'!$B$8:$B$94,0)),"")</f>
        <v>50.180440999999995</v>
      </c>
      <c r="H14" s="4">
        <f>IF(INDEX('2015'!$O$8:$O$94,MATCH('Bill Impacts'!A14,'2015'!$B$8:$B$94,0))&lt;&gt;0,INDEX('2015'!$O$8:$O$94,MATCH('Bill Impacts'!A14,'2015'!$B$8:$B$94,0)),"")</f>
        <v>136.792146</v>
      </c>
      <c r="J14" s="4">
        <f>'2016'!H18</f>
        <v>34.805</v>
      </c>
      <c r="K14" s="4">
        <f>'2016'!L18</f>
        <v>49.611453499999996</v>
      </c>
      <c r="L14" s="4" t="e">
        <f>'2016'!#REF!</f>
        <v>#REF!</v>
      </c>
      <c r="R14" s="4">
        <f t="shared" si="2"/>
        <v>-5.105000000000004</v>
      </c>
      <c r="S14" s="38">
        <f t="shared" si="3"/>
        <v>-0.12495410598457968</v>
      </c>
      <c r="T14" s="4">
        <f t="shared" si="4"/>
        <v>-4.2371180000000095</v>
      </c>
      <c r="U14" s="38">
        <f t="shared" si="5"/>
        <v>-7.7863066220960175E-2</v>
      </c>
      <c r="V14" s="4">
        <f t="shared" si="6"/>
        <v>3.0228819999999814</v>
      </c>
      <c r="W14" s="38">
        <f t="shared" si="7"/>
        <v>2.2597732166635742E-2</v>
      </c>
      <c r="Y14" s="43" t="str">
        <f>IF(INDEX('2015'!$C$8:$C$94,MATCH('Bill Impacts'!A14,'2015'!$B$8:$B$94,0))=0,"",INDEX('2015'!$C$8:$C$94,MATCH('Bill Impacts'!A14,'2015'!$B$8:$B$94,0)))</f>
        <v>IRM</v>
      </c>
      <c r="Z14" s="43"/>
      <c r="AA14" s="91">
        <f>J14-F14</f>
        <v>-0.94500000000000028</v>
      </c>
      <c r="AB14" s="92">
        <f>J14/F14-1</f>
        <v>-2.6433566433566424E-2</v>
      </c>
      <c r="AC14" s="91">
        <f>K14-G14</f>
        <v>-0.56898749999999865</v>
      </c>
      <c r="AD14" s="102">
        <f>K14/G14-1</f>
        <v>-1.1338830202787586E-2</v>
      </c>
      <c r="AE14" s="43"/>
      <c r="AF14" s="93" t="e">
        <f t="shared" si="15"/>
        <v>#REF!</v>
      </c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5">
        <v>8161</v>
      </c>
      <c r="AS14" s="49"/>
      <c r="AT14">
        <f t="shared" si="8"/>
        <v>2.165771626135962E-3</v>
      </c>
      <c r="AV14" s="4">
        <f t="shared" si="9"/>
        <v>8.8482599785784738E-2</v>
      </c>
      <c r="AW14" s="4">
        <f t="shared" si="10"/>
        <v>0.11785600524577966</v>
      </c>
      <c r="AX14" s="4">
        <f t="shared" si="11"/>
        <v>0.28971367642029083</v>
      </c>
      <c r="AZ14" s="4">
        <f t="shared" si="12"/>
        <v>7.7426335634360646E-2</v>
      </c>
      <c r="BA14" s="4">
        <f t="shared" si="13"/>
        <v>0.10867937530478969</v>
      </c>
      <c r="BB14" s="4">
        <f t="shared" si="14"/>
        <v>0.29626054848504796</v>
      </c>
    </row>
    <row r="15" spans="1:54" x14ac:dyDescent="0.25">
      <c r="A15" t="s">
        <v>11</v>
      </c>
      <c r="B15" s="4">
        <f>IF(INDEX('2014'!$H$8:$H$98,MATCH('Bill Impacts'!A15,'2014'!$B$8:$B$98,0))&lt;&gt;0,INDEX('2014'!$H$8:$H$98,MATCH('Bill Impacts'!A15,'2014'!$B$8:$B$98,0)),"")</f>
        <v>30.45</v>
      </c>
      <c r="C15" s="4">
        <f>IF(INDEX('2014'!$L$8:$L$98,MATCH('Bill Impacts'!A15,'2014'!$B$8:$B$98,0))&lt;&gt;0,INDEX('2014'!$L$8:$L$98,MATCH('Bill Impacts'!A15,'2014'!$B$8:$B$98,0)),"")</f>
        <v>43.107564000000004</v>
      </c>
      <c r="D15" s="36">
        <f>IF(INDEX('2014'!$P$8:$P$98,MATCH('Bill Impacts'!A15,'2014'!$B$8:$B$98,0))&lt;&gt;0,INDEX('2014'!$P$8:$P$98,MATCH('Bill Impacts'!A15,'2014'!$B$8:$B$98,0)),"")</f>
        <v>122.4400315</v>
      </c>
      <c r="F15" s="4">
        <f>IF(INDEX('2015'!$G$8:$G$94,MATCH('Bill Impacts'!A15,'2015'!$B$8:$B$94,0))&lt;&gt;0,INDEX('2015'!$G$8:$G$94,MATCH('Bill Impacts'!A15,'2015'!$B$8:$B$94,0)),"")</f>
        <v>28.57</v>
      </c>
      <c r="G15" s="4">
        <f>IF(INDEX('2015'!$K$8:$K$94,MATCH('Bill Impacts'!A15,'2015'!$B$8:$B$94,0))&lt;&gt;0,INDEX('2015'!$K$8:$K$94,MATCH('Bill Impacts'!A15,'2015'!$B$8:$B$94,0)),"")</f>
        <v>41.509658500000008</v>
      </c>
      <c r="H15" s="4">
        <f>IF(INDEX('2015'!$O$8:$O$94,MATCH('Bill Impacts'!A15,'2015'!$B$8:$B$94,0))&lt;&gt;0,INDEX('2015'!$O$8:$O$94,MATCH('Bill Impacts'!A15,'2015'!$B$8:$B$94,0)),"")</f>
        <v>128.102126</v>
      </c>
      <c r="J15" s="4">
        <f>'2016'!H19</f>
        <v>28.689999999999998</v>
      </c>
      <c r="K15" s="4">
        <f>'2016'!L19</f>
        <v>42.289362250000003</v>
      </c>
      <c r="L15" s="4" t="e">
        <f>'2016'!#REF!</f>
        <v>#REF!</v>
      </c>
      <c r="R15" s="4">
        <f t="shared" si="2"/>
        <v>-1.879999999999999</v>
      </c>
      <c r="S15" s="38">
        <f t="shared" si="3"/>
        <v>-6.1740558292282421E-2</v>
      </c>
      <c r="T15" s="4">
        <f t="shared" si="4"/>
        <v>-1.597905499999996</v>
      </c>
      <c r="U15" s="38">
        <f t="shared" si="5"/>
        <v>-3.7067868182020125E-2</v>
      </c>
      <c r="V15" s="4">
        <f t="shared" si="6"/>
        <v>5.6620944999999949</v>
      </c>
      <c r="W15" s="38">
        <f t="shared" si="7"/>
        <v>4.6243817733744974E-2</v>
      </c>
      <c r="Y15" s="43" t="str">
        <f>IF(INDEX('2015'!$C$8:$C$94,MATCH('Bill Impacts'!A15,'2015'!$B$8:$B$94,0))=0,"",INDEX('2015'!$C$8:$C$94,MATCH('Bill Impacts'!A15,'2015'!$B$8:$B$94,0)))</f>
        <v>IRM</v>
      </c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37">
        <f>INDEX('2015'!$V$8:$V$94,MATCH('Bill Impacts'!A15,'2015'!$B$8:$B$94,0))</f>
        <v>5955</v>
      </c>
      <c r="AS15" s="49"/>
      <c r="AT15">
        <f t="shared" si="8"/>
        <v>1.5803418739908899E-3</v>
      </c>
      <c r="AV15" s="4">
        <f t="shared" si="9"/>
        <v>4.8121410063022597E-2</v>
      </c>
      <c r="AW15" s="4">
        <f t="shared" si="10"/>
        <v>6.8124688474942227E-2</v>
      </c>
      <c r="AX15" s="4">
        <f t="shared" si="11"/>
        <v>0.1934971088322136</v>
      </c>
      <c r="AZ15" s="4">
        <f t="shared" si="12"/>
        <v>4.5150367339919728E-2</v>
      </c>
      <c r="BA15" s="4">
        <f t="shared" si="13"/>
        <v>6.5599451502611886E-2</v>
      </c>
      <c r="BB15" s="4">
        <f t="shared" si="14"/>
        <v>0.2024451538650571</v>
      </c>
    </row>
    <row r="16" spans="1:54" x14ac:dyDescent="0.25">
      <c r="A16" t="s">
        <v>12</v>
      </c>
      <c r="B16" s="4">
        <f>IF(INDEX('2014'!$H$8:$H$98,MATCH('Bill Impacts'!A16,'2014'!$B$8:$B$98,0))&lt;&gt;0,INDEX('2014'!$H$8:$H$98,MATCH('Bill Impacts'!A16,'2014'!$B$8:$B$98,0)),"")</f>
        <v>37.094999999999999</v>
      </c>
      <c r="C16" s="4">
        <f>IF(INDEX('2014'!$L$8:$L$98,MATCH('Bill Impacts'!A16,'2014'!$B$8:$B$98,0))&lt;&gt;0,INDEX('2014'!$L$8:$L$98,MATCH('Bill Impacts'!A16,'2014'!$B$8:$B$98,0)),"")</f>
        <v>48.422087999999995</v>
      </c>
      <c r="D16" s="36">
        <f>IF(INDEX('2014'!$P$8:$P$98,MATCH('Bill Impacts'!A16,'2014'!$B$8:$B$98,0))&lt;&gt;0,INDEX('2014'!$P$8:$P$98,MATCH('Bill Impacts'!A16,'2014'!$B$8:$B$98,0)),"")</f>
        <v>127.821673</v>
      </c>
      <c r="F16" s="4">
        <f>IF(INDEX('2015'!$G$8:$G$94,MATCH('Bill Impacts'!A16,'2015'!$B$8:$B$94,0))&lt;&gt;0,INDEX('2015'!$G$8:$G$94,MATCH('Bill Impacts'!A16,'2015'!$B$8:$B$94,0)),"")</f>
        <v>33.764999999999993</v>
      </c>
      <c r="G16" s="4">
        <f>IF(INDEX('2015'!$K$8:$K$94,MATCH('Bill Impacts'!A16,'2015'!$B$8:$B$94,0))&lt;&gt;0,INDEX('2015'!$K$8:$K$94,MATCH('Bill Impacts'!A16,'2015'!$B$8:$B$94,0)),"")</f>
        <v>45.486986999999992</v>
      </c>
      <c r="H16" s="4">
        <f>IF(INDEX('2015'!$O$8:$O$94,MATCH('Bill Impacts'!A16,'2015'!$B$8:$B$94,0))&lt;&gt;0,INDEX('2015'!$O$8:$O$94,MATCH('Bill Impacts'!A16,'2015'!$B$8:$B$94,0)),"")</f>
        <v>132.14657199999999</v>
      </c>
      <c r="J16" s="17">
        <f>'2015'!G20</f>
        <v>33.764999999999993</v>
      </c>
      <c r="K16" s="17">
        <f>'2015'!K20</f>
        <v>45.486986999999992</v>
      </c>
      <c r="L16" s="17">
        <f>'2015'!O20</f>
        <v>132.14657199999999</v>
      </c>
      <c r="R16" s="4">
        <f t="shared" si="2"/>
        <v>-3.3300000000000054</v>
      </c>
      <c r="S16" s="38">
        <f t="shared" si="3"/>
        <v>-8.9769510715730028E-2</v>
      </c>
      <c r="T16" s="4">
        <f t="shared" si="4"/>
        <v>-2.9351010000000031</v>
      </c>
      <c r="U16" s="38">
        <f t="shared" si="5"/>
        <v>-6.0614920199228206E-2</v>
      </c>
      <c r="V16" s="4">
        <f t="shared" si="6"/>
        <v>4.3248989999999878</v>
      </c>
      <c r="W16" s="38">
        <f t="shared" si="7"/>
        <v>3.3835412246560059E-2</v>
      </c>
      <c r="Y16" s="43" t="str">
        <f>IF(INDEX('2015'!$C$8:$C$94,MATCH('Bill Impacts'!A16,'2015'!$B$8:$B$94,0))=0,"",INDEX('2015'!$C$8:$C$94,MATCH('Bill Impacts'!A16,'2015'!$B$8:$B$94,0)))</f>
        <v>IRM-DA</v>
      </c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37">
        <f>INDEX('2015'!$V$8:$V$94,MATCH('Bill Impacts'!A16,'2015'!$B$8:$B$94,0))</f>
        <v>1068</v>
      </c>
      <c r="AS16" s="49"/>
      <c r="AT16">
        <f t="shared" si="8"/>
        <v>2.8342655271574652E-4</v>
      </c>
      <c r="AV16" s="4">
        <f t="shared" si="9"/>
        <v>1.0513707972990618E-2</v>
      </c>
      <c r="AW16" s="4">
        <f t="shared" si="10"/>
        <v>1.3724105477138517E-2</v>
      </c>
      <c r="AX16" s="4">
        <f t="shared" si="11"/>
        <v>3.6228056140749414E-2</v>
      </c>
      <c r="AZ16" s="4">
        <f t="shared" si="12"/>
        <v>9.5698975524471791E-3</v>
      </c>
      <c r="BA16" s="4">
        <f t="shared" si="13"/>
        <v>1.2892219918835974E-2</v>
      </c>
      <c r="BB16" s="4">
        <f t="shared" si="14"/>
        <v>3.7453847355163189E-2</v>
      </c>
    </row>
    <row r="17" spans="1:54" x14ac:dyDescent="0.25">
      <c r="A17" t="s">
        <v>13</v>
      </c>
      <c r="B17" s="4">
        <f>IF(INDEX('2014'!$H$8:$H$98,MATCH('Bill Impacts'!A17,'2014'!$B$8:$B$98,0))&lt;&gt;0,INDEX('2014'!$H$8:$H$98,MATCH('Bill Impacts'!A17,'2014'!$B$8:$B$98,0)),"")</f>
        <v>27.424999999999997</v>
      </c>
      <c r="C17" s="4">
        <f>IF(INDEX('2014'!$L$8:$L$98,MATCH('Bill Impacts'!A17,'2014'!$B$8:$B$98,0))&lt;&gt;0,INDEX('2014'!$L$8:$L$98,MATCH('Bill Impacts'!A17,'2014'!$B$8:$B$98,0)),"")</f>
        <v>40.220345000000002</v>
      </c>
      <c r="D17" s="36">
        <f>IF(INDEX('2014'!$P$8:$P$98,MATCH('Bill Impacts'!A17,'2014'!$B$8:$B$98,0))&lt;&gt;0,INDEX('2014'!$P$8:$P$98,MATCH('Bill Impacts'!A17,'2014'!$B$8:$B$98,0)),"")</f>
        <v>119.64386999999999</v>
      </c>
      <c r="F17" s="4">
        <f>IF(INDEX('2015'!$G$8:$G$94,MATCH('Bill Impacts'!A17,'2015'!$B$8:$B$94,0))&lt;&gt;0,INDEX('2015'!$G$8:$G$94,MATCH('Bill Impacts'!A17,'2015'!$B$8:$B$94,0)),"")</f>
        <v>28.340000000000003</v>
      </c>
      <c r="G17" s="4">
        <f>IF(INDEX('2015'!$K$8:$K$94,MATCH('Bill Impacts'!A17,'2015'!$B$8:$B$94,0))&lt;&gt;0,INDEX('2015'!$K$8:$K$94,MATCH('Bill Impacts'!A17,'2015'!$B$8:$B$94,0)),"")</f>
        <v>42.293405</v>
      </c>
      <c r="H17" s="4">
        <f>IF(INDEX('2015'!$O$8:$O$94,MATCH('Bill Impacts'!A17,'2015'!$B$8:$B$94,0))&lt;&gt;0,INDEX('2015'!$O$8:$O$94,MATCH('Bill Impacts'!A17,'2015'!$B$8:$B$94,0)),"")</f>
        <v>128.97693000000001</v>
      </c>
      <c r="J17" s="4">
        <f>'2016'!H21</f>
        <v>27.34</v>
      </c>
      <c r="K17" s="4">
        <f>'2016'!L21</f>
        <v>41.625317499999994</v>
      </c>
      <c r="L17" s="4" t="e">
        <f>'2016'!#REF!</f>
        <v>#REF!</v>
      </c>
      <c r="R17" s="4">
        <f t="shared" si="2"/>
        <v>0.91500000000000625</v>
      </c>
      <c r="S17" s="38">
        <f t="shared" si="3"/>
        <v>3.3363719234275502E-2</v>
      </c>
      <c r="T17" s="4">
        <f t="shared" si="4"/>
        <v>2.0730599999999981</v>
      </c>
      <c r="U17" s="38">
        <f t="shared" si="5"/>
        <v>5.1542571303155205E-2</v>
      </c>
      <c r="V17" s="4">
        <f t="shared" si="6"/>
        <v>9.3330600000000175</v>
      </c>
      <c r="W17" s="38">
        <f t="shared" si="7"/>
        <v>7.8007005289949305E-2</v>
      </c>
      <c r="Y17" s="43" t="str">
        <f>IF(INDEX('2015'!$C$8:$C$94,MATCH('Bill Impacts'!A17,'2015'!$B$8:$B$94,0))=0,"",INDEX('2015'!$C$8:$C$94,MATCH('Bill Impacts'!A17,'2015'!$B$8:$B$94,0)))</f>
        <v>IRM-DA</v>
      </c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37">
        <f>INDEX('2015'!$V$8:$V$94,MATCH('Bill Impacts'!A17,'2015'!$B$8:$B$94,0))</f>
        <v>14591</v>
      </c>
      <c r="AS17" s="49"/>
      <c r="AT17">
        <f t="shared" si="8"/>
        <v>3.8721693171118515E-3</v>
      </c>
      <c r="AV17" s="4">
        <f t="shared" si="9"/>
        <v>0.10619424352179252</v>
      </c>
      <c r="AW17" s="4">
        <f t="shared" si="10"/>
        <v>0.15573998583265308</v>
      </c>
      <c r="AX17" s="4">
        <f t="shared" si="11"/>
        <v>0.46328132239451908</v>
      </c>
      <c r="AZ17" s="4">
        <f t="shared" si="12"/>
        <v>0.10973727844694989</v>
      </c>
      <c r="BA17" s="4">
        <f t="shared" si="13"/>
        <v>0.16376722515718498</v>
      </c>
      <c r="BB17" s="4">
        <f t="shared" si="14"/>
        <v>0.49942051096128309</v>
      </c>
    </row>
    <row r="18" spans="1:54" x14ac:dyDescent="0.25">
      <c r="A18" t="s">
        <v>105</v>
      </c>
      <c r="B18" s="4">
        <f>IF(INDEX('2014'!$H$8:$H$98,MATCH('Bill Impacts'!A18,'2014'!$B$8:$B$98,0))&lt;&gt;0,INDEX('2014'!$H$8:$H$98,MATCH('Bill Impacts'!A18,'2014'!$B$8:$B$98,0)),"")</f>
        <v>23.270000000000003</v>
      </c>
      <c r="C18" s="4">
        <f>IF(INDEX('2014'!$L$8:$L$98,MATCH('Bill Impacts'!A18,'2014'!$B$8:$B$98,0))&lt;&gt;0,INDEX('2014'!$L$8:$L$98,MATCH('Bill Impacts'!A18,'2014'!$B$8:$B$98,0)),"")</f>
        <v>37.864136000000009</v>
      </c>
      <c r="D18" s="36">
        <f>IF(INDEX('2014'!$P$8:$P$98,MATCH('Bill Impacts'!A18,'2014'!$B$8:$B$98,0))&lt;&gt;0,INDEX('2014'!$P$8:$P$98,MATCH('Bill Impacts'!A18,'2014'!$B$8:$B$98,0)),"")</f>
        <v>117.26756850000001</v>
      </c>
      <c r="F18" s="4">
        <f>IF(INDEX('2015'!$G$8:$G$94,MATCH('Bill Impacts'!A18,'2015'!$B$8:$B$94,0))&lt;&gt;0,INDEX('2015'!$G$8:$G$94,MATCH('Bill Impacts'!A18,'2015'!$B$8:$B$94,0)),"")</f>
        <v>26.734999999999999</v>
      </c>
      <c r="G18" s="4">
        <f>IF(INDEX('2015'!$K$8:$K$94,MATCH('Bill Impacts'!A18,'2015'!$B$8:$B$94,0))&lt;&gt;0,INDEX('2015'!$K$8:$K$94,MATCH('Bill Impacts'!A18,'2015'!$B$8:$B$94,0)),"")</f>
        <v>41.570556500000002</v>
      </c>
      <c r="H18" s="4">
        <f>IF(INDEX('2015'!$O$8:$O$94,MATCH('Bill Impacts'!A18,'2015'!$B$8:$B$94,0))&lt;&gt;0,INDEX('2015'!$O$8:$O$94,MATCH('Bill Impacts'!A18,'2015'!$B$8:$B$94,0)),"")</f>
        <v>128.23398900000001</v>
      </c>
      <c r="J18" s="4">
        <f>'2016'!H22</f>
        <v>28.339999999999996</v>
      </c>
      <c r="K18" s="4">
        <f>'2016'!L22</f>
        <v>43.55554025</v>
      </c>
      <c r="L18" s="4" t="e">
        <f>'2016'!#REF!</f>
        <v>#REF!</v>
      </c>
      <c r="R18" s="4">
        <f t="shared" si="2"/>
        <v>3.4649999999999963</v>
      </c>
      <c r="S18" s="38">
        <f t="shared" si="3"/>
        <v>0.14890416845724097</v>
      </c>
      <c r="T18" s="4">
        <f t="shared" si="4"/>
        <v>3.706420499999993</v>
      </c>
      <c r="U18" s="38">
        <f t="shared" si="5"/>
        <v>9.7887364972489843E-2</v>
      </c>
      <c r="V18" s="4">
        <f t="shared" si="6"/>
        <v>10.966420499999998</v>
      </c>
      <c r="W18" s="38">
        <f t="shared" si="7"/>
        <v>9.3516226526006552E-2</v>
      </c>
      <c r="Y18" s="43" t="str">
        <f>IF(INDEX('2015'!$C$8:$C$94,MATCH('Bill Impacts'!A18,'2015'!$B$8:$B$94,0))=0,"",INDEX('2015'!$C$8:$C$94,MATCH('Bill Impacts'!A18,'2015'!$B$8:$B$94,0)))</f>
        <v>IRM-DA</v>
      </c>
      <c r="Z18" s="43"/>
      <c r="AA18" s="91">
        <f>J18-F18</f>
        <v>1.6049999999999969</v>
      </c>
      <c r="AB18" s="92">
        <f>J18/F18-1</f>
        <v>6.0033663736674736E-2</v>
      </c>
      <c r="AC18" s="91">
        <f>K18-G18</f>
        <v>1.9849837499999978</v>
      </c>
      <c r="AD18" s="102">
        <f>K18/G18-1</f>
        <v>4.774975167820994E-2</v>
      </c>
      <c r="AE18" s="43"/>
      <c r="AF18" s="93" t="e">
        <f>AC18/L18</f>
        <v>#REF!</v>
      </c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37">
        <f>INDEX('2015'!$V$8:$V$94,MATCH('Bill Impacts'!A18,'2015'!$B$8:$B$94,0))</f>
        <v>1809</v>
      </c>
      <c r="AS18" s="49"/>
      <c r="AT18">
        <f t="shared" si="8"/>
        <v>4.8007362721234594E-4</v>
      </c>
      <c r="AV18" s="4">
        <f t="shared" si="9"/>
        <v>1.1171313305231292E-2</v>
      </c>
      <c r="AW18" s="4">
        <f t="shared" si="10"/>
        <v>1.817757311078157E-2</v>
      </c>
      <c r="AX18" s="4">
        <f t="shared" si="11"/>
        <v>5.6297066964167246E-2</v>
      </c>
      <c r="AZ18" s="4">
        <f t="shared" si="12"/>
        <v>1.2834768423522068E-2</v>
      </c>
      <c r="BA18" s="4">
        <f t="shared" si="13"/>
        <v>1.9956927844190765E-2</v>
      </c>
      <c r="BB18" s="4">
        <f t="shared" si="14"/>
        <v>6.1561756231138076E-2</v>
      </c>
    </row>
    <row r="19" spans="1:54" x14ac:dyDescent="0.25">
      <c r="A19" t="s">
        <v>14</v>
      </c>
      <c r="B19" s="4">
        <f>IF(INDEX('2014'!$H$8:$H$98,MATCH('Bill Impacts'!A19,'2014'!$B$8:$B$98,0))&lt;&gt;0,INDEX('2014'!$H$8:$H$98,MATCH('Bill Impacts'!A19,'2014'!$B$8:$B$98,0)),"")</f>
        <v>10.100000000000001</v>
      </c>
      <c r="C19" s="4">
        <f>IF(INDEX('2014'!$L$8:$L$98,MATCH('Bill Impacts'!A19,'2014'!$B$8:$B$98,0))&lt;&gt;0,INDEX('2014'!$L$8:$L$98,MATCH('Bill Impacts'!A19,'2014'!$B$8:$B$98,0)),"")</f>
        <v>23.094770000000004</v>
      </c>
      <c r="D19" s="36">
        <f>IF(INDEX('2014'!$P$8:$P$98,MATCH('Bill Impacts'!A19,'2014'!$B$8:$B$98,0))&lt;&gt;0,INDEX('2014'!$P$8:$P$98,MATCH('Bill Impacts'!A19,'2014'!$B$8:$B$98,0)),"")</f>
        <v>102.56104500000001</v>
      </c>
      <c r="F19" s="4">
        <f>IF(INDEX('2015'!$G$8:$G$94,MATCH('Bill Impacts'!A19,'2015'!$B$8:$B$94,0))&lt;&gt;0,INDEX('2015'!$G$8:$G$94,MATCH('Bill Impacts'!A19,'2015'!$B$8:$B$94,0)),"")</f>
        <v>16.805</v>
      </c>
      <c r="G19" s="4">
        <f>IF(INDEX('2015'!$K$8:$K$94,MATCH('Bill Impacts'!A19,'2015'!$B$8:$B$94,0))&lt;&gt;0,INDEX('2015'!$K$8:$K$94,MATCH('Bill Impacts'!A19,'2015'!$B$8:$B$94,0)),"")</f>
        <v>29.414929999999998</v>
      </c>
      <c r="H19" s="4">
        <f>IF(INDEX('2015'!$O$8:$O$94,MATCH('Bill Impacts'!A19,'2015'!$B$8:$B$94,0))&lt;&gt;0,INDEX('2015'!$O$8:$O$94,MATCH('Bill Impacts'!A19,'2015'!$B$8:$B$94,0)),"")</f>
        <v>116.141205</v>
      </c>
      <c r="J19" s="4">
        <f>'2016'!H25</f>
        <v>15.545000000000002</v>
      </c>
      <c r="K19" s="4">
        <f>'2016'!L25</f>
        <v>30.581592499999999</v>
      </c>
      <c r="L19" s="4" t="e">
        <f>'2016'!#REF!</f>
        <v>#REF!</v>
      </c>
      <c r="R19" s="4">
        <f t="shared" si="2"/>
        <v>6.7049999999999983</v>
      </c>
      <c r="S19" s="38">
        <f t="shared" si="3"/>
        <v>0.66386138613861356</v>
      </c>
      <c r="T19" s="4">
        <f t="shared" si="4"/>
        <v>6.3201599999999942</v>
      </c>
      <c r="U19" s="38">
        <f t="shared" si="5"/>
        <v>0.27366195896300294</v>
      </c>
      <c r="V19" s="4">
        <f t="shared" si="6"/>
        <v>13.580159999999992</v>
      </c>
      <c r="W19" s="38">
        <f t="shared" si="7"/>
        <v>0.1324105073227364</v>
      </c>
      <c r="Y19" s="43" t="str">
        <f>IF(INDEX('2015'!$C$8:$C$94,MATCH('Bill Impacts'!A19,'2015'!$B$8:$B$94,0))=0,"",INDEX('2015'!$C$8:$C$94,MATCH('Bill Impacts'!A19,'2015'!$B$8:$B$94,0)))</f>
        <v>IRM-DA</v>
      </c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37">
        <f>INDEX('2015'!$V$8:$V$94,MATCH('Bill Impacts'!A19,'2015'!$B$8:$B$94,0))</f>
        <v>10852</v>
      </c>
      <c r="AS19" s="49"/>
      <c r="AT19">
        <f t="shared" si="8"/>
        <v>2.879911001939402E-3</v>
      </c>
      <c r="AV19" s="4">
        <f t="shared" si="9"/>
        <v>2.9087101119587965E-2</v>
      </c>
      <c r="AW19" s="4">
        <f t="shared" si="10"/>
        <v>6.6510882210260053E-2</v>
      </c>
      <c r="AX19" s="4">
        <f t="shared" si="11"/>
        <v>0.29536668186590209</v>
      </c>
      <c r="AZ19" s="4">
        <f t="shared" si="12"/>
        <v>4.8396904387591651E-2</v>
      </c>
      <c r="BA19" s="4">
        <f t="shared" si="13"/>
        <v>8.471238052827737E-2</v>
      </c>
      <c r="BB19" s="4">
        <f t="shared" si="14"/>
        <v>0.33447633405799948</v>
      </c>
    </row>
    <row r="20" spans="1:54" x14ac:dyDescent="0.25">
      <c r="A20" t="s">
        <v>15</v>
      </c>
      <c r="B20" s="4">
        <f>IF(INDEX('2014'!$H$8:$H$98,MATCH('Bill Impacts'!A20,'2014'!$B$8:$B$98,0))&lt;&gt;0,INDEX('2014'!$H$8:$H$98,MATCH('Bill Impacts'!A20,'2014'!$B$8:$B$98,0)),"")</f>
        <v>23.344999999999999</v>
      </c>
      <c r="C20" s="4">
        <f>IF(INDEX('2014'!$L$8:$L$98,MATCH('Bill Impacts'!A20,'2014'!$B$8:$B$98,0))&lt;&gt;0,INDEX('2014'!$L$8:$L$98,MATCH('Bill Impacts'!A20,'2014'!$B$8:$B$98,0)),"")</f>
        <v>36.253219999999999</v>
      </c>
      <c r="D20" s="36">
        <f>IF(INDEX('2014'!$P$8:$P$98,MATCH('Bill Impacts'!A20,'2014'!$B$8:$B$98,0))&lt;&gt;0,INDEX('2014'!$P$8:$P$98,MATCH('Bill Impacts'!A20,'2014'!$B$8:$B$98,0)),"")</f>
        <v>115.52712</v>
      </c>
      <c r="F20" s="4">
        <f>IF(INDEX('2015'!$G$8:$G$94,MATCH('Bill Impacts'!A20,'2015'!$B$8:$B$94,0))&lt;&gt;0,INDEX('2015'!$G$8:$G$94,MATCH('Bill Impacts'!A20,'2015'!$B$8:$B$94,0)),"")</f>
        <v>24.135000000000002</v>
      </c>
      <c r="G20" s="4">
        <f>IF(INDEX('2015'!$K$8:$K$94,MATCH('Bill Impacts'!A20,'2015'!$B$8:$B$94,0))&lt;&gt;0,INDEX('2015'!$K$8:$K$94,MATCH('Bill Impacts'!A20,'2015'!$B$8:$B$94,0)),"")</f>
        <v>38.003879999999995</v>
      </c>
      <c r="H20" s="4">
        <f>IF(INDEX('2015'!$O$8:$O$94,MATCH('Bill Impacts'!A20,'2015'!$B$8:$B$94,0))&lt;&gt;0,INDEX('2015'!$O$8:$O$94,MATCH('Bill Impacts'!A20,'2015'!$B$8:$B$94,0)),"")</f>
        <v>124.53778</v>
      </c>
      <c r="J20" s="4">
        <f>'2016'!H26</f>
        <v>25.234999999999999</v>
      </c>
      <c r="K20" s="4">
        <f>'2016'!L26</f>
        <v>39.198230000000002</v>
      </c>
      <c r="L20" s="4" t="e">
        <f>'2016'!#REF!</f>
        <v>#REF!</v>
      </c>
      <c r="R20" s="4">
        <f t="shared" si="2"/>
        <v>0.7900000000000027</v>
      </c>
      <c r="S20" s="38">
        <f t="shared" si="3"/>
        <v>3.3840222745770143E-2</v>
      </c>
      <c r="T20" s="4">
        <f t="shared" si="4"/>
        <v>1.7506599999999963</v>
      </c>
      <c r="U20" s="38">
        <f t="shared" si="5"/>
        <v>4.8289779500965579E-2</v>
      </c>
      <c r="V20" s="4">
        <f t="shared" si="6"/>
        <v>9.0106600000000014</v>
      </c>
      <c r="W20" s="38">
        <f t="shared" si="7"/>
        <v>7.7996058414682157E-2</v>
      </c>
      <c r="Y20" s="43" t="str">
        <f>IF(INDEX('2015'!$C$8:$C$94,MATCH('Bill Impacts'!A20,'2015'!$B$8:$B$94,0))=0,"",INDEX('2015'!$C$8:$C$94,MATCH('Bill Impacts'!A20,'2015'!$B$8:$B$94,0)))</f>
        <v>IRM</v>
      </c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37">
        <f>INDEX('2015'!$V$8:$V$94,MATCH('Bill Impacts'!A20,'2015'!$B$8:$B$94,0))</f>
        <v>179182</v>
      </c>
      <c r="AS20" s="49"/>
      <c r="AT20">
        <f t="shared" si="8"/>
        <v>4.7551438734749901E-2</v>
      </c>
      <c r="AV20" s="4">
        <f t="shared" si="9"/>
        <v>1.1100883372627364</v>
      </c>
      <c r="AW20" s="4">
        <f t="shared" si="10"/>
        <v>1.7238927697674098</v>
      </c>
      <c r="AX20" s="4">
        <f t="shared" si="11"/>
        <v>5.4934807688821001</v>
      </c>
      <c r="AZ20" s="4">
        <f t="shared" si="12"/>
        <v>1.147653973863189</v>
      </c>
      <c r="BA20" s="4">
        <f t="shared" si="13"/>
        <v>1.8071391715027869</v>
      </c>
      <c r="BB20" s="4">
        <f t="shared" si="14"/>
        <v>5.9219506158317614</v>
      </c>
    </row>
    <row r="21" spans="1:54" x14ac:dyDescent="0.25">
      <c r="A21" t="s">
        <v>16</v>
      </c>
      <c r="B21" s="4">
        <f>IF(INDEX('2014'!$H$8:$H$98,MATCH('Bill Impacts'!A21,'2014'!$B$8:$B$98,0))&lt;&gt;0,INDEX('2014'!$H$8:$H$98,MATCH('Bill Impacts'!A21,'2014'!$B$8:$B$98,0)),"")</f>
        <v>26.454999999999998</v>
      </c>
      <c r="C21" s="4">
        <f>IF(INDEX('2014'!$L$8:$L$98,MATCH('Bill Impacts'!A21,'2014'!$B$8:$B$98,0))&lt;&gt;0,INDEX('2014'!$L$8:$L$98,MATCH('Bill Impacts'!A21,'2014'!$B$8:$B$98,0)),"")</f>
        <v>39.121005999999987</v>
      </c>
      <c r="D21" s="36">
        <f>IF(INDEX('2014'!$P$8:$P$98,MATCH('Bill Impacts'!A21,'2014'!$B$8:$B$98,0))&lt;&gt;0,INDEX('2014'!$P$8:$P$98,MATCH('Bill Impacts'!A21,'2014'!$B$8:$B$98,0)),"")</f>
        <v>118.42397599999998</v>
      </c>
      <c r="F21" s="4">
        <f>IF(INDEX('2015'!$G$8:$G$94,MATCH('Bill Impacts'!A21,'2015'!$B$8:$B$94,0))&lt;&gt;0,INDEX('2015'!$G$8:$G$94,MATCH('Bill Impacts'!A21,'2015'!$B$8:$B$94,0)),"")</f>
        <v>28.450000000000003</v>
      </c>
      <c r="G21" s="4">
        <f>IF(INDEX('2015'!$K$8:$K$94,MATCH('Bill Impacts'!A21,'2015'!$B$8:$B$94,0))&lt;&gt;0,INDEX('2015'!$K$8:$K$94,MATCH('Bill Impacts'!A21,'2015'!$B$8:$B$94,0)),"")</f>
        <v>41.661363999999992</v>
      </c>
      <c r="H21" s="4">
        <f>IF(INDEX('2015'!$O$8:$O$94,MATCH('Bill Impacts'!A21,'2015'!$B$8:$B$94,0))&lt;&gt;0,INDEX('2015'!$O$8:$O$94,MATCH('Bill Impacts'!A21,'2015'!$B$8:$B$94,0)),"")</f>
        <v>128.224334</v>
      </c>
      <c r="J21" s="4">
        <f>'2016'!H27</f>
        <v>27.164999999999999</v>
      </c>
      <c r="K21" s="4">
        <f>'2016'!L27</f>
        <v>40.397555999999994</v>
      </c>
      <c r="L21" s="4" t="e">
        <f>'2016'!#REF!</f>
        <v>#REF!</v>
      </c>
      <c r="R21" s="4">
        <f t="shared" si="2"/>
        <v>1.9950000000000045</v>
      </c>
      <c r="S21" s="38">
        <f t="shared" si="3"/>
        <v>7.5411075411075501E-2</v>
      </c>
      <c r="T21" s="4">
        <f t="shared" si="4"/>
        <v>2.5403580000000048</v>
      </c>
      <c r="U21" s="38">
        <f t="shared" si="5"/>
        <v>6.493590681180339E-2</v>
      </c>
      <c r="V21" s="4">
        <f t="shared" si="6"/>
        <v>9.800358000000017</v>
      </c>
      <c r="W21" s="38">
        <f t="shared" si="7"/>
        <v>8.275653572043562E-2</v>
      </c>
      <c r="Y21" s="43" t="str">
        <f>IF(INDEX('2015'!$C$8:$C$94,MATCH('Bill Impacts'!A21,'2015'!$B$8:$B$94,0))=0,"",INDEX('2015'!$C$8:$C$94,MATCH('Bill Impacts'!A21,'2015'!$B$8:$B$94,0)))</f>
        <v>IRM</v>
      </c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5">
        <v>28512</v>
      </c>
      <c r="AS21" s="49"/>
      <c r="AT21">
        <f t="shared" si="8"/>
        <v>7.5665335871080196E-3</v>
      </c>
      <c r="AV21" s="4">
        <f t="shared" si="9"/>
        <v>0.20017264604694265</v>
      </c>
      <c r="AW21" s="4">
        <f t="shared" si="10"/>
        <v>0.29601040586045424</v>
      </c>
      <c r="AX21" s="4">
        <f t="shared" si="11"/>
        <v>0.89605899192287386</v>
      </c>
      <c r="AZ21" s="4">
        <f t="shared" si="12"/>
        <v>0.21526788055322318</v>
      </c>
      <c r="BA21" s="4">
        <f t="shared" si="13"/>
        <v>0.31523210999073287</v>
      </c>
      <c r="BB21" s="4">
        <f t="shared" si="14"/>
        <v>0.97021372989555676</v>
      </c>
    </row>
    <row r="22" spans="1:54" x14ac:dyDescent="0.25">
      <c r="A22" t="s">
        <v>17</v>
      </c>
      <c r="B22" s="4">
        <f>IF(INDEX('2014'!$H$8:$H$98,MATCH('Bill Impacts'!A22,'2014'!$B$8:$B$98,0))&lt;&gt;0,INDEX('2014'!$H$8:$H$98,MATCH('Bill Impacts'!A22,'2014'!$B$8:$B$98,0)),"")</f>
        <v>28.265000000000001</v>
      </c>
      <c r="C22" s="4">
        <f>IF(INDEX('2014'!$L$8:$L$98,MATCH('Bill Impacts'!A22,'2014'!$B$8:$B$98,0))&lt;&gt;0,INDEX('2014'!$L$8:$L$98,MATCH('Bill Impacts'!A22,'2014'!$B$8:$B$98,0)),"")</f>
        <v>42.744416000000001</v>
      </c>
      <c r="D22" s="36">
        <f>IF(INDEX('2014'!$P$8:$P$98,MATCH('Bill Impacts'!A22,'2014'!$B$8:$B$98,0))&lt;&gt;0,INDEX('2014'!$P$8:$P$98,MATCH('Bill Impacts'!A22,'2014'!$B$8:$B$98,0)),"")</f>
        <v>122.124336</v>
      </c>
      <c r="F22" s="4">
        <f>IF(INDEX('2015'!$G$8:$G$94,MATCH('Bill Impacts'!A22,'2015'!$B$8:$B$94,0))&lt;&gt;0,INDEX('2015'!$G$8:$G$94,MATCH('Bill Impacts'!A22,'2015'!$B$8:$B$94,0)),"")</f>
        <v>29.974999999999994</v>
      </c>
      <c r="G22" s="4">
        <f>IF(INDEX('2015'!$K$8:$K$94,MATCH('Bill Impacts'!A22,'2015'!$B$8:$B$94,0))&lt;&gt;0,INDEX('2015'!$K$8:$K$94,MATCH('Bill Impacts'!A22,'2015'!$B$8:$B$94,0)),"")</f>
        <v>44.418463999999993</v>
      </c>
      <c r="H22" s="4">
        <f>IF(INDEX('2015'!$O$8:$O$94,MATCH('Bill Impacts'!A22,'2015'!$B$8:$B$94,0))&lt;&gt;0,INDEX('2015'!$O$8:$O$94,MATCH('Bill Impacts'!A22,'2015'!$B$8:$B$94,0)),"")</f>
        <v>131.05838399999999</v>
      </c>
      <c r="J22" s="4">
        <f>'2016'!H28</f>
        <v>27.164999999999999</v>
      </c>
      <c r="K22" s="4">
        <f>'2016'!L28</f>
        <v>40.397555999999994</v>
      </c>
      <c r="L22" s="4" t="e">
        <f>'2016'!#REF!</f>
        <v>#REF!</v>
      </c>
      <c r="R22" s="4">
        <f t="shared" si="2"/>
        <v>1.7099999999999937</v>
      </c>
      <c r="S22" s="38">
        <f t="shared" si="3"/>
        <v>6.0498850168052121E-2</v>
      </c>
      <c r="T22" s="4">
        <f t="shared" si="4"/>
        <v>1.674047999999992</v>
      </c>
      <c r="U22" s="38">
        <f t="shared" si="5"/>
        <v>3.9164133158352099E-2</v>
      </c>
      <c r="V22" s="4">
        <f t="shared" si="6"/>
        <v>8.93404799999999</v>
      </c>
      <c r="W22" s="38">
        <f t="shared" si="7"/>
        <v>7.3155345548818307E-2</v>
      </c>
      <c r="Y22" s="43" t="str">
        <f>IF(INDEX('2015'!$C$8:$C$94,MATCH('Bill Impacts'!A22,'2015'!$B$8:$B$94,0))=0,"",INDEX('2015'!$C$8:$C$94,MATCH('Bill Impacts'!A22,'2015'!$B$8:$B$94,0)))</f>
        <v>IRM</v>
      </c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5">
        <v>6984</v>
      </c>
      <c r="AS22" s="49"/>
      <c r="AT22">
        <f t="shared" si="8"/>
        <v>1.8534185806804997E-3</v>
      </c>
      <c r="AV22" s="4">
        <f t="shared" si="9"/>
        <v>5.2386876182934326E-2</v>
      </c>
      <c r="AW22" s="4">
        <f t="shared" si="10"/>
        <v>7.9223294834736849E-2</v>
      </c>
      <c r="AX22" s="4">
        <f t="shared" si="11"/>
        <v>0.22634751349566845</v>
      </c>
      <c r="AZ22" s="4">
        <f t="shared" si="12"/>
        <v>5.5556221955897968E-2</v>
      </c>
      <c r="BA22" s="4">
        <f t="shared" si="13"/>
        <v>8.2326006502887863E-2</v>
      </c>
      <c r="BB22" s="4">
        <f t="shared" si="14"/>
        <v>0.2429060440595599</v>
      </c>
    </row>
    <row r="23" spans="1:54" x14ac:dyDescent="0.25">
      <c r="A23" t="s">
        <v>18</v>
      </c>
      <c r="B23" s="4">
        <f>IF(INDEX('2014'!$H$8:$H$98,MATCH('Bill Impacts'!A23,'2014'!$B$8:$B$98,0))&lt;&gt;0,INDEX('2014'!$H$8:$H$98,MATCH('Bill Impacts'!A23,'2014'!$B$8:$B$98,0)),"")</f>
        <v>32.570000000000007</v>
      </c>
      <c r="C23" s="4">
        <f>IF(INDEX('2014'!$L$8:$L$98,MATCH('Bill Impacts'!A23,'2014'!$B$8:$B$98,0))&lt;&gt;0,INDEX('2014'!$L$8:$L$98,MATCH('Bill Impacts'!A23,'2014'!$B$8:$B$98,0)),"")</f>
        <v>47.476124000000006</v>
      </c>
      <c r="D23" s="36">
        <f>IF(INDEX('2014'!$P$8:$P$98,MATCH('Bill Impacts'!A23,'2014'!$B$8:$B$98,0))&lt;&gt;0,INDEX('2014'!$P$8:$P$98,MATCH('Bill Impacts'!A23,'2014'!$B$8:$B$98,0)),"")</f>
        <v>126.87912900000001</v>
      </c>
      <c r="F23" s="4">
        <f>IF(INDEX('2015'!$G$8:$G$94,MATCH('Bill Impacts'!A23,'2015'!$B$8:$B$94,0))&lt;&gt;0,INDEX('2015'!$G$8:$G$94,MATCH('Bill Impacts'!A23,'2015'!$B$8:$B$94,0)),"")</f>
        <v>29.834999999999997</v>
      </c>
      <c r="G23" s="4">
        <f>IF(INDEX('2015'!$K$8:$K$94,MATCH('Bill Impacts'!A23,'2015'!$B$8:$B$94,0))&lt;&gt;0,INDEX('2015'!$K$8:$K$94,MATCH('Bill Impacts'!A23,'2015'!$B$8:$B$94,0)),"")</f>
        <v>45.461630999999997</v>
      </c>
      <c r="H23" s="4">
        <f>IF(INDEX('2015'!$O$8:$O$94,MATCH('Bill Impacts'!A23,'2015'!$B$8:$B$94,0))&lt;&gt;0,INDEX('2015'!$O$8:$O$94,MATCH('Bill Impacts'!A23,'2015'!$B$8:$B$94,0)),"")</f>
        <v>132.12463600000001</v>
      </c>
      <c r="J23" s="4">
        <f>'2016'!H29</f>
        <v>27.465</v>
      </c>
      <c r="K23" s="4">
        <f>'2016'!L29</f>
        <v>40.697555999999999</v>
      </c>
      <c r="L23" s="4" t="e">
        <f>'2016'!#REF!</f>
        <v>#REF!</v>
      </c>
      <c r="R23" s="4">
        <f t="shared" si="2"/>
        <v>-2.7350000000000101</v>
      </c>
      <c r="S23" s="38">
        <f t="shared" si="3"/>
        <v>-8.3972981271108638E-2</v>
      </c>
      <c r="T23" s="4">
        <f t="shared" si="4"/>
        <v>-2.0144930000000087</v>
      </c>
      <c r="U23" s="38">
        <f t="shared" si="5"/>
        <v>-4.243170735673385E-2</v>
      </c>
      <c r="V23" s="4">
        <f t="shared" si="6"/>
        <v>5.2455070000000035</v>
      </c>
      <c r="W23" s="38">
        <f t="shared" si="7"/>
        <v>4.134255209144766E-2</v>
      </c>
      <c r="Y23" s="43" t="str">
        <f>IF(INDEX('2015'!$C$8:$C$94,MATCH('Bill Impacts'!A23,'2015'!$B$8:$B$94,0))=0,"",INDEX('2015'!$C$8:$C$94,MATCH('Bill Impacts'!A23,'2015'!$B$8:$B$94,0)))</f>
        <v>IRM</v>
      </c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5">
        <v>506</v>
      </c>
      <c r="AS23" s="49"/>
      <c r="AT23">
        <f t="shared" si="8"/>
        <v>1.342826176724417E-4</v>
      </c>
      <c r="AV23" s="4">
        <f t="shared" si="9"/>
        <v>4.3735848575914274E-3</v>
      </c>
      <c r="AW23" s="4">
        <f t="shared" si="10"/>
        <v>6.3752182076614343E-3</v>
      </c>
      <c r="AX23" s="4">
        <f t="shared" si="11"/>
        <v>1.7037661570119413E-2</v>
      </c>
      <c r="AZ23" s="4">
        <f t="shared" si="12"/>
        <v>4.0063218982572977E-3</v>
      </c>
      <c r="BA23" s="4">
        <f t="shared" si="13"/>
        <v>6.1047068143386231E-3</v>
      </c>
      <c r="BB23" s="4">
        <f t="shared" si="14"/>
        <v>1.7742041981098529E-2</v>
      </c>
    </row>
    <row r="24" spans="1:54" x14ac:dyDescent="0.25">
      <c r="A24" t="s">
        <v>19</v>
      </c>
      <c r="B24" s="4">
        <f>IF(INDEX('2014'!$H$8:$H$98,MATCH('Bill Impacts'!A24,'2014'!$B$8:$B$98,0))&lt;&gt;0,INDEX('2014'!$H$8:$H$98,MATCH('Bill Impacts'!A24,'2014'!$B$8:$B$98,0)),"")</f>
        <v>29.5</v>
      </c>
      <c r="C24" s="4">
        <f>IF(INDEX('2014'!$L$8:$L$98,MATCH('Bill Impacts'!A24,'2014'!$B$8:$B$98,0))&lt;&gt;0,INDEX('2014'!$L$8:$L$98,MATCH('Bill Impacts'!A24,'2014'!$B$8:$B$98,0)),"")</f>
        <v>43.440760000000004</v>
      </c>
      <c r="D24" s="36">
        <f>IF(INDEX('2014'!$P$8:$P$98,MATCH('Bill Impacts'!A24,'2014'!$B$8:$B$98,0))&lt;&gt;0,INDEX('2014'!$P$8:$P$98,MATCH('Bill Impacts'!A24,'2014'!$B$8:$B$98,0)),"")</f>
        <v>122.80871</v>
      </c>
      <c r="F24" s="4">
        <f>IF(INDEX('2015'!$G$8:$G$94,MATCH('Bill Impacts'!A24,'2015'!$B$8:$B$94,0))&lt;&gt;0,INDEX('2015'!$G$8:$G$94,MATCH('Bill Impacts'!A24,'2015'!$B$8:$B$94,0)),"")</f>
        <v>34.78</v>
      </c>
      <c r="G24" s="4">
        <f>IF(INDEX('2015'!$K$8:$K$94,MATCH('Bill Impacts'!A24,'2015'!$B$8:$B$94,0))&lt;&gt;0,INDEX('2015'!$K$8:$K$94,MATCH('Bill Impacts'!A24,'2015'!$B$8:$B$94,0)),"")</f>
        <v>48.110289999999999</v>
      </c>
      <c r="H24" s="4">
        <f>IF(INDEX('2015'!$O$8:$O$94,MATCH('Bill Impacts'!A24,'2015'!$B$8:$B$94,0))&lt;&gt;0,INDEX('2015'!$O$8:$O$94,MATCH('Bill Impacts'!A24,'2015'!$B$8:$B$94,0)),"")</f>
        <v>134.73824000000002</v>
      </c>
      <c r="J24" s="4">
        <f>'2016'!H30</f>
        <v>32.79</v>
      </c>
      <c r="K24" s="4">
        <f>'2016'!L30</f>
        <v>46.022555999999994</v>
      </c>
      <c r="L24" s="4" t="e">
        <f>'2016'!#REF!</f>
        <v>#REF!</v>
      </c>
      <c r="R24" s="4">
        <f t="shared" si="2"/>
        <v>5.2800000000000011</v>
      </c>
      <c r="S24" s="38">
        <f t="shared" si="3"/>
        <v>0.17898305084745769</v>
      </c>
      <c r="T24" s="4">
        <f t="shared" si="4"/>
        <v>4.6695299999999946</v>
      </c>
      <c r="U24" s="38">
        <f t="shared" si="5"/>
        <v>0.10749190391696639</v>
      </c>
      <c r="V24" s="4">
        <f t="shared" si="6"/>
        <v>11.929530000000014</v>
      </c>
      <c r="W24" s="38">
        <f t="shared" si="7"/>
        <v>9.7139119855586875E-2</v>
      </c>
      <c r="Y24" s="43" t="str">
        <f>IF(INDEX('2015'!$C$8:$C$94,MATCH('Bill Impacts'!A24,'2015'!$B$8:$B$94,0))=0,"",INDEX('2015'!$C$8:$C$94,MATCH('Bill Impacts'!A24,'2015'!$B$8:$B$94,0)))</f>
        <v>IRM</v>
      </c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5">
        <v>163</v>
      </c>
      <c r="AS24" s="49"/>
      <c r="AT24">
        <f t="shared" si="8"/>
        <v>4.3257048775905132E-5</v>
      </c>
      <c r="AV24" s="4">
        <f t="shared" si="9"/>
        <v>1.2760829388892014E-3</v>
      </c>
      <c r="AW24" s="4">
        <f t="shared" si="10"/>
        <v>1.8791190741823888E-3</v>
      </c>
      <c r="AX24" s="4">
        <f t="shared" si="11"/>
        <v>5.3123423585759886E-3</v>
      </c>
      <c r="AZ24" s="4">
        <f t="shared" si="12"/>
        <v>1.5044801564259806E-3</v>
      </c>
      <c r="BA24" s="4">
        <f t="shared" si="13"/>
        <v>2.0811091611529406E-3</v>
      </c>
      <c r="BB24" s="4">
        <f t="shared" si="14"/>
        <v>5.8283786196596131E-3</v>
      </c>
    </row>
    <row r="25" spans="1:54" x14ac:dyDescent="0.25">
      <c r="A25" t="s">
        <v>20</v>
      </c>
      <c r="B25" s="4">
        <f>IF(INDEX('2014'!$H$8:$H$98,MATCH('Bill Impacts'!A25,'2014'!$B$8:$B$98,0))&lt;&gt;0,INDEX('2014'!$H$8:$H$98,MATCH('Bill Impacts'!A25,'2014'!$B$8:$B$98,0)),"")</f>
        <v>24.9</v>
      </c>
      <c r="C25" s="4">
        <f>IF(INDEX('2014'!$L$8:$L$98,MATCH('Bill Impacts'!A25,'2014'!$B$8:$B$98,0))&lt;&gt;0,INDEX('2014'!$L$8:$L$98,MATCH('Bill Impacts'!A25,'2014'!$B$8:$B$98,0)),"")</f>
        <v>37.398399000000012</v>
      </c>
      <c r="D25" s="36">
        <f>IF(INDEX('2014'!$P$8:$P$98,MATCH('Bill Impacts'!A25,'2014'!$B$8:$B$98,0))&lt;&gt;0,INDEX('2014'!$P$8:$P$98,MATCH('Bill Impacts'!A25,'2014'!$B$8:$B$98,0)),"")</f>
        <v>116.67956650000002</v>
      </c>
      <c r="F25" s="4">
        <f>IF(INDEX('2015'!$G$8:$G$94,MATCH('Bill Impacts'!A25,'2015'!$B$8:$B$94,0))&lt;&gt;0,INDEX('2015'!$G$8:$G$94,MATCH('Bill Impacts'!A25,'2015'!$B$8:$B$94,0)),"")</f>
        <v>22.835000000000001</v>
      </c>
      <c r="G25" s="4">
        <f>IF(INDEX('2015'!$K$8:$K$94,MATCH('Bill Impacts'!A25,'2015'!$B$8:$B$94,0))&lt;&gt;0,INDEX('2015'!$K$8:$K$94,MATCH('Bill Impacts'!A25,'2015'!$B$8:$B$94,0)),"")</f>
        <v>35.529273500000016</v>
      </c>
      <c r="H25" s="4">
        <f>IF(INDEX('2015'!$O$8:$O$94,MATCH('Bill Impacts'!A25,'2015'!$B$8:$B$94,0))&lt;&gt;0,INDEX('2015'!$O$8:$O$94,MATCH('Bill Impacts'!A25,'2015'!$B$8:$B$94,0)),"")</f>
        <v>122.07044100000002</v>
      </c>
      <c r="J25" s="4">
        <f>'2016'!H31</f>
        <v>27.974999999999998</v>
      </c>
      <c r="K25" s="4">
        <f>'2016'!L31</f>
        <v>41.008644750000016</v>
      </c>
      <c r="L25" s="4" t="e">
        <f>'2016'!#REF!</f>
        <v>#REF!</v>
      </c>
      <c r="R25" s="4">
        <f t="shared" si="2"/>
        <v>-2.0649999999999977</v>
      </c>
      <c r="S25" s="38">
        <f t="shared" si="3"/>
        <v>-8.2931726907630399E-2</v>
      </c>
      <c r="T25" s="4">
        <f t="shared" si="4"/>
        <v>-1.8691254999999956</v>
      </c>
      <c r="U25" s="38">
        <f t="shared" si="5"/>
        <v>-4.9978757112035588E-2</v>
      </c>
      <c r="V25" s="4">
        <f t="shared" si="6"/>
        <v>5.3908744999999954</v>
      </c>
      <c r="W25" s="38">
        <f t="shared" si="7"/>
        <v>4.620238711634217E-2</v>
      </c>
      <c r="Y25" s="43" t="str">
        <f>IF(INDEX('2015'!$C$8:$C$94,MATCH('Bill Impacts'!A25,'2015'!$B$8:$B$94,0))=0,"",INDEX('2015'!$C$8:$C$94,MATCH('Bill Impacts'!A25,'2015'!$B$8:$B$94,0)))</f>
        <v>AIRI</v>
      </c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37">
        <f>INDEX('2015'!$V$8:$V$94,MATCH('Bill Impacts'!A25,'2015'!$B$8:$B$94,0))</f>
        <v>78144</v>
      </c>
      <c r="AS25" s="49"/>
      <c r="AT25">
        <f t="shared" si="8"/>
        <v>2.0737906868370126E-2</v>
      </c>
      <c r="AV25" s="4">
        <f t="shared" si="9"/>
        <v>0.5163738810224161</v>
      </c>
      <c r="AW25" s="4">
        <f t="shared" si="10"/>
        <v>0.77556451548814676</v>
      </c>
      <c r="AX25" s="4">
        <f t="shared" si="11"/>
        <v>2.4196899835187993</v>
      </c>
      <c r="AZ25" s="4">
        <f t="shared" si="12"/>
        <v>0.47355010333923186</v>
      </c>
      <c r="BA25" s="4">
        <f t="shared" si="13"/>
        <v>0.73680276494385111</v>
      </c>
      <c r="BB25" s="4">
        <f t="shared" si="14"/>
        <v>2.5314854368388704</v>
      </c>
    </row>
    <row r="26" spans="1:54" x14ac:dyDescent="0.25">
      <c r="A26" t="s">
        <v>21</v>
      </c>
      <c r="B26" s="4">
        <f>IF(INDEX('2014'!$H$8:$H$98,MATCH('Bill Impacts'!A26,'2014'!$B$8:$B$98,0))&lt;&gt;0,INDEX('2014'!$H$8:$H$98,MATCH('Bill Impacts'!A26,'2014'!$B$8:$B$98,0)),"")</f>
        <v>27.860000000000003</v>
      </c>
      <c r="C26" s="4">
        <f>IF(INDEX('2014'!$L$8:$L$98,MATCH('Bill Impacts'!A26,'2014'!$B$8:$B$98,0))&lt;&gt;0,INDEX('2014'!$L$8:$L$98,MATCH('Bill Impacts'!A26,'2014'!$B$8:$B$98,0)),"")</f>
        <v>39.844681999999999</v>
      </c>
      <c r="D26" s="36">
        <f>IF(INDEX('2014'!$P$8:$P$98,MATCH('Bill Impacts'!A26,'2014'!$B$8:$B$98,0))&lt;&gt;0,INDEX('2014'!$P$8:$P$98,MATCH('Bill Impacts'!A26,'2014'!$B$8:$B$98,0)),"")</f>
        <v>119.1574845</v>
      </c>
      <c r="F26" s="4">
        <f>IF(INDEX('2015'!$G$8:$G$94,MATCH('Bill Impacts'!A26,'2015'!$B$8:$B$94,0))&lt;&gt;0,INDEX('2015'!$G$8:$G$94,MATCH('Bill Impacts'!A26,'2015'!$B$8:$B$94,0)),"")</f>
        <v>32.33</v>
      </c>
      <c r="G26" s="4">
        <f>IF(INDEX('2015'!$K$8:$K$94,MATCH('Bill Impacts'!A26,'2015'!$B$8:$B$94,0))&lt;&gt;0,INDEX('2015'!$K$8:$K$94,MATCH('Bill Impacts'!A26,'2015'!$B$8:$B$94,0)),"")</f>
        <v>44.563725499999997</v>
      </c>
      <c r="H26" s="4">
        <f>IF(INDEX('2015'!$O$8:$O$94,MATCH('Bill Impacts'!A26,'2015'!$B$8:$B$94,0))&lt;&gt;0,INDEX('2015'!$O$8:$O$94,MATCH('Bill Impacts'!A26,'2015'!$B$8:$B$94,0)),"")</f>
        <v>131.136528</v>
      </c>
      <c r="J26" s="4">
        <f>'2016'!H32</f>
        <v>32.935000000000002</v>
      </c>
      <c r="K26" s="4">
        <f>'2016'!L32</f>
        <v>45.716754249999994</v>
      </c>
      <c r="L26" s="4" t="e">
        <f>'2016'!#REF!</f>
        <v>#REF!</v>
      </c>
      <c r="R26" s="4">
        <f t="shared" si="2"/>
        <v>4.4699999999999953</v>
      </c>
      <c r="S26" s="38">
        <f t="shared" si="3"/>
        <v>0.16044508255563517</v>
      </c>
      <c r="T26" s="4">
        <f t="shared" si="4"/>
        <v>4.7190434999999979</v>
      </c>
      <c r="U26" s="38">
        <f t="shared" si="5"/>
        <v>0.11843596844366822</v>
      </c>
      <c r="V26" s="4">
        <f t="shared" si="6"/>
        <v>11.979043500000003</v>
      </c>
      <c r="W26" s="38">
        <f t="shared" si="7"/>
        <v>0.10053118820244977</v>
      </c>
      <c r="Y26" s="43" t="str">
        <f>IF(INDEX('2015'!$C$8:$C$94,MATCH('Bill Impacts'!A26,'2015'!$B$8:$B$94,0))=0,"",INDEX('2015'!$C$8:$C$94,MATCH('Bill Impacts'!A26,'2015'!$B$8:$B$94,0)))</f>
        <v>IRM-DA</v>
      </c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37">
        <f>INDEX('2015'!$V$8:$V$94,MATCH('Bill Impacts'!A26,'2015'!$B$8:$B$94,0))</f>
        <v>16327</v>
      </c>
      <c r="AS26" s="49"/>
      <c r="AT26">
        <f t="shared" si="8"/>
        <v>4.3328701556086084E-3</v>
      </c>
      <c r="AV26" s="4">
        <f t="shared" si="9"/>
        <v>0.12071376253525584</v>
      </c>
      <c r="AW26" s="4">
        <f t="shared" si="10"/>
        <v>0.17264183349751552</v>
      </c>
      <c r="AX26" s="4">
        <f t="shared" si="11"/>
        <v>0.51629390840744538</v>
      </c>
      <c r="AZ26" s="4">
        <f t="shared" si="12"/>
        <v>0.1400816921308263</v>
      </c>
      <c r="BA26" s="4">
        <f t="shared" si="13"/>
        <v>0.1930888362416843</v>
      </c>
      <c r="BB26" s="4">
        <f t="shared" si="14"/>
        <v>0.56819754848133264</v>
      </c>
    </row>
    <row r="27" spans="1:54" x14ac:dyDescent="0.25">
      <c r="A27" t="s">
        <v>22</v>
      </c>
      <c r="B27" s="4">
        <f>IF(INDEX('2014'!$H$8:$H$98,MATCH('Bill Impacts'!A27,'2014'!$B$8:$B$98,0))&lt;&gt;0,INDEX('2014'!$H$8:$H$98,MATCH('Bill Impacts'!A27,'2014'!$B$8:$B$98,0)),"")</f>
        <v>34.044166666666669</v>
      </c>
      <c r="C27" s="4">
        <f>IF(INDEX('2014'!$L$8:$L$98,MATCH('Bill Impacts'!A27,'2014'!$B$8:$B$98,0))&lt;&gt;0,INDEX('2014'!$L$8:$L$98,MATCH('Bill Impacts'!A27,'2014'!$B$8:$B$98,0)),"")</f>
        <v>46.028848666666661</v>
      </c>
      <c r="D27" s="36">
        <f>IF(INDEX('2014'!$P$8:$P$98,MATCH('Bill Impacts'!A27,'2014'!$B$8:$B$98,0))&lt;&gt;0,INDEX('2014'!$P$8:$P$98,MATCH('Bill Impacts'!A27,'2014'!$B$8:$B$98,0)),"")</f>
        <v>125.34165116666665</v>
      </c>
      <c r="F27" s="4"/>
      <c r="G27" s="4"/>
      <c r="H27" s="4"/>
      <c r="J27" s="4">
        <f>'2016'!H33</f>
        <v>38.409999999999997</v>
      </c>
      <c r="K27" s="4">
        <f>'2016'!L33</f>
        <v>51.191754249999988</v>
      </c>
      <c r="L27" s="4" t="e">
        <f>'2016'!#REF!</f>
        <v>#REF!</v>
      </c>
      <c r="Y27" s="43" t="e">
        <f>IF(INDEX('2015'!$C$8:$C$94,MATCH('Bill Impacts'!A27,'2015'!$B$8:$B$94,0))=0,"",INDEX('2015'!$C$8:$C$94,MATCH('Bill Impacts'!A27,'2015'!$B$8:$B$94,0)))</f>
        <v>#N/A</v>
      </c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37"/>
      <c r="AS27" s="49"/>
      <c r="AV27" s="18"/>
      <c r="AW27" s="18"/>
      <c r="AX27" s="18"/>
      <c r="AY27" s="19"/>
      <c r="AZ27" s="18"/>
      <c r="BA27" s="18"/>
      <c r="BB27" s="18"/>
    </row>
    <row r="28" spans="1:54" x14ac:dyDescent="0.25">
      <c r="A28" s="19" t="s">
        <v>23</v>
      </c>
      <c r="B28" s="18">
        <f>IF(INDEX('2014'!$H$8:$H$98,MATCH('Bill Impacts'!A28,'2014'!$B$8:$B$98,0))&lt;&gt;0,INDEX('2014'!$H$8:$H$98,MATCH('Bill Impacts'!A28,'2014'!$B$8:$B$98,0)),"")</f>
        <v>28.98833333333333</v>
      </c>
      <c r="C28" s="18">
        <f>IF(INDEX('2014'!$L$8:$L$98,MATCH('Bill Impacts'!A28,'2014'!$B$8:$B$98,0))&lt;&gt;0,INDEX('2014'!$L$8:$L$98,MATCH('Bill Impacts'!A28,'2014'!$B$8:$B$98,0)),"")</f>
        <v>40.973015333333322</v>
      </c>
      <c r="D28" s="121">
        <f>IF(INDEX('2014'!$P$8:$P$98,MATCH('Bill Impacts'!A28,'2014'!$B$8:$B$98,0))&lt;&gt;0,INDEX('2014'!$P$8:$P$98,MATCH('Bill Impacts'!A28,'2014'!$B$8:$B$98,0)),"")</f>
        <v>120.28581783333331</v>
      </c>
      <c r="E28" s="19"/>
      <c r="F28" s="18"/>
      <c r="G28" s="18"/>
      <c r="H28" s="18"/>
      <c r="I28" s="19"/>
      <c r="J28" s="19"/>
      <c r="K28" s="19"/>
      <c r="L28" s="19"/>
      <c r="Y28" s="43" t="e">
        <f>IF(INDEX('2015'!$C$8:$C$94,MATCH('Bill Impacts'!A28,'2015'!$B$8:$B$94,0))=0,"",INDEX('2015'!$C$8:$C$94,MATCH('Bill Impacts'!A28,'2015'!$B$8:$B$94,0)))</f>
        <v>#N/A</v>
      </c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37"/>
      <c r="AS28" s="49"/>
      <c r="AV28" s="18"/>
      <c r="AW28" s="18"/>
      <c r="AX28" s="18"/>
      <c r="AY28" s="19"/>
      <c r="AZ28" s="18"/>
      <c r="BA28" s="18"/>
      <c r="BB28" s="18"/>
    </row>
    <row r="29" spans="1:54" x14ac:dyDescent="0.25">
      <c r="A29" t="s">
        <v>24</v>
      </c>
      <c r="B29" s="4">
        <f>IF(INDEX('2014'!$H$8:$H$98,MATCH('Bill Impacts'!A29,'2014'!$B$8:$B$98,0))&lt;&gt;0,INDEX('2014'!$H$8:$H$98,MATCH('Bill Impacts'!A29,'2014'!$B$8:$B$98,0)),"")</f>
        <v>32.089999999999996</v>
      </c>
      <c r="C29" s="4">
        <f>IF(INDEX('2014'!$L$8:$L$98,MATCH('Bill Impacts'!A29,'2014'!$B$8:$B$98,0))&lt;&gt;0,INDEX('2014'!$L$8:$L$98,MATCH('Bill Impacts'!A29,'2014'!$B$8:$B$98,0)),"")</f>
        <v>45.350166499999993</v>
      </c>
      <c r="D29" s="36">
        <f>IF(INDEX('2014'!$P$8:$P$98,MATCH('Bill Impacts'!A29,'2014'!$B$8:$B$98,0))&lt;&gt;0,INDEX('2014'!$P$8:$P$98,MATCH('Bill Impacts'!A29,'2014'!$B$8:$B$98,0)),"")</f>
        <v>124.763859</v>
      </c>
      <c r="F29" s="4">
        <f>IF(INDEX('2015'!$G$8:$G$94,MATCH('Bill Impacts'!A29,'2015'!$B$8:$B$94,0))&lt;&gt;0,INDEX('2015'!$G$8:$G$94,MATCH('Bill Impacts'!A29,'2015'!$B$8:$B$94,0)),"")</f>
        <v>33.790000000000006</v>
      </c>
      <c r="G29" s="4">
        <f>IF(INDEX('2015'!$K$8:$K$94,MATCH('Bill Impacts'!A29,'2015'!$B$8:$B$94,0))&lt;&gt;0,INDEX('2015'!$K$8:$K$94,MATCH('Bill Impacts'!A29,'2015'!$B$8:$B$94,0)),"")</f>
        <v>47.308471000000004</v>
      </c>
      <c r="H29" s="4">
        <f>IF(INDEX('2015'!$O$8:$O$94,MATCH('Bill Impacts'!A29,'2015'!$B$8:$B$94,0))&lt;&gt;0,INDEX('2015'!$O$8:$O$94,MATCH('Bill Impacts'!A29,'2015'!$B$8:$B$94,0)),"")</f>
        <v>133.98216350000001</v>
      </c>
      <c r="J29" s="17">
        <f>'2015'!G32</f>
        <v>33.790000000000006</v>
      </c>
      <c r="K29" s="17">
        <f>'2015'!K32</f>
        <v>47.308471000000004</v>
      </c>
      <c r="L29" s="17">
        <f>'2015'!O32</f>
        <v>133.98216350000001</v>
      </c>
      <c r="R29" s="4">
        <f>F29-B29</f>
        <v>1.7000000000000099</v>
      </c>
      <c r="S29" s="38">
        <f>F29/B29-1</f>
        <v>5.2976004985977321E-2</v>
      </c>
      <c r="T29" s="4">
        <f>G29-C29</f>
        <v>1.9583045000000112</v>
      </c>
      <c r="U29" s="38">
        <f>G29/C29-1</f>
        <v>4.3181859100782205E-2</v>
      </c>
      <c r="V29" s="4">
        <f>H29-D29</f>
        <v>9.2183045000000163</v>
      </c>
      <c r="W29" s="38">
        <f>H29/D29-1</f>
        <v>7.3886016141902155E-2</v>
      </c>
      <c r="Y29" s="43" t="str">
        <f>IF(INDEX('2015'!$C$8:$C$94,MATCH('Bill Impacts'!A29,'2015'!$B$8:$B$94,0))=0,"",INDEX('2015'!$C$8:$C$94,MATCH('Bill Impacts'!A29,'2015'!$B$8:$B$94,0)))</f>
        <v>IRM</v>
      </c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37">
        <f>INDEX('2015'!$V$8:$V$94,MATCH('Bill Impacts'!A29,'2015'!$B$8:$B$94,0))</f>
        <v>2862</v>
      </c>
      <c r="AS29" s="49"/>
      <c r="AT29">
        <f t="shared" ref="AT29:AT31" si="16">AR29/$AR$99</f>
        <v>7.5951946991803987E-4</v>
      </c>
      <c r="AV29" s="4">
        <f t="shared" ref="AV29:AX32" si="17">$AT29*B29</f>
        <v>2.4372979789669895E-2</v>
      </c>
      <c r="AW29" s="4">
        <f t="shared" si="17"/>
        <v>3.4444334420774846E-2</v>
      </c>
      <c r="AX29" s="4">
        <f t="shared" si="17"/>
        <v>9.4760580052609067E-2</v>
      </c>
      <c r="AZ29" s="4">
        <f t="shared" ref="AZ29:BB32" si="18">$AT29*F29</f>
        <v>2.5664162888530573E-2</v>
      </c>
      <c r="BA29" s="4">
        <f t="shared" si="18"/>
        <v>3.5931704816552966E-2</v>
      </c>
      <c r="BB29" s="4">
        <f t="shared" si="18"/>
        <v>0.10176206179999216</v>
      </c>
    </row>
    <row r="30" spans="1:54" x14ac:dyDescent="0.25">
      <c r="A30" t="s">
        <v>25</v>
      </c>
      <c r="B30" s="4">
        <f>IF(INDEX('2014'!$H$8:$H$98,MATCH('Bill Impacts'!A30,'2014'!$B$8:$B$98,0))&lt;&gt;0,INDEX('2014'!$H$8:$H$98,MATCH('Bill Impacts'!A30,'2014'!$B$8:$B$98,0)),"")</f>
        <v>33.230000000000004</v>
      </c>
      <c r="C30" s="4">
        <f>IF(INDEX('2014'!$L$8:$L$98,MATCH('Bill Impacts'!A30,'2014'!$B$8:$B$98,0))&lt;&gt;0,INDEX('2014'!$L$8:$L$98,MATCH('Bill Impacts'!A30,'2014'!$B$8:$B$98,0)),"")</f>
        <v>46.548794000000001</v>
      </c>
      <c r="D30" s="36">
        <f>IF(INDEX('2014'!$P$8:$P$98,MATCH('Bill Impacts'!A30,'2014'!$B$8:$B$98,0))&lt;&gt;0,INDEX('2014'!$P$8:$P$98,MATCH('Bill Impacts'!A30,'2014'!$B$8:$B$98,0)),"")</f>
        <v>125.92614900000001</v>
      </c>
      <c r="F30" s="4">
        <f>IF(INDEX('2015'!$G$8:$G$94,MATCH('Bill Impacts'!A30,'2015'!$B$8:$B$94,0))&lt;&gt;0,INDEX('2015'!$G$8:$G$94,MATCH('Bill Impacts'!A30,'2015'!$B$8:$B$94,0)),"")</f>
        <v>20.185000000000002</v>
      </c>
      <c r="G30" s="4">
        <f>IF(INDEX('2015'!$K$8:$K$94,MATCH('Bill Impacts'!A30,'2015'!$B$8:$B$94,0))&lt;&gt;0,INDEX('2015'!$K$8:$K$94,MATCH('Bill Impacts'!A30,'2015'!$B$8:$B$94,0)),"")</f>
        <v>33.145696000000001</v>
      </c>
      <c r="H30" s="4">
        <f>IF(INDEX('2015'!$O$8:$O$94,MATCH('Bill Impacts'!A30,'2015'!$B$8:$B$94,0))&lt;&gt;0,INDEX('2015'!$O$8:$O$94,MATCH('Bill Impacts'!A30,'2015'!$B$8:$B$94,0)),"")</f>
        <v>119.783051</v>
      </c>
      <c r="J30" s="4">
        <f>'2016'!H35</f>
        <v>24.984999999999999</v>
      </c>
      <c r="K30" s="4">
        <f>'2016'!L35</f>
        <v>36.852548499999997</v>
      </c>
      <c r="L30" s="4" t="e">
        <f>'2016'!#REF!</f>
        <v>#REF!</v>
      </c>
      <c r="R30" s="4">
        <f>F30-B30</f>
        <v>-13.045000000000002</v>
      </c>
      <c r="S30" s="38">
        <f>F30/B30-1</f>
        <v>-0.39256695756846227</v>
      </c>
      <c r="T30" s="4">
        <f>G30-C30</f>
        <v>-13.403098</v>
      </c>
      <c r="U30" s="38">
        <f>G30/C30-1</f>
        <v>-0.28793652527281377</v>
      </c>
      <c r="V30" s="4">
        <f>H30-D30</f>
        <v>-6.1430980000000091</v>
      </c>
      <c r="W30" s="38">
        <f>H30/D30-1</f>
        <v>-4.8783338875867721E-2</v>
      </c>
      <c r="Y30" s="43" t="str">
        <f>IF(INDEX('2015'!$C$8:$C$94,MATCH('Bill Impacts'!A30,'2015'!$B$8:$B$94,0))=0,"",INDEX('2015'!$C$8:$C$94,MATCH('Bill Impacts'!A30,'2015'!$B$8:$B$94,0)))</f>
        <v>IRM</v>
      </c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37">
        <f>INDEX('2015'!$V$8:$V$94,MATCH('Bill Impacts'!A30,'2015'!$B$8:$B$94,0))</f>
        <v>26471</v>
      </c>
      <c r="AS30" s="49"/>
      <c r="AT30">
        <f t="shared" si="16"/>
        <v>7.024891645073526E-3</v>
      </c>
      <c r="AV30" s="4">
        <f t="shared" si="17"/>
        <v>0.23343714936579329</v>
      </c>
      <c r="AW30" s="4">
        <f t="shared" si="17"/>
        <v>0.3270002340588487</v>
      </c>
      <c r="AX30" s="4">
        <f t="shared" si="17"/>
        <v>0.88461755200638403</v>
      </c>
      <c r="AZ30" s="4">
        <f t="shared" si="18"/>
        <v>0.14179743785580914</v>
      </c>
      <c r="BA30" s="4">
        <f t="shared" si="18"/>
        <v>0.23284492290054701</v>
      </c>
      <c r="BB30" s="4">
        <f t="shared" si="18"/>
        <v>0.84146295419131611</v>
      </c>
    </row>
    <row r="31" spans="1:54" x14ac:dyDescent="0.25">
      <c r="A31" t="s">
        <v>26</v>
      </c>
      <c r="B31" s="4">
        <f>IF(INDEX('2014'!$H$8:$H$98,MATCH('Bill Impacts'!A31,'2014'!$B$8:$B$98,0))&lt;&gt;0,INDEX('2014'!$H$8:$H$98,MATCH('Bill Impacts'!A31,'2014'!$B$8:$B$98,0)),"")</f>
        <v>33.11</v>
      </c>
      <c r="C31" s="4">
        <f>IF(INDEX('2014'!$L$8:$L$98,MATCH('Bill Impacts'!A31,'2014'!$B$8:$B$98,0))&lt;&gt;0,INDEX('2014'!$L$8:$L$98,MATCH('Bill Impacts'!A31,'2014'!$B$8:$B$98,0)),"")</f>
        <v>44.747098999999992</v>
      </c>
      <c r="D31" s="36">
        <f>IF(INDEX('2014'!$P$8:$P$98,MATCH('Bill Impacts'!A31,'2014'!$B$8:$B$98,0))&lt;&gt;0,INDEX('2014'!$P$8:$P$98,MATCH('Bill Impacts'!A31,'2014'!$B$8:$B$98,0)),"")</f>
        <v>123.99834149999998</v>
      </c>
      <c r="F31" s="4">
        <f>IF(INDEX('2015'!$G$8:$G$94,MATCH('Bill Impacts'!A31,'2015'!$B$8:$B$94,0))&lt;&gt;0,INDEX('2015'!$G$8:$G$94,MATCH('Bill Impacts'!A31,'2015'!$B$8:$B$94,0)),"")</f>
        <v>27.020000000000003</v>
      </c>
      <c r="G31" s="4">
        <f>IF(INDEX('2015'!$K$8:$K$94,MATCH('Bill Impacts'!A31,'2015'!$B$8:$B$94,0))&lt;&gt;0,INDEX('2015'!$K$8:$K$94,MATCH('Bill Impacts'!A31,'2015'!$B$8:$B$94,0)),"")</f>
        <v>38.356740499999994</v>
      </c>
      <c r="H31" s="4">
        <f>IF(INDEX('2015'!$O$8:$O$94,MATCH('Bill Impacts'!A31,'2015'!$B$8:$B$94,0))&lt;&gt;0,INDEX('2015'!$O$8:$O$94,MATCH('Bill Impacts'!A31,'2015'!$B$8:$B$94,0)),"")</f>
        <v>124.861143</v>
      </c>
      <c r="J31" s="4">
        <f>'2016'!H36</f>
        <v>30.575000000000003</v>
      </c>
      <c r="K31" s="4">
        <f>'2016'!L36</f>
        <v>42.036439249999994</v>
      </c>
      <c r="L31" s="4" t="e">
        <f>'2016'!#REF!</f>
        <v>#REF!</v>
      </c>
      <c r="R31" s="4">
        <f>F31-B31</f>
        <v>-6.0899999999999963</v>
      </c>
      <c r="S31" s="38">
        <f>F31/B31-1</f>
        <v>-0.18393234672304426</v>
      </c>
      <c r="T31" s="4">
        <f>G31-C31</f>
        <v>-6.3903584999999978</v>
      </c>
      <c r="U31" s="38">
        <f>G31/C31-1</f>
        <v>-0.14281056521675295</v>
      </c>
      <c r="V31" s="4">
        <f>H31-D31</f>
        <v>0.86280150000001754</v>
      </c>
      <c r="W31" s="38">
        <f>H31/D31-1</f>
        <v>6.9581696784228875E-3</v>
      </c>
      <c r="Y31" s="43" t="str">
        <f>IF(INDEX('2015'!$C$8:$C$94,MATCH('Bill Impacts'!A31,'2015'!$B$8:$B$94,0))=0,"",INDEX('2015'!$C$8:$C$94,MATCH('Bill Impacts'!A31,'2015'!$B$8:$B$94,0)))</f>
        <v>COS</v>
      </c>
      <c r="Z31" s="43"/>
      <c r="AA31" s="91">
        <f>J32-F31</f>
        <v>3.5549999999999997</v>
      </c>
      <c r="AB31" s="92">
        <f>J32/F31-1</f>
        <v>0.13156920799407845</v>
      </c>
      <c r="AC31" s="91">
        <f>K32-G31</f>
        <v>3.67969875</v>
      </c>
      <c r="AD31" s="102">
        <f>K32/G31-1</f>
        <v>9.5933562185765098E-2</v>
      </c>
      <c r="AE31" s="43"/>
      <c r="AF31" s="93" t="e">
        <f>AC31/L32</f>
        <v>#REF!</v>
      </c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37">
        <f>INDEX('2015'!$V$8:$V$94,MATCH('Bill Impacts'!A31,'2015'!$B$8:$B$94,0))</f>
        <v>18099</v>
      </c>
      <c r="AS31" s="49"/>
      <c r="AT31">
        <f t="shared" si="16"/>
        <v>4.8031246981294906E-3</v>
      </c>
      <c r="AV31" s="4">
        <f t="shared" si="17"/>
        <v>0.15903145875506744</v>
      </c>
      <c r="AW31" s="4">
        <f t="shared" si="17"/>
        <v>0.21492589637654538</v>
      </c>
      <c r="AX31" s="4">
        <f t="shared" si="17"/>
        <v>0.59557949658574494</v>
      </c>
      <c r="AZ31" s="4">
        <f t="shared" si="18"/>
        <v>0.12978042934345885</v>
      </c>
      <c r="BA31" s="4">
        <f t="shared" si="18"/>
        <v>0.18423220763529369</v>
      </c>
      <c r="BB31" s="4">
        <f t="shared" si="18"/>
        <v>0.59972363977997811</v>
      </c>
    </row>
    <row r="32" spans="1:54" x14ac:dyDescent="0.25">
      <c r="A32" t="s">
        <v>27</v>
      </c>
      <c r="B32" s="4">
        <f>IF(INDEX('2014'!$H$8:$H$98,MATCH('Bill Impacts'!A32,'2014'!$B$8:$B$98,0))&lt;&gt;0,INDEX('2014'!$H$8:$H$98,MATCH('Bill Impacts'!A32,'2014'!$B$8:$B$98,0)),"")</f>
        <v>32.6</v>
      </c>
      <c r="C32" s="4">
        <f>IF(INDEX('2014'!$L$8:$L$98,MATCH('Bill Impacts'!A32,'2014'!$B$8:$B$98,0))&lt;&gt;0,INDEX('2014'!$L$8:$L$98,MATCH('Bill Impacts'!A32,'2014'!$B$8:$B$98,0)),"")</f>
        <v>44.237098999999994</v>
      </c>
      <c r="D32" s="36">
        <f>IF(INDEX('2014'!$P$8:$P$98,MATCH('Bill Impacts'!A32,'2014'!$B$8:$B$98,0))&lt;&gt;0,INDEX('2014'!$P$8:$P$98,MATCH('Bill Impacts'!A32,'2014'!$B$8:$B$98,0)),"")</f>
        <v>123.48834149999999</v>
      </c>
      <c r="F32" s="4"/>
      <c r="G32" s="4"/>
      <c r="H32" s="4"/>
      <c r="J32" s="4">
        <f>'2016'!H36</f>
        <v>30.575000000000003</v>
      </c>
      <c r="K32" s="4">
        <f>'2016'!L36</f>
        <v>42.036439249999994</v>
      </c>
      <c r="L32" s="4" t="e">
        <f>'2016'!#REF!</f>
        <v>#REF!</v>
      </c>
      <c r="Y32" s="43" t="e">
        <f>IF(INDEX('2015'!$C$8:$C$94,MATCH('Bill Impacts'!A32,'2015'!$B$8:$B$94,0))=0,"",INDEX('2015'!$C$8:$C$94,MATCH('Bill Impacts'!A32,'2015'!$B$8:$B$94,0)))</f>
        <v>#N/A</v>
      </c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37"/>
      <c r="AS32" s="49"/>
      <c r="AV32" s="4">
        <f t="shared" si="17"/>
        <v>0</v>
      </c>
      <c r="AW32" s="4">
        <f t="shared" si="17"/>
        <v>0</v>
      </c>
      <c r="AX32" s="4">
        <f t="shared" si="17"/>
        <v>0</v>
      </c>
      <c r="AZ32" s="4">
        <f t="shared" si="18"/>
        <v>0</v>
      </c>
      <c r="BA32" s="4">
        <f t="shared" si="18"/>
        <v>0</v>
      </c>
      <c r="BB32" s="4">
        <f t="shared" si="18"/>
        <v>0</v>
      </c>
    </row>
    <row r="33" spans="1:54" x14ac:dyDescent="0.25">
      <c r="A33" s="11" t="s">
        <v>28</v>
      </c>
      <c r="B33" s="4" t="str">
        <f>IF(INDEX('2014'!$H$8:$H$98,MATCH('Bill Impacts'!A33,'2014'!$B$8:$B$98,0))&lt;&gt;0,INDEX('2014'!$H$8:$H$98,MATCH('Bill Impacts'!A33,'2014'!$B$8:$B$98,0)),"")</f>
        <v/>
      </c>
      <c r="C33" s="4" t="str">
        <f>IF(INDEX('2014'!$L$8:$L$98,MATCH('Bill Impacts'!A33,'2014'!$B$8:$B$98,0))&lt;&gt;0,INDEX('2014'!$L$8:$L$98,MATCH('Bill Impacts'!A33,'2014'!$B$8:$B$98,0)),"")</f>
        <v/>
      </c>
      <c r="D33" s="36" t="str">
        <f>IF(INDEX('2014'!$P$8:$P$98,MATCH('Bill Impacts'!A33,'2014'!$B$8:$B$98,0))&lt;&gt;0,INDEX('2014'!$P$8:$P$98,MATCH('Bill Impacts'!A33,'2014'!$B$8:$B$98,0)),"")</f>
        <v/>
      </c>
      <c r="F33" s="4" t="str">
        <f>IF(INDEX('2015'!$G$8:$G$94,MATCH('Bill Impacts'!A33,'2015'!$B$8:$B$94,0))&lt;&gt;0,INDEX('2015'!$G$8:$G$94,MATCH('Bill Impacts'!A33,'2015'!$B$8:$B$94,0)),"")</f>
        <v/>
      </c>
      <c r="G33" s="4" t="str">
        <f>IF(INDEX('2015'!$K$8:$K$94,MATCH('Bill Impacts'!A33,'2015'!$B$8:$B$94,0))&lt;&gt;0,INDEX('2015'!$K$8:$K$94,MATCH('Bill Impacts'!A33,'2015'!$B$8:$B$94,0)),"")</f>
        <v/>
      </c>
      <c r="H33" s="4" t="str">
        <f>IF(INDEX('2015'!$O$8:$O$94,MATCH('Bill Impacts'!A33,'2015'!$B$8:$B$94,0))&lt;&gt;0,INDEX('2015'!$O$8:$O$94,MATCH('Bill Impacts'!A33,'2015'!$B$8:$B$94,0)),"")</f>
        <v/>
      </c>
      <c r="J33" s="4"/>
      <c r="K33" s="4"/>
      <c r="L33" s="4"/>
      <c r="Y33" s="43" t="str">
        <f>IF(INDEX('2015'!$C$8:$C$94,MATCH('Bill Impacts'!A33,'2015'!$B$8:$B$94,0))=0,"",INDEX('2015'!$C$8:$C$94,MATCH('Bill Impacts'!A33,'2015'!$B$8:$B$94,0)))</f>
        <v/>
      </c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37"/>
      <c r="AS33" s="49"/>
      <c r="AV33" s="17"/>
      <c r="AW33" s="17"/>
      <c r="AX33" s="17"/>
      <c r="AZ33" s="17"/>
      <c r="BA33" s="17"/>
      <c r="BB33" s="17"/>
    </row>
    <row r="34" spans="1:54" x14ac:dyDescent="0.25">
      <c r="A34" t="s">
        <v>106</v>
      </c>
      <c r="B34" s="4">
        <f>IF(INDEX('2014'!$H$8:$H$98,MATCH('Bill Impacts'!A34,'2014'!$B$8:$B$98,0))&lt;&gt;0,INDEX('2014'!$H$8:$H$98,MATCH('Bill Impacts'!A34,'2014'!$B$8:$B$98,0)),"")</f>
        <v>30.265000000000001</v>
      </c>
      <c r="C34" s="4">
        <f>IF(INDEX('2014'!$L$8:$L$98,MATCH('Bill Impacts'!A34,'2014'!$B$8:$B$98,0))&lt;&gt;0,INDEX('2014'!$L$8:$L$98,MATCH('Bill Impacts'!A34,'2014'!$B$8:$B$98,0)),"")</f>
        <v>40.434415000000001</v>
      </c>
      <c r="D34" s="36">
        <f>IF(INDEX('2014'!$P$8:$P$98,MATCH('Bill Impacts'!A34,'2014'!$B$8:$B$98,0))&lt;&gt;0,INDEX('2014'!$P$8:$P$98,MATCH('Bill Impacts'!A34,'2014'!$B$8:$B$98,0)),"")</f>
        <v>104.90534</v>
      </c>
      <c r="F34" s="4">
        <f>IF(INDEX('2015'!$G$8:$G$94,MATCH('Bill Impacts'!A34,'2015'!$B$8:$B$94,0))&lt;&gt;0,INDEX('2015'!$G$8:$G$94,MATCH('Bill Impacts'!A34,'2015'!$B$8:$B$94,0)),"")</f>
        <v>30.204999999999998</v>
      </c>
      <c r="G34" s="4">
        <f>IF(INDEX('2015'!$K$8:$K$94,MATCH('Bill Impacts'!A34,'2015'!$B$8:$B$94,0))&lt;&gt;0,INDEX('2015'!$K$8:$K$94,MATCH('Bill Impacts'!A34,'2015'!$B$8:$B$94,0)),"")</f>
        <v>40.715634999999999</v>
      </c>
      <c r="H34" s="4">
        <f>IF(INDEX('2015'!$O$8:$O$94,MATCH('Bill Impacts'!A34,'2015'!$B$8:$B$94,0))&lt;&gt;0,INDEX('2015'!$O$8:$O$94,MATCH('Bill Impacts'!A34,'2015'!$B$8:$B$94,0)),"")</f>
        <v>112.44656000000001</v>
      </c>
      <c r="J34" s="4">
        <f>'2016'!H38</f>
        <v>31.544999999999998</v>
      </c>
      <c r="K34" s="4">
        <f>'2016'!L38</f>
        <v>42.146122500000004</v>
      </c>
      <c r="L34" s="4" t="e">
        <f>'2016'!#REF!</f>
        <v>#REF!</v>
      </c>
      <c r="R34" s="4">
        <f t="shared" ref="R34:R39" si="19">F34-B34</f>
        <v>-6.0000000000002274E-2</v>
      </c>
      <c r="S34" s="38">
        <f t="shared" ref="S34:S39" si="20">F34/B34-1</f>
        <v>-1.982488022468254E-3</v>
      </c>
      <c r="T34" s="4">
        <f t="shared" ref="T34:T39" si="21">G34-C34</f>
        <v>0.28121999999999758</v>
      </c>
      <c r="U34" s="38">
        <f t="shared" ref="U34:U39" si="22">G34/C34-1</f>
        <v>6.9549664561734392E-3</v>
      </c>
      <c r="V34" s="4">
        <f t="shared" ref="V34:V39" si="23">H34-D34</f>
        <v>7.5412200000000098</v>
      </c>
      <c r="W34" s="38">
        <f t="shared" ref="W34:W39" si="24">H34/D34-1</f>
        <v>7.1885949752414913E-2</v>
      </c>
      <c r="Y34" s="43" t="str">
        <f>IF(INDEX('2015'!$C$8:$C$94,MATCH('Bill Impacts'!A34,'2015'!$B$8:$B$94,0))=0,"",INDEX('2015'!$C$8:$C$94,MATCH('Bill Impacts'!A34,'2015'!$B$8:$B$94,0)))</f>
        <v>IRM-DA</v>
      </c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37">
        <f>INDEX('2015'!$V$8:$V$94,MATCH('Bill Impacts'!A34,'2015'!$B$8:$B$94,0))</f>
        <v>3298</v>
      </c>
      <c r="AS34" s="49"/>
      <c r="AT34">
        <f t="shared" ref="AT34:AT39" si="25">AR34/$AR$99</f>
        <v>8.7522544087690268E-4</v>
      </c>
      <c r="AV34" s="4">
        <f t="shared" ref="AV34:AX39" si="26">$AT34*B34</f>
        <v>2.648869796813946E-2</v>
      </c>
      <c r="AW34" s="4">
        <f t="shared" si="26"/>
        <v>3.5389228694974649E-2</v>
      </c>
      <c r="AX34" s="4">
        <f t="shared" si="26"/>
        <v>9.1815822451841375E-2</v>
      </c>
      <c r="AZ34" s="4">
        <f t="shared" ref="AZ34:BB39" si="27">$AT34*F34</f>
        <v>2.6436184441686845E-2</v>
      </c>
      <c r="BA34" s="4">
        <f t="shared" si="27"/>
        <v>3.5635359593458045E-2</v>
      </c>
      <c r="BB34" s="4">
        <f t="shared" si="27"/>
        <v>9.8416090051091087E-2</v>
      </c>
    </row>
    <row r="35" spans="1:54" x14ac:dyDescent="0.25">
      <c r="A35" t="s">
        <v>29</v>
      </c>
      <c r="B35" s="4">
        <f>IF(INDEX('2014'!$H$8:$H$98,MATCH('Bill Impacts'!A35,'2014'!$B$8:$B$98,0))&lt;&gt;0,INDEX('2014'!$H$8:$H$98,MATCH('Bill Impacts'!A35,'2014'!$B$8:$B$98,0)),"")</f>
        <v>25.535000000000004</v>
      </c>
      <c r="C35" s="4">
        <f>IF(INDEX('2014'!$L$8:$L$98,MATCH('Bill Impacts'!A35,'2014'!$B$8:$B$98,0))&lt;&gt;0,INDEX('2014'!$L$8:$L$98,MATCH('Bill Impacts'!A35,'2014'!$B$8:$B$98,0)),"")</f>
        <v>37.500830000000008</v>
      </c>
      <c r="D35" s="36">
        <f>IF(INDEX('2014'!$P$8:$P$98,MATCH('Bill Impacts'!A35,'2014'!$B$8:$B$98,0))&lt;&gt;0,INDEX('2014'!$P$8:$P$98,MATCH('Bill Impacts'!A35,'2014'!$B$8:$B$98,0)),"")</f>
        <v>116.85168000000002</v>
      </c>
      <c r="F35" s="4">
        <f>IF(INDEX('2015'!$G$8:$G$94,MATCH('Bill Impacts'!A35,'2015'!$B$8:$B$94,0))&lt;&gt;0,INDEX('2015'!$G$8:$G$94,MATCH('Bill Impacts'!A35,'2015'!$B$8:$B$94,0)),"")</f>
        <v>25.79</v>
      </c>
      <c r="G35" s="4">
        <f>IF(INDEX('2015'!$K$8:$K$94,MATCH('Bill Impacts'!A35,'2015'!$B$8:$B$94,0))&lt;&gt;0,INDEX('2015'!$K$8:$K$94,MATCH('Bill Impacts'!A35,'2015'!$B$8:$B$94,0)),"")</f>
        <v>38.46407</v>
      </c>
      <c r="H35" s="4">
        <f>IF(INDEX('2015'!$O$8:$O$94,MATCH('Bill Impacts'!A35,'2015'!$B$8:$B$94,0))&lt;&gt;0,INDEX('2015'!$O$8:$O$94,MATCH('Bill Impacts'!A35,'2015'!$B$8:$B$94,0)),"")</f>
        <v>125.07492000000001</v>
      </c>
      <c r="J35" s="4">
        <f>'2016'!H39</f>
        <v>25.72</v>
      </c>
      <c r="K35" s="4">
        <f>'2016'!L39</f>
        <v>38.294394999999994</v>
      </c>
      <c r="L35" s="4" t="e">
        <f>'2016'!#REF!</f>
        <v>#REF!</v>
      </c>
      <c r="R35" s="4">
        <f t="shared" si="19"/>
        <v>0.25499999999999545</v>
      </c>
      <c r="S35" s="38">
        <f t="shared" si="20"/>
        <v>9.9862933228900275E-3</v>
      </c>
      <c r="T35" s="4">
        <f t="shared" si="21"/>
        <v>0.96323999999999188</v>
      </c>
      <c r="U35" s="38">
        <f t="shared" si="22"/>
        <v>2.5685831486929489E-2</v>
      </c>
      <c r="V35" s="4">
        <f t="shared" si="23"/>
        <v>8.2232399999999899</v>
      </c>
      <c r="W35" s="38">
        <f t="shared" si="24"/>
        <v>7.0373314273273424E-2</v>
      </c>
      <c r="Y35" s="43" t="str">
        <f>IF(INDEX('2015'!$C$8:$C$94,MATCH('Bill Impacts'!A35,'2015'!$B$8:$B$94,0))=0,"",INDEX('2015'!$C$8:$C$94,MATCH('Bill Impacts'!A35,'2015'!$B$8:$B$94,0)))</f>
        <v>IRM-DA</v>
      </c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37">
        <f>INDEX('2015'!$V$8:$V$94,MATCH('Bill Impacts'!A35,'2015'!$B$8:$B$94,0))</f>
        <v>42680</v>
      </c>
      <c r="AS35" s="49"/>
      <c r="AT35">
        <f t="shared" si="25"/>
        <v>1.1326446881936387E-2</v>
      </c>
      <c r="AV35" s="4">
        <f t="shared" si="26"/>
        <v>0.28922082113024566</v>
      </c>
      <c r="AW35" s="4">
        <f t="shared" si="26"/>
        <v>0.42475115902352661</v>
      </c>
      <c r="AX35" s="4">
        <f t="shared" si="26"/>
        <v>1.3235143465850288</v>
      </c>
      <c r="AZ35" s="4">
        <f t="shared" si="27"/>
        <v>0.2921090650851394</v>
      </c>
      <c r="BA35" s="4">
        <f t="shared" si="27"/>
        <v>0.4356612457180829</v>
      </c>
      <c r="BB35" s="4">
        <f t="shared" si="27"/>
        <v>1.416654437642443</v>
      </c>
    </row>
    <row r="36" spans="1:54" x14ac:dyDescent="0.25">
      <c r="A36" t="s">
        <v>30</v>
      </c>
      <c r="B36" s="4">
        <f>IF(INDEX('2014'!$H$8:$H$98,MATCH('Bill Impacts'!A36,'2014'!$B$8:$B$98,0))&lt;&gt;0,INDEX('2014'!$H$8:$H$98,MATCH('Bill Impacts'!A36,'2014'!$B$8:$B$98,0)),"")</f>
        <v>25.035000000000004</v>
      </c>
      <c r="C36" s="4">
        <f>IF(INDEX('2014'!$L$8:$L$98,MATCH('Bill Impacts'!A36,'2014'!$B$8:$B$98,0))&lt;&gt;0,INDEX('2014'!$L$8:$L$98,MATCH('Bill Impacts'!A36,'2014'!$B$8:$B$98,0)),"")</f>
        <v>38.708562000000001</v>
      </c>
      <c r="D36" s="36">
        <f>IF(INDEX('2014'!$P$8:$P$98,MATCH('Bill Impacts'!A36,'2014'!$B$8:$B$98,0))&lt;&gt;0,INDEX('2014'!$P$8:$P$98,MATCH('Bill Impacts'!A36,'2014'!$B$8:$B$98,0)),"")</f>
        <v>118.053427</v>
      </c>
      <c r="F36" s="4">
        <f>IF(INDEX('2015'!$G$8:$G$94,MATCH('Bill Impacts'!A36,'2015'!$B$8:$B$94,0))&lt;&gt;0,INDEX('2015'!$G$8:$G$94,MATCH('Bill Impacts'!A36,'2015'!$B$8:$B$94,0)),"")</f>
        <v>28.48</v>
      </c>
      <c r="G36" s="4">
        <f>IF(INDEX('2015'!$K$8:$K$94,MATCH('Bill Impacts'!A36,'2015'!$B$8:$B$94,0))&lt;&gt;0,INDEX('2015'!$K$8:$K$94,MATCH('Bill Impacts'!A36,'2015'!$B$8:$B$94,0)),"")</f>
        <v>43.009107999999998</v>
      </c>
      <c r="H36" s="4">
        <f>IF(INDEX('2015'!$O$8:$O$94,MATCH('Bill Impacts'!A36,'2015'!$B$8:$B$94,0))&lt;&gt;0,INDEX('2015'!$O$8:$O$94,MATCH('Bill Impacts'!A36,'2015'!$B$8:$B$94,0)),"")</f>
        <v>129.61397299999999</v>
      </c>
      <c r="J36" s="4">
        <f>'2016'!H40</f>
        <v>28.91</v>
      </c>
      <c r="K36" s="4">
        <f>'2016'!L40</f>
        <v>39.786367250000005</v>
      </c>
      <c r="L36" s="4" t="e">
        <f>'2016'!#REF!</f>
        <v>#REF!</v>
      </c>
      <c r="R36" s="4">
        <f t="shared" si="19"/>
        <v>3.4449999999999967</v>
      </c>
      <c r="S36" s="38">
        <f t="shared" si="20"/>
        <v>0.13760734971040534</v>
      </c>
      <c r="T36" s="4">
        <f t="shared" si="21"/>
        <v>4.3005459999999971</v>
      </c>
      <c r="U36" s="38">
        <f t="shared" si="22"/>
        <v>0.11110063969826611</v>
      </c>
      <c r="V36" s="4">
        <f t="shared" si="23"/>
        <v>11.560545999999988</v>
      </c>
      <c r="W36" s="38">
        <f t="shared" si="24"/>
        <v>9.7926390565518995E-2</v>
      </c>
      <c r="Y36" s="43" t="str">
        <f>IF(INDEX('2015'!$C$8:$C$94,MATCH('Bill Impacts'!A36,'2015'!$B$8:$B$94,0))=0,"",INDEX('2015'!$C$8:$C$94,MATCH('Bill Impacts'!A36,'2015'!$B$8:$B$94,0)))</f>
        <v>IRM</v>
      </c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37">
        <f>INDEX('2015'!$V$8:$V$94,MATCH('Bill Impacts'!A36,'2015'!$B$8:$B$94,0))</f>
        <v>10180</v>
      </c>
      <c r="AS36" s="49"/>
      <c r="AT36">
        <f t="shared" si="25"/>
        <v>2.7015751934890446E-3</v>
      </c>
      <c r="AV36" s="4">
        <f t="shared" si="26"/>
        <v>6.7633934968998236E-2</v>
      </c>
      <c r="AW36" s="4">
        <f t="shared" si="26"/>
        <v>0.10457409087483267</v>
      </c>
      <c r="AX36" s="4">
        <f t="shared" si="26"/>
        <v>0.31893020988956977</v>
      </c>
      <c r="AZ36" s="4">
        <f t="shared" si="27"/>
        <v>7.694086151056799E-2</v>
      </c>
      <c r="BA36" s="4">
        <f t="shared" si="27"/>
        <v>0.11619233926689121</v>
      </c>
      <c r="BB36" s="4">
        <f t="shared" si="27"/>
        <v>0.35016189418635879</v>
      </c>
    </row>
    <row r="37" spans="1:54" x14ac:dyDescent="0.25">
      <c r="A37" t="s">
        <v>31</v>
      </c>
      <c r="B37" s="4">
        <f>IF(INDEX('2014'!$H$8:$H$98,MATCH('Bill Impacts'!A37,'2014'!$B$8:$B$98,0))&lt;&gt;0,INDEX('2014'!$H$8:$H$98,MATCH('Bill Impacts'!A37,'2014'!$B$8:$B$98,0)),"")</f>
        <v>29.28</v>
      </c>
      <c r="C37" s="4">
        <f>IF(INDEX('2014'!$L$8:$L$98,MATCH('Bill Impacts'!A37,'2014'!$B$8:$B$98,0))&lt;&gt;0,INDEX('2014'!$L$8:$L$98,MATCH('Bill Impacts'!A37,'2014'!$B$8:$B$98,0)),"")</f>
        <v>40.300247999999996</v>
      </c>
      <c r="D37" s="36">
        <f>IF(INDEX('2014'!$P$8:$P$98,MATCH('Bill Impacts'!A37,'2014'!$B$8:$B$98,0))&lt;&gt;0,INDEX('2014'!$P$8:$P$98,MATCH('Bill Impacts'!A37,'2014'!$B$8:$B$98,0)),"")</f>
        <v>119.50959549999999</v>
      </c>
      <c r="F37" s="4">
        <f>IF(INDEX('2015'!$G$8:$G$94,MATCH('Bill Impacts'!A37,'2015'!$B$8:$B$94,0))&lt;&gt;0,INDEX('2015'!$G$8:$G$94,MATCH('Bill Impacts'!A37,'2015'!$B$8:$B$94,0)),"")</f>
        <v>31.43</v>
      </c>
      <c r="G37" s="4">
        <f>IF(INDEX('2015'!$K$8:$K$94,MATCH('Bill Impacts'!A37,'2015'!$B$8:$B$94,0))&lt;&gt;0,INDEX('2015'!$K$8:$K$94,MATCH('Bill Impacts'!A37,'2015'!$B$8:$B$94,0)),"")</f>
        <v>43.44422449999999</v>
      </c>
      <c r="H37" s="4">
        <f>IF(INDEX('2015'!$O$8:$O$94,MATCH('Bill Impacts'!A37,'2015'!$B$8:$B$94,0))&lt;&gt;0,INDEX('2015'!$O$8:$O$94,MATCH('Bill Impacts'!A37,'2015'!$B$8:$B$94,0)),"")</f>
        <v>129.91357199999999</v>
      </c>
      <c r="J37" s="4">
        <f>'2016'!H41</f>
        <v>31.53</v>
      </c>
      <c r="K37" s="4">
        <f>'2016'!L41</f>
        <v>43.859505000000006</v>
      </c>
      <c r="L37" s="4" t="e">
        <f>'2016'!#REF!</f>
        <v>#REF!</v>
      </c>
      <c r="R37" s="4">
        <f t="shared" si="19"/>
        <v>2.1499999999999986</v>
      </c>
      <c r="S37" s="38">
        <f t="shared" si="20"/>
        <v>7.3428961748633892E-2</v>
      </c>
      <c r="T37" s="4">
        <f t="shared" si="21"/>
        <v>3.1439764999999937</v>
      </c>
      <c r="U37" s="38">
        <f t="shared" si="22"/>
        <v>7.8013825125840208E-2</v>
      </c>
      <c r="V37" s="4">
        <f t="shared" si="23"/>
        <v>10.403976499999999</v>
      </c>
      <c r="W37" s="38">
        <f t="shared" si="24"/>
        <v>8.7055574545894965E-2</v>
      </c>
      <c r="Y37" s="43" t="str">
        <f>IF(INDEX('2015'!$C$8:$C$94,MATCH('Bill Impacts'!A37,'2015'!$B$8:$B$94,0))=0,"",INDEX('2015'!$C$8:$C$94,MATCH('Bill Impacts'!A37,'2015'!$B$8:$B$94,0)))</f>
        <v>IRM</v>
      </c>
      <c r="Z37" s="43"/>
      <c r="AA37" s="91">
        <f>J37-F37</f>
        <v>0.10000000000000142</v>
      </c>
      <c r="AB37" s="92">
        <f>J37/F37-1</f>
        <v>3.1816735602927526E-3</v>
      </c>
      <c r="AC37" s="91">
        <f>K37-G37</f>
        <v>0.41528050000001571</v>
      </c>
      <c r="AD37" s="102">
        <f>K37/G37-1</f>
        <v>9.5589345828930306E-3</v>
      </c>
      <c r="AE37" s="43"/>
      <c r="AF37" s="93" t="e">
        <f>AC37/L37</f>
        <v>#REF!</v>
      </c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7">
        <f>INDEX('2015'!$V$8:$V$94,MATCH('Bill Impacts'!A37,'2015'!$B$8:$B$94,0))</f>
        <v>48384</v>
      </c>
      <c r="AS37" s="49"/>
      <c r="AT37">
        <f t="shared" si="25"/>
        <v>1.2840178208425731E-2</v>
      </c>
      <c r="AV37" s="4">
        <f t="shared" si="26"/>
        <v>0.3759604179427054</v>
      </c>
      <c r="AW37" s="4">
        <f t="shared" si="26"/>
        <v>0.51746236616375263</v>
      </c>
      <c r="AX37" s="4">
        <f t="shared" si="26"/>
        <v>1.5345245038368736</v>
      </c>
      <c r="AZ37" s="4">
        <f t="shared" si="27"/>
        <v>0.40356680109082071</v>
      </c>
      <c r="BA37" s="4">
        <f t="shared" si="27"/>
        <v>0.55783158470685512</v>
      </c>
      <c r="BB37" s="4">
        <f t="shared" si="27"/>
        <v>1.668113416173147</v>
      </c>
    </row>
    <row r="38" spans="1:54" x14ac:dyDescent="0.25">
      <c r="A38" t="s">
        <v>107</v>
      </c>
      <c r="B38" s="4">
        <f>IF(INDEX('2014'!$H$8:$H$98,MATCH('Bill Impacts'!A38,'2014'!$B$8:$B$98,0))&lt;&gt;0,INDEX('2014'!$H$8:$H$98,MATCH('Bill Impacts'!A38,'2014'!$B$8:$B$98,0)),"")</f>
        <v>36.25</v>
      </c>
      <c r="C38" s="4">
        <f>IF(INDEX('2014'!$L$8:$L$98,MATCH('Bill Impacts'!A38,'2014'!$B$8:$B$98,0))&lt;&gt;0,INDEX('2014'!$L$8:$L$98,MATCH('Bill Impacts'!A38,'2014'!$B$8:$B$98,0)),"")</f>
        <v>50.381597499999991</v>
      </c>
      <c r="D38" s="36">
        <f>IF(INDEX('2014'!$P$8:$P$98,MATCH('Bill Impacts'!A38,'2014'!$B$8:$B$98,0))&lt;&gt;0,INDEX('2014'!$P$8:$P$98,MATCH('Bill Impacts'!A38,'2014'!$B$8:$B$98,0)),"")</f>
        <v>129.78161</v>
      </c>
      <c r="F38" s="4">
        <f>IF(INDEX('2015'!$G$8:$G$94,MATCH('Bill Impacts'!A38,'2015'!$B$8:$B$94,0))&lt;&gt;0,INDEX('2015'!$G$8:$G$94,MATCH('Bill Impacts'!A38,'2015'!$B$8:$B$94,0)),"")</f>
        <v>35.405000000000001</v>
      </c>
      <c r="G38" s="4">
        <f>IF(INDEX('2015'!$K$8:$K$94,MATCH('Bill Impacts'!A38,'2015'!$B$8:$B$94,0))&lt;&gt;0,INDEX('2015'!$K$8:$K$94,MATCH('Bill Impacts'!A38,'2015'!$B$8:$B$94,0)),"")</f>
        <v>50.012127499999991</v>
      </c>
      <c r="H38" s="4">
        <f>IF(INDEX('2015'!$O$8:$O$94,MATCH('Bill Impacts'!A38,'2015'!$B$8:$B$94,0))&lt;&gt;0,INDEX('2015'!$O$8:$O$94,MATCH('Bill Impacts'!A38,'2015'!$B$8:$B$94,0)),"")</f>
        <v>136.67213999999998</v>
      </c>
      <c r="J38" s="4">
        <f>'2016'!H42</f>
        <v>35.344999999999999</v>
      </c>
      <c r="K38" s="4">
        <f>'2016'!L42</f>
        <v>50.406533749999987</v>
      </c>
      <c r="L38" s="4" t="e">
        <f>'2016'!#REF!</f>
        <v>#REF!</v>
      </c>
      <c r="R38" s="4">
        <f t="shared" si="19"/>
        <v>-0.84499999999999886</v>
      </c>
      <c r="S38" s="38">
        <f t="shared" si="20"/>
        <v>-2.3310344827586205E-2</v>
      </c>
      <c r="T38" s="4">
        <f t="shared" si="21"/>
        <v>-0.36946999999999974</v>
      </c>
      <c r="U38" s="38">
        <f t="shared" si="22"/>
        <v>-7.3334316165738489E-3</v>
      </c>
      <c r="V38" s="4">
        <f t="shared" si="23"/>
        <v>6.8905299999999841</v>
      </c>
      <c r="W38" s="38">
        <f t="shared" si="24"/>
        <v>5.3093269531792497E-2</v>
      </c>
      <c r="Y38" s="43" t="str">
        <f>IF(INDEX('2015'!$C$8:$C$94,MATCH('Bill Impacts'!A38,'2015'!$B$8:$B$94,0))=0,"",INDEX('2015'!$C$8:$C$94,MATCH('Bill Impacts'!A38,'2015'!$B$8:$B$94,0)))</f>
        <v/>
      </c>
      <c r="Z38" s="43"/>
      <c r="AA38" s="91">
        <f>J38-F38</f>
        <v>-6.0000000000002274E-2</v>
      </c>
      <c r="AB38" s="92">
        <f>J38/F38-1</f>
        <v>-1.6946758932354644E-3</v>
      </c>
      <c r="AC38" s="91">
        <f>K38-G38</f>
        <v>0.39440624999999585</v>
      </c>
      <c r="AD38" s="102">
        <f>K38/G38-1</f>
        <v>7.8862121992309131E-3</v>
      </c>
      <c r="AE38" s="43"/>
      <c r="AF38" s="93" t="e">
        <f t="shared" ref="AF38" si="28">AC38/L38</f>
        <v>#REF!</v>
      </c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37">
        <f>INDEX('2015'!$V$8:$V$94,MATCH('Bill Impacts'!A38,'2015'!$B$8:$B$94,0))</f>
        <v>18819</v>
      </c>
      <c r="AS38" s="49"/>
      <c r="AT38">
        <f t="shared" si="25"/>
        <v>4.9941987786120169E-3</v>
      </c>
      <c r="AV38" s="4">
        <f t="shared" si="26"/>
        <v>0.18103970572468561</v>
      </c>
      <c r="AW38" s="4">
        <f t="shared" si="26"/>
        <v>0.25161571269902222</v>
      </c>
      <c r="AX38" s="4">
        <f t="shared" si="26"/>
        <v>0.64815515814830116</v>
      </c>
      <c r="AZ38" s="4">
        <f t="shared" si="27"/>
        <v>0.17681960775675845</v>
      </c>
      <c r="BA38" s="4">
        <f t="shared" si="27"/>
        <v>0.24977050607628842</v>
      </c>
      <c r="BB38" s="4">
        <f t="shared" si="27"/>
        <v>0.68256783465829052</v>
      </c>
    </row>
    <row r="39" spans="1:54" x14ac:dyDescent="0.25">
      <c r="A39" t="s">
        <v>32</v>
      </c>
      <c r="B39" s="4">
        <f>IF(INDEX('2014'!$H$8:$H$98,MATCH('Bill Impacts'!A39,'2014'!$B$8:$B$98,0))&lt;&gt;0,INDEX('2014'!$H$8:$H$98,MATCH('Bill Impacts'!A39,'2014'!$B$8:$B$98,0)),"")</f>
        <v>25.425000000000001</v>
      </c>
      <c r="C39" s="4">
        <f>IF(INDEX('2014'!$L$8:$L$98,MATCH('Bill Impacts'!A39,'2014'!$B$8:$B$98,0))&lt;&gt;0,INDEX('2014'!$L$8:$L$98,MATCH('Bill Impacts'!A39,'2014'!$B$8:$B$98,0)),"")</f>
        <v>39.538944000000001</v>
      </c>
      <c r="D39" s="36">
        <f>IF(INDEX('2014'!$P$8:$P$98,MATCH('Bill Impacts'!A39,'2014'!$B$8:$B$98,0))&lt;&gt;0,INDEX('2014'!$P$8:$P$98,MATCH('Bill Impacts'!A39,'2014'!$B$8:$B$98,0)),"")</f>
        <v>118.91629900000001</v>
      </c>
      <c r="F39" s="4">
        <f>IF(INDEX('2015'!$G$8:$G$94,MATCH('Bill Impacts'!A39,'2015'!$B$8:$B$94,0))&lt;&gt;0,INDEX('2015'!$G$8:$G$94,MATCH('Bill Impacts'!A39,'2015'!$B$8:$B$94,0)),"")</f>
        <v>30.555</v>
      </c>
      <c r="G39" s="4">
        <f>IF(INDEX('2015'!$K$8:$K$94,MATCH('Bill Impacts'!A39,'2015'!$B$8:$B$94,0))&lt;&gt;0,INDEX('2015'!$K$8:$K$94,MATCH('Bill Impacts'!A39,'2015'!$B$8:$B$94,0)),"")</f>
        <v>45.105995999999998</v>
      </c>
      <c r="H39" s="4">
        <f>IF(INDEX('2015'!$O$8:$O$94,MATCH('Bill Impacts'!A39,'2015'!$B$8:$B$94,0))&lt;&gt;0,INDEX('2015'!$O$8:$O$94,MATCH('Bill Impacts'!A39,'2015'!$B$8:$B$94,0)),"")</f>
        <v>131.74335100000002</v>
      </c>
      <c r="J39" s="4">
        <f>'2016'!H43</f>
        <v>29.43</v>
      </c>
      <c r="K39" s="4">
        <f>'2016'!L43</f>
        <v>43.533179999999994</v>
      </c>
      <c r="L39" s="4" t="e">
        <f>'2016'!#REF!</f>
        <v>#REF!</v>
      </c>
      <c r="R39" s="4">
        <f t="shared" si="19"/>
        <v>5.129999999999999</v>
      </c>
      <c r="S39" s="38">
        <f t="shared" si="20"/>
        <v>0.20176991150442469</v>
      </c>
      <c r="T39" s="4">
        <f t="shared" si="21"/>
        <v>5.5670519999999968</v>
      </c>
      <c r="U39" s="38">
        <f t="shared" si="22"/>
        <v>0.14079920799098722</v>
      </c>
      <c r="V39" s="4">
        <f t="shared" si="23"/>
        <v>12.827052000000009</v>
      </c>
      <c r="W39" s="38">
        <f t="shared" si="24"/>
        <v>0.10786622277909941</v>
      </c>
      <c r="Y39" s="43" t="str">
        <f>IF(INDEX('2015'!$C$8:$C$94,MATCH('Bill Impacts'!A39,'2015'!$B$8:$B$94,0))=0,"",INDEX('2015'!$C$8:$C$94,MATCH('Bill Impacts'!A39,'2015'!$B$8:$B$94,0)))</f>
        <v>IRM</v>
      </c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37">
        <f>INDEX('2015'!$V$8:$V$94,MATCH('Bill Impacts'!A39,'2015'!$B$8:$B$94,0))</f>
        <v>19623</v>
      </c>
      <c r="AS39" s="49"/>
      <c r="AT39">
        <f t="shared" si="25"/>
        <v>5.207564835150837E-3</v>
      </c>
      <c r="AV39" s="4">
        <f t="shared" si="26"/>
        <v>0.13240233593371004</v>
      </c>
      <c r="AW39" s="4">
        <f t="shared" si="26"/>
        <v>0.20590161439339819</v>
      </c>
      <c r="AX39" s="4">
        <f t="shared" si="26"/>
        <v>0.61926433699868266</v>
      </c>
      <c r="AZ39" s="4">
        <f t="shared" si="27"/>
        <v>0.15911714353803383</v>
      </c>
      <c r="BA39" s="4">
        <f t="shared" si="27"/>
        <v>0.23489239862405431</v>
      </c>
      <c r="BB39" s="4">
        <f t="shared" si="27"/>
        <v>0.68606204193253395</v>
      </c>
    </row>
    <row r="40" spans="1:54" x14ac:dyDescent="0.25">
      <c r="A40" s="11" t="s">
        <v>33</v>
      </c>
      <c r="B40" s="4">
        <f>IF(INDEX('2014'!$H$8:$H$98,MATCH('Bill Impacts'!A40,'2014'!$B$8:$B$98,0))&lt;&gt;0,INDEX('2014'!$H$8:$H$98,MATCH('Bill Impacts'!A40,'2014'!$B$8:$B$98,0)),"")</f>
        <v>20.405000000000001</v>
      </c>
      <c r="C40" s="4">
        <f>IF(INDEX('2014'!$L$8:$L$98,MATCH('Bill Impacts'!A40,'2014'!$B$8:$B$98,0))&lt;&gt;0,INDEX('2014'!$L$8:$L$98,MATCH('Bill Impacts'!A40,'2014'!$B$8:$B$98,0)),"")</f>
        <v>32.145920000000004</v>
      </c>
      <c r="D40" s="36">
        <f>IF(INDEX('2014'!$P$8:$P$98,MATCH('Bill Impacts'!A40,'2014'!$B$8:$B$98,0))&lt;&gt;0,INDEX('2014'!$P$8:$P$98,MATCH('Bill Impacts'!A40,'2014'!$B$8:$B$98,0)),"")</f>
        <v>111.46257</v>
      </c>
      <c r="F40" s="4" t="str">
        <f>IF(INDEX('2015'!$G$8:$G$94,MATCH('Bill Impacts'!A40,'2015'!$B$8:$B$94,0))&lt;&gt;0,INDEX('2015'!$G$8:$G$94,MATCH('Bill Impacts'!A40,'2015'!$B$8:$B$94,0)),"")</f>
        <v/>
      </c>
      <c r="G40" s="4" t="str">
        <f>IF(INDEX('2015'!$K$8:$K$94,MATCH('Bill Impacts'!A40,'2015'!$B$8:$B$94,0))&lt;&gt;0,INDEX('2015'!$K$8:$K$94,MATCH('Bill Impacts'!A40,'2015'!$B$8:$B$94,0)),"")</f>
        <v/>
      </c>
      <c r="H40" s="4" t="str">
        <f>IF(INDEX('2015'!$O$8:$O$94,MATCH('Bill Impacts'!A40,'2015'!$B$8:$B$94,0))&lt;&gt;0,INDEX('2015'!$O$8:$O$94,MATCH('Bill Impacts'!A40,'2015'!$B$8:$B$94,0)),"")</f>
        <v/>
      </c>
      <c r="J40" s="4">
        <f>'2016'!H44</f>
        <v>27.015000000000001</v>
      </c>
      <c r="K40" s="4">
        <f>'2016'!L44</f>
        <v>39.377629500000012</v>
      </c>
      <c r="L40" s="4" t="e">
        <f>'2016'!#REF!</f>
        <v>#REF!</v>
      </c>
      <c r="Y40" s="43" t="str">
        <f>IF(INDEX('2015'!$C$8:$C$94,MATCH('Bill Impacts'!A40,'2015'!$B$8:$B$94,0))=0,"",INDEX('2015'!$C$8:$C$94,MATCH('Bill Impacts'!A40,'2015'!$B$8:$B$94,0)))</f>
        <v>COS</v>
      </c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37">
        <f>INDEX('2015'!$V$8:$V$94,MATCH('Bill Impacts'!A40,'2015'!$B$8:$B$94,0))</f>
        <v>2264</v>
      </c>
      <c r="AS40" s="49"/>
      <c r="AV40" s="17"/>
      <c r="AW40" s="17"/>
      <c r="AX40" s="17"/>
      <c r="AZ40" s="17"/>
      <c r="BA40" s="17"/>
      <c r="BB40" s="17"/>
    </row>
    <row r="41" spans="1:54" x14ac:dyDescent="0.25">
      <c r="A41" t="s">
        <v>34</v>
      </c>
      <c r="B41" s="4">
        <f>IF(INDEX('2014'!$H$8:$H$98,MATCH('Bill Impacts'!A41,'2014'!$B$8:$B$98,0))&lt;&gt;0,INDEX('2014'!$H$8:$H$98,MATCH('Bill Impacts'!A41,'2014'!$B$8:$B$98,0)),"")</f>
        <v>27.014999999999997</v>
      </c>
      <c r="C41" s="4">
        <f>IF(INDEX('2014'!$L$8:$L$98,MATCH('Bill Impacts'!A41,'2014'!$B$8:$B$98,0))&lt;&gt;0,INDEX('2014'!$L$8:$L$98,MATCH('Bill Impacts'!A41,'2014'!$B$8:$B$98,0)),"")</f>
        <v>39.515851499999997</v>
      </c>
      <c r="D41" s="36">
        <f>IF(INDEX('2014'!$P$8:$P$98,MATCH('Bill Impacts'!A41,'2014'!$B$8:$B$98,0))&lt;&gt;0,INDEX('2014'!$P$8:$P$98,MATCH('Bill Impacts'!A41,'2014'!$B$8:$B$98,0)),"")</f>
        <v>118.77444399999999</v>
      </c>
      <c r="F41" s="4">
        <f>IF(INDEX('2015'!$G$8:$G$94,MATCH('Bill Impacts'!A41,'2015'!$B$8:$B$94,0))&lt;&gt;0,INDEX('2015'!$G$8:$G$94,MATCH('Bill Impacts'!A41,'2015'!$B$8:$B$94,0)),"")</f>
        <v>28.465000000000003</v>
      </c>
      <c r="G41" s="4">
        <f>IF(INDEX('2015'!$K$8:$K$94,MATCH('Bill Impacts'!A41,'2015'!$B$8:$B$94,0))&lt;&gt;0,INDEX('2015'!$K$8:$K$94,MATCH('Bill Impacts'!A41,'2015'!$B$8:$B$94,0)),"")</f>
        <v>42.188437000000008</v>
      </c>
      <c r="H41" s="4">
        <f>IF(INDEX('2015'!$O$8:$O$94,MATCH('Bill Impacts'!A41,'2015'!$B$8:$B$94,0))&lt;&gt;0,INDEX('2015'!$O$8:$O$94,MATCH('Bill Impacts'!A41,'2015'!$B$8:$B$94,0)),"")</f>
        <v>128.69505950000001</v>
      </c>
      <c r="J41" s="4">
        <f>'2016'!H45</f>
        <v>29.724999999999998</v>
      </c>
      <c r="K41" s="4">
        <f>'2016'!L45</f>
        <v>43.555683250000001</v>
      </c>
      <c r="L41" s="4" t="e">
        <f>'2016'!#REF!</f>
        <v>#REF!</v>
      </c>
      <c r="R41" s="4">
        <f t="shared" ref="R41:R48" si="29">F41-B41</f>
        <v>1.4500000000000064</v>
      </c>
      <c r="S41" s="38">
        <f t="shared" ref="S41:S48" si="30">F41/B41-1</f>
        <v>5.3673884878771227E-2</v>
      </c>
      <c r="T41" s="4">
        <f t="shared" ref="T41:T48" si="31">G41-C41</f>
        <v>2.6725855000000109</v>
      </c>
      <c r="U41" s="38">
        <f t="shared" ref="U41:U48" si="32">G41/C41-1</f>
        <v>6.763325092463246E-2</v>
      </c>
      <c r="V41" s="4">
        <f t="shared" ref="V41:V51" si="33">H41-D41</f>
        <v>9.9206155000000251</v>
      </c>
      <c r="W41" s="38">
        <f t="shared" ref="W41:W51" si="34">H41/D41-1</f>
        <v>8.3524832160022822E-2</v>
      </c>
      <c r="Y41" s="43" t="str">
        <f>IF(INDEX('2015'!$C$8:$C$94,MATCH('Bill Impacts'!A41,'2015'!$B$8:$B$94,0))=0,"",INDEX('2015'!$C$8:$C$94,MATCH('Bill Impacts'!A41,'2015'!$B$8:$B$94,0)))</f>
        <v>CIR</v>
      </c>
      <c r="Z41" s="43"/>
      <c r="AA41" s="91">
        <f>J41-F41</f>
        <v>1.2599999999999945</v>
      </c>
      <c r="AB41" s="92">
        <f>J41/F41-1</f>
        <v>4.4264886702968465E-2</v>
      </c>
      <c r="AC41" s="91">
        <f>K41-G41</f>
        <v>1.3672462499999938</v>
      </c>
      <c r="AD41" s="102">
        <f>K41/G41-1</f>
        <v>3.240808020453545E-2</v>
      </c>
      <c r="AE41" s="43"/>
      <c r="AF41" s="93" t="e">
        <f t="shared" ref="AF41:AF48" si="35">AC41/L41</f>
        <v>#REF!</v>
      </c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37">
        <f>INDEX('2015'!$V$8:$V$94,MATCH('Bill Impacts'!A41,'2015'!$B$8:$B$94,0))</f>
        <v>219536</v>
      </c>
      <c r="AS41" s="49"/>
      <c r="AT41">
        <f t="shared" ref="AT41:AT48" si="36">AR41/$AR$99</f>
        <v>5.8260610184460791E-2</v>
      </c>
      <c r="AV41" s="4">
        <f t="shared" ref="AV41:AX48" si="37">$AT41*B41</f>
        <v>1.5739103841332081</v>
      </c>
      <c r="AW41" s="4">
        <f t="shared" si="37"/>
        <v>2.3022176203485398</v>
      </c>
      <c r="AX41" s="4">
        <f t="shared" si="37"/>
        <v>6.9198715817600673</v>
      </c>
      <c r="AZ41" s="4">
        <f t="shared" ref="AZ41:BB48" si="38">$AT41*F41</f>
        <v>1.6583882689006766</v>
      </c>
      <c r="BA41" s="4">
        <f t="shared" si="38"/>
        <v>2.4579240823486828</v>
      </c>
      <c r="BB41" s="4">
        <f t="shared" si="38"/>
        <v>7.4978526941954886</v>
      </c>
    </row>
    <row r="42" spans="1:54" x14ac:dyDescent="0.25">
      <c r="A42" t="s">
        <v>35</v>
      </c>
      <c r="B42" s="4">
        <f>IF(INDEX('2014'!$H$8:$H$98,MATCH('Bill Impacts'!A42,'2014'!$B$8:$B$98,0))&lt;&gt;0,INDEX('2014'!$H$8:$H$98,MATCH('Bill Impacts'!A42,'2014'!$B$8:$B$98,0)),"")</f>
        <v>29.087499999999999</v>
      </c>
      <c r="C42" s="4">
        <f>IF(INDEX('2014'!$L$8:$L$98,MATCH('Bill Impacts'!A42,'2014'!$B$8:$B$98,0))&lt;&gt;0,INDEX('2014'!$L$8:$L$98,MATCH('Bill Impacts'!A42,'2014'!$B$8:$B$98,0)),"")</f>
        <v>43.893363999999998</v>
      </c>
      <c r="D42" s="36">
        <f>IF(INDEX('2014'!$P$8:$P$98,MATCH('Bill Impacts'!A42,'2014'!$B$8:$B$98,0))&lt;&gt;0,INDEX('2014'!$P$8:$P$98,MATCH('Bill Impacts'!A42,'2014'!$B$8:$B$98,0)),"")</f>
        <v>123.34339399999999</v>
      </c>
      <c r="F42" s="4">
        <f>IF(INDEX('2015'!$G$8:$G$94,MATCH('Bill Impacts'!A42,'2015'!$B$8:$B$94,0))&lt;&gt;0,INDEX('2015'!$G$8:$G$94,MATCH('Bill Impacts'!A42,'2015'!$B$8:$B$94,0)),"")</f>
        <v>29.57</v>
      </c>
      <c r="G42" s="4">
        <f>IF(INDEX('2015'!$K$8:$K$94,MATCH('Bill Impacts'!A42,'2015'!$B$8:$B$94,0))&lt;&gt;0,INDEX('2015'!$K$8:$K$94,MATCH('Bill Impacts'!A42,'2015'!$B$8:$B$94,0)),"")</f>
        <v>44.693965999999996</v>
      </c>
      <c r="H42" s="4">
        <f>IF(INDEX('2015'!$O$8:$O$94,MATCH('Bill Impacts'!A42,'2015'!$B$8:$B$94,0))&lt;&gt;0,INDEX('2015'!$O$8:$O$94,MATCH('Bill Impacts'!A42,'2015'!$B$8:$B$94,0)),"")</f>
        <v>131.40399600000001</v>
      </c>
      <c r="J42" s="4">
        <f>'2016'!H46</f>
        <v>34.174999999999997</v>
      </c>
      <c r="K42" s="4">
        <f>'2016'!L46</f>
        <v>50.238490999999996</v>
      </c>
      <c r="L42" s="4" t="e">
        <f>'2016'!#REF!</f>
        <v>#REF!</v>
      </c>
      <c r="R42" s="4">
        <f t="shared" si="29"/>
        <v>0.48250000000000171</v>
      </c>
      <c r="S42" s="38">
        <f t="shared" si="30"/>
        <v>1.658788139235079E-2</v>
      </c>
      <c r="T42" s="4">
        <f t="shared" si="31"/>
        <v>0.80060199999999782</v>
      </c>
      <c r="U42" s="38">
        <f t="shared" si="32"/>
        <v>1.8239704753547636E-2</v>
      </c>
      <c r="V42" s="4">
        <f t="shared" si="33"/>
        <v>8.0606020000000171</v>
      </c>
      <c r="W42" s="38">
        <f t="shared" si="34"/>
        <v>6.5350901565105479E-2</v>
      </c>
      <c r="Y42" s="43" t="str">
        <f>IF(INDEX('2015'!$C$8:$C$94,MATCH('Bill Impacts'!A42,'2015'!$B$8:$B$94,0))=0,"",INDEX('2015'!$C$8:$C$94,MATCH('Bill Impacts'!A42,'2015'!$B$8:$B$94,0)))</f>
        <v>IRM-DA</v>
      </c>
      <c r="Z42" s="43"/>
      <c r="AA42" s="91"/>
      <c r="AB42" s="92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37">
        <f>INDEX('2015'!$V$8:$V$94,MATCH('Bill Impacts'!A42,'2015'!$B$8:$B$94,0))</f>
        <v>1069</v>
      </c>
      <c r="AS42" s="49"/>
      <c r="AT42">
        <f t="shared" si="36"/>
        <v>2.8369193338308337E-4</v>
      </c>
      <c r="AV42" s="4">
        <f t="shared" si="37"/>
        <v>8.2518891122804368E-3</v>
      </c>
      <c r="AW42" s="4">
        <f t="shared" si="37"/>
        <v>1.2452193295847428E-2</v>
      </c>
      <c r="AX42" s="4">
        <f t="shared" si="37"/>
        <v>3.4991525913891403E-2</v>
      </c>
      <c r="AZ42" s="4">
        <f t="shared" si="38"/>
        <v>8.3887704701377745E-3</v>
      </c>
      <c r="BA42" s="4">
        <f t="shared" si="38"/>
        <v>1.2679317625097792E-2</v>
      </c>
      <c r="BB42" s="4">
        <f t="shared" si="38"/>
        <v>3.7278253679502958E-2</v>
      </c>
    </row>
    <row r="43" spans="1:54" x14ac:dyDescent="0.25">
      <c r="A43" t="s">
        <v>108</v>
      </c>
      <c r="B43" s="4">
        <f>IF(INDEX('2014'!$H$8:$H$98,MATCH('Bill Impacts'!A43,'2014'!$B$8:$B$98,0))&lt;&gt;0,INDEX('2014'!$H$8:$H$98,MATCH('Bill Impacts'!A43,'2014'!$B$8:$B$98,0)),"")</f>
        <v>12.809999999999999</v>
      </c>
      <c r="C43" s="4">
        <f>IF(INDEX('2014'!$L$8:$L$98,MATCH('Bill Impacts'!A43,'2014'!$B$8:$B$98,0))&lt;&gt;0,INDEX('2014'!$L$8:$L$98,MATCH('Bill Impacts'!A43,'2014'!$B$8:$B$98,0)),"")</f>
        <v>24.546372000000002</v>
      </c>
      <c r="D43" s="36">
        <f>IF(INDEX('2014'!$P$8:$P$98,MATCH('Bill Impacts'!A43,'2014'!$B$8:$B$98,0))&lt;&gt;0,INDEX('2014'!$P$8:$P$98,MATCH('Bill Impacts'!A43,'2014'!$B$8:$B$98,0)),"")</f>
        <v>103.8976495</v>
      </c>
      <c r="F43" s="4">
        <f>IF(INDEX('2015'!$G$8:$G$94,MATCH('Bill Impacts'!A43,'2015'!$B$8:$B$94,0))&lt;&gt;0,INDEX('2015'!$G$8:$G$94,MATCH('Bill Impacts'!A43,'2015'!$B$8:$B$94,0)),"")</f>
        <v>15.084999999999997</v>
      </c>
      <c r="G43" s="4">
        <f>IF(INDEX('2015'!$K$8:$K$94,MATCH('Bill Impacts'!A43,'2015'!$B$8:$B$94,0))&lt;&gt;0,INDEX('2015'!$K$8:$K$94,MATCH('Bill Impacts'!A43,'2015'!$B$8:$B$94,0)),"")</f>
        <v>27.372253000000004</v>
      </c>
      <c r="H43" s="4">
        <f>IF(INDEX('2015'!$O$8:$O$94,MATCH('Bill Impacts'!A43,'2015'!$B$8:$B$94,0))&lt;&gt;0,INDEX('2015'!$O$8:$O$94,MATCH('Bill Impacts'!A43,'2015'!$B$8:$B$94,0)),"")</f>
        <v>113.9835305</v>
      </c>
      <c r="J43" s="4">
        <f>'2016'!H47</f>
        <v>16.615000000000002</v>
      </c>
      <c r="K43" s="4">
        <f>'2016'!L47</f>
        <v>29.435686750000006</v>
      </c>
      <c r="L43" s="4" t="e">
        <f>'2016'!#REF!</f>
        <v>#REF!</v>
      </c>
      <c r="R43" s="4">
        <f t="shared" si="29"/>
        <v>2.2749999999999986</v>
      </c>
      <c r="S43" s="38">
        <f t="shared" si="30"/>
        <v>0.17759562841530041</v>
      </c>
      <c r="T43" s="4">
        <f t="shared" si="31"/>
        <v>2.8258810000000025</v>
      </c>
      <c r="U43" s="38">
        <f t="shared" si="32"/>
        <v>0.11512418209909003</v>
      </c>
      <c r="V43" s="4">
        <f t="shared" si="33"/>
        <v>10.085881000000001</v>
      </c>
      <c r="W43" s="38">
        <f t="shared" si="34"/>
        <v>9.7075160492442247E-2</v>
      </c>
      <c r="Y43" s="43" t="str">
        <f>IF(INDEX('2015'!$C$8:$C$94,MATCH('Bill Impacts'!A43,'2015'!$B$8:$B$94,0))=0,"",INDEX('2015'!$C$8:$C$94,MATCH('Bill Impacts'!A43,'2015'!$B$8:$B$94,0)))</f>
        <v>IRM-DA</v>
      </c>
      <c r="Z43" s="43"/>
      <c r="AA43" s="91">
        <f t="shared" ref="AA43:AA48" si="39">J43-F43</f>
        <v>1.5300000000000047</v>
      </c>
      <c r="AB43" s="92">
        <f t="shared" ref="AB43:AB48" si="40">J43/F43-1</f>
        <v>0.10142525687769344</v>
      </c>
      <c r="AC43" s="91">
        <f t="shared" ref="AC43:AC48" si="41">K43-G43</f>
        <v>2.0634337500000015</v>
      </c>
      <c r="AD43" s="102">
        <f t="shared" ref="AD43:AD48" si="42">K43/G43-1</f>
        <v>7.5384139917163528E-2</v>
      </c>
      <c r="AE43" s="43"/>
      <c r="AF43" s="93" t="e">
        <f t="shared" si="35"/>
        <v>#REF!</v>
      </c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37">
        <f>INDEX('2015'!$V$8:$V$94,MATCH('Bill Impacts'!A43,'2015'!$B$8:$B$94,0))</f>
        <v>4818</v>
      </c>
      <c r="AS43" s="49"/>
      <c r="AT43">
        <f t="shared" si="36"/>
        <v>1.2786040552289013E-3</v>
      </c>
      <c r="AV43" s="4">
        <f t="shared" si="37"/>
        <v>1.6378917947482224E-2</v>
      </c>
      <c r="AW43" s="4">
        <f t="shared" si="37"/>
        <v>3.1385090780357158E-2</v>
      </c>
      <c r="AX43" s="4">
        <f t="shared" si="37"/>
        <v>0.13284395597945103</v>
      </c>
      <c r="AZ43" s="4">
        <f t="shared" si="38"/>
        <v>1.9287742173127974E-2</v>
      </c>
      <c r="BA43" s="4">
        <f t="shared" si="38"/>
        <v>3.4998273686551465E-2</v>
      </c>
      <c r="BB43" s="4">
        <f t="shared" si="38"/>
        <v>0.14573980432660716</v>
      </c>
    </row>
    <row r="44" spans="1:54" x14ac:dyDescent="0.25">
      <c r="A44" t="s">
        <v>36</v>
      </c>
      <c r="B44" s="4">
        <f>IF(INDEX('2014'!$H$8:$H$98,MATCH('Bill Impacts'!A44,'2014'!$B$8:$B$98,0))&lt;&gt;0,INDEX('2014'!$H$8:$H$98,MATCH('Bill Impacts'!A44,'2014'!$B$8:$B$98,0)),"")</f>
        <v>21.659999999999997</v>
      </c>
      <c r="C44" s="4">
        <f>IF(INDEX('2014'!$L$8:$L$98,MATCH('Bill Impacts'!A44,'2014'!$B$8:$B$98,0))&lt;&gt;0,INDEX('2014'!$L$8:$L$98,MATCH('Bill Impacts'!A44,'2014'!$B$8:$B$98,0)),"")</f>
        <v>34.17041549999999</v>
      </c>
      <c r="D44" s="36">
        <f>IF(INDEX('2014'!$P$8:$P$98,MATCH('Bill Impacts'!A44,'2014'!$B$8:$B$98,0))&lt;&gt;0,INDEX('2014'!$P$8:$P$98,MATCH('Bill Impacts'!A44,'2014'!$B$8:$B$98,0)),"")</f>
        <v>113.43961299999998</v>
      </c>
      <c r="F44" s="4">
        <f>IF(INDEX('2015'!$G$8:$G$94,MATCH('Bill Impacts'!A44,'2015'!$B$8:$B$94,0))&lt;&gt;0,INDEX('2015'!$G$8:$G$94,MATCH('Bill Impacts'!A44,'2015'!$B$8:$B$94,0)),"")</f>
        <v>22.79</v>
      </c>
      <c r="G44" s="4">
        <f>IF(INDEX('2015'!$K$8:$K$94,MATCH('Bill Impacts'!A44,'2015'!$B$8:$B$94,0))&lt;&gt;0,INDEX('2015'!$K$8:$K$94,MATCH('Bill Impacts'!A44,'2015'!$B$8:$B$94,0)),"")</f>
        <v>36.182723000000003</v>
      </c>
      <c r="H44" s="4">
        <f>IF(INDEX('2015'!$O$8:$O$94,MATCH('Bill Impacts'!A44,'2015'!$B$8:$B$94,0))&lt;&gt;0,INDEX('2015'!$O$8:$O$94,MATCH('Bill Impacts'!A44,'2015'!$B$8:$B$94,0)),"")</f>
        <v>122.70850050000001</v>
      </c>
      <c r="J44" s="4">
        <f>'2016'!H48</f>
        <v>24.335000000000001</v>
      </c>
      <c r="K44" s="4">
        <f>'2016'!L48</f>
        <v>37.654061750000004</v>
      </c>
      <c r="L44" s="4" t="e">
        <f>'2016'!#REF!</f>
        <v>#REF!</v>
      </c>
      <c r="R44" s="4">
        <f t="shared" si="29"/>
        <v>1.1300000000000026</v>
      </c>
      <c r="S44" s="38">
        <f t="shared" si="30"/>
        <v>5.2169898430286299E-2</v>
      </c>
      <c r="T44" s="4">
        <f t="shared" si="31"/>
        <v>2.0123075000000128</v>
      </c>
      <c r="U44" s="38">
        <f t="shared" si="32"/>
        <v>5.8890343314672799E-2</v>
      </c>
      <c r="V44" s="4">
        <f t="shared" si="33"/>
        <v>9.2688875000000337</v>
      </c>
      <c r="W44" s="38">
        <f t="shared" si="34"/>
        <v>8.1707679133214528E-2</v>
      </c>
      <c r="Y44" s="43" t="str">
        <f>IF(INDEX('2015'!$C$8:$C$94,MATCH('Bill Impacts'!A44,'2015'!$B$8:$B$94,0))=0,"",INDEX('2015'!$C$8:$C$94,MATCH('Bill Impacts'!A44,'2015'!$B$8:$B$94,0)))</f>
        <v>COS</v>
      </c>
      <c r="Z44" s="43"/>
      <c r="AA44" s="91">
        <f t="shared" si="39"/>
        <v>1.5450000000000017</v>
      </c>
      <c r="AB44" s="92">
        <f t="shared" si="40"/>
        <v>6.7792891619131268E-2</v>
      </c>
      <c r="AC44" s="91">
        <f t="shared" si="41"/>
        <v>1.471338750000001</v>
      </c>
      <c r="AD44" s="102">
        <f t="shared" si="42"/>
        <v>4.0664124422034265E-2</v>
      </c>
      <c r="AE44" s="43"/>
      <c r="AF44" s="93" t="e">
        <f t="shared" si="35"/>
        <v>#REF!</v>
      </c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37">
        <f>INDEX('2015'!$V$8:$V$94,MATCH('Bill Impacts'!A44,'2015'!$B$8:$B$94,0))</f>
        <v>138992</v>
      </c>
      <c r="AS44" s="49"/>
      <c r="AT44">
        <f t="shared" si="36"/>
        <v>3.6885789714482246E-2</v>
      </c>
      <c r="AV44" s="4">
        <f t="shared" si="37"/>
        <v>0.79894620521568538</v>
      </c>
      <c r="AW44" s="4">
        <f t="shared" si="37"/>
        <v>1.2604027605894843</v>
      </c>
      <c r="AX44" s="4">
        <f t="shared" si="37"/>
        <v>4.184309710410246</v>
      </c>
      <c r="AZ44" s="4">
        <f t="shared" si="38"/>
        <v>0.84062714759305035</v>
      </c>
      <c r="BA44" s="4">
        <f t="shared" si="38"/>
        <v>1.3346283118753604</v>
      </c>
      <c r="BB44" s="4">
        <f t="shared" si="38"/>
        <v>4.52619994562244</v>
      </c>
    </row>
    <row r="45" spans="1:54" x14ac:dyDescent="0.25">
      <c r="A45" t="s">
        <v>37</v>
      </c>
      <c r="B45" s="4">
        <f>IF(INDEX('2014'!$H$8:$H$98,MATCH('Bill Impacts'!A45,'2014'!$B$8:$B$98,0))&lt;&gt;0,INDEX('2014'!$H$8:$H$98,MATCH('Bill Impacts'!A45,'2014'!$B$8:$B$98,0)),"")</f>
        <v>51.087500000000006</v>
      </c>
      <c r="C45" s="4">
        <f>IF(INDEX('2014'!$L$8:$L$98,MATCH('Bill Impacts'!A45,'2014'!$B$8:$B$98,0))&lt;&gt;0,INDEX('2014'!$L$8:$L$98,MATCH('Bill Impacts'!A45,'2014'!$B$8:$B$98,0)),"")</f>
        <v>66.893299999999996</v>
      </c>
      <c r="D45" s="36">
        <f>IF(INDEX('2014'!$P$8:$P$98,MATCH('Bill Impacts'!A45,'2014'!$B$8:$B$98,0))&lt;&gt;0,INDEX('2014'!$P$8:$P$98,MATCH('Bill Impacts'!A45,'2014'!$B$8:$B$98,0)),"")</f>
        <v>146.37667499999998</v>
      </c>
      <c r="F45" s="4">
        <f>IF(INDEX('2015'!$G$8:$G$94,MATCH('Bill Impacts'!A45,'2015'!$B$8:$B$94,0))&lt;&gt;0,INDEX('2015'!$G$8:$G$94,MATCH('Bill Impacts'!A45,'2015'!$B$8:$B$94,0)),"")</f>
        <v>53.344999999999999</v>
      </c>
      <c r="G45" s="4">
        <f>IF(INDEX('2015'!$K$8:$K$94,MATCH('Bill Impacts'!A45,'2015'!$B$8:$B$94,0))&lt;&gt;0,INDEX('2015'!$K$8:$K$94,MATCH('Bill Impacts'!A45,'2015'!$B$8:$B$94,0)),"")</f>
        <v>68.366780000000006</v>
      </c>
      <c r="H45" s="4">
        <f>IF(INDEX('2015'!$O$8:$O$94,MATCH('Bill Impacts'!A45,'2015'!$B$8:$B$94,0))&lt;&gt;0,INDEX('2015'!$O$8:$O$94,MATCH('Bill Impacts'!A45,'2015'!$B$8:$B$94,0)),"")</f>
        <v>155.07168000000001</v>
      </c>
      <c r="J45" s="4">
        <f>'2016'!H49</f>
        <v>54.019999999999996</v>
      </c>
      <c r="K45" s="4">
        <f>'2016'!L49</f>
        <v>69.730429999999998</v>
      </c>
      <c r="L45" s="4" t="e">
        <f>'2016'!#REF!</f>
        <v>#REF!</v>
      </c>
      <c r="R45" s="4">
        <f t="shared" si="29"/>
        <v>2.2574999999999932</v>
      </c>
      <c r="S45" s="38">
        <f t="shared" si="30"/>
        <v>4.4188891607535918E-2</v>
      </c>
      <c r="T45" s="4">
        <f t="shared" si="31"/>
        <v>1.4734800000000092</v>
      </c>
      <c r="U45" s="38">
        <f t="shared" si="32"/>
        <v>2.202731813201031E-2</v>
      </c>
      <c r="V45" s="4">
        <f t="shared" si="33"/>
        <v>8.6950050000000374</v>
      </c>
      <c r="W45" s="38">
        <f t="shared" si="34"/>
        <v>5.9401574738598528E-2</v>
      </c>
      <c r="Y45" s="43" t="str">
        <f>IF(INDEX('2015'!$C$8:$C$94,MATCH('Bill Impacts'!A45,'2015'!$B$8:$B$94,0))=0,"",INDEX('2015'!$C$8:$C$94,MATCH('Bill Impacts'!A45,'2015'!$B$8:$B$94,0)))</f>
        <v>CIR</v>
      </c>
      <c r="Z45" s="43"/>
      <c r="AA45" s="91">
        <f t="shared" si="39"/>
        <v>0.67499999999999716</v>
      </c>
      <c r="AB45" s="92">
        <f t="shared" si="40"/>
        <v>1.2653482050801301E-2</v>
      </c>
      <c r="AC45" s="91">
        <f t="shared" si="41"/>
        <v>1.3636499999999927</v>
      </c>
      <c r="AD45" s="102">
        <f t="shared" si="42"/>
        <v>1.9946090776836289E-2</v>
      </c>
      <c r="AE45" s="43"/>
      <c r="AF45" s="93" t="e">
        <f t="shared" si="35"/>
        <v>#REF!</v>
      </c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6">
        <v>438731</v>
      </c>
      <c r="AS45" s="50"/>
      <c r="AT45">
        <f t="shared" si="36"/>
        <v>0.11643072556135972</v>
      </c>
      <c r="AV45" s="4">
        <f t="shared" si="37"/>
        <v>5.9481546921159651</v>
      </c>
      <c r="AW45" s="4">
        <f t="shared" si="37"/>
        <v>7.7884354541937038</v>
      </c>
      <c r="AX45" s="4">
        <f t="shared" si="37"/>
        <v>17.042742475509343</v>
      </c>
      <c r="AZ45" s="4">
        <f t="shared" si="38"/>
        <v>6.2109970550707345</v>
      </c>
      <c r="BA45" s="4">
        <f t="shared" si="38"/>
        <v>7.9599937996938577</v>
      </c>
      <c r="BB45" s="4">
        <f t="shared" si="38"/>
        <v>18.055108216418997</v>
      </c>
    </row>
    <row r="46" spans="1:54" x14ac:dyDescent="0.25">
      <c r="A46" t="s">
        <v>38</v>
      </c>
      <c r="B46" s="4">
        <f>IF(INDEX('2014'!$H$8:$H$98,MATCH('Bill Impacts'!A46,'2014'!$B$8:$B$98,0))&lt;&gt;0,INDEX('2014'!$H$8:$H$98,MATCH('Bill Impacts'!A46,'2014'!$B$8:$B$98,0)),"")</f>
        <v>63.31</v>
      </c>
      <c r="C46" s="4">
        <f>IF(INDEX('2014'!$L$8:$L$98,MATCH('Bill Impacts'!A46,'2014'!$B$8:$B$98,0))&lt;&gt;0,INDEX('2014'!$L$8:$L$98,MATCH('Bill Impacts'!A46,'2014'!$B$8:$B$98,0)),"")</f>
        <v>79.288420000000016</v>
      </c>
      <c r="D46" s="36">
        <f>IF(INDEX('2014'!$P$8:$P$98,MATCH('Bill Impacts'!A46,'2014'!$B$8:$B$98,0))&lt;&gt;0,INDEX('2014'!$P$8:$P$98,MATCH('Bill Impacts'!A46,'2014'!$B$8:$B$98,0)),"")</f>
        <v>158.80172000000002</v>
      </c>
      <c r="F46" s="4">
        <f>IF(INDEX('2015'!$G$8:$G$94,MATCH('Bill Impacts'!A46,'2015'!$B$8:$B$94,0))&lt;&gt;0,INDEX('2015'!$G$8:$G$94,MATCH('Bill Impacts'!A46,'2015'!$B$8:$B$94,0)),"")</f>
        <v>74.084999999999994</v>
      </c>
      <c r="G46" s="4">
        <f>IF(INDEX('2015'!$K$8:$K$94,MATCH('Bill Impacts'!A46,'2015'!$B$8:$B$94,0))&lt;&gt;0,INDEX('2015'!$K$8:$K$94,MATCH('Bill Impacts'!A46,'2015'!$B$8:$B$94,0)),"")</f>
        <v>91.079025000000001</v>
      </c>
      <c r="H46" s="4">
        <f>IF(INDEX('2015'!$O$8:$O$94,MATCH('Bill Impacts'!A46,'2015'!$B$8:$B$94,0))&lt;&gt;0,INDEX('2015'!$O$8:$O$94,MATCH('Bill Impacts'!A46,'2015'!$B$8:$B$94,0)),"")</f>
        <v>177.90790000000001</v>
      </c>
      <c r="J46" s="4">
        <f>'2016'!H50</f>
        <v>76.134999999999991</v>
      </c>
      <c r="K46" s="4">
        <f>'2016'!L50</f>
        <v>94.106087499999987</v>
      </c>
      <c r="L46" s="4" t="e">
        <f>'2016'!#REF!</f>
        <v>#REF!</v>
      </c>
      <c r="R46" s="4">
        <f t="shared" si="29"/>
        <v>10.774999999999991</v>
      </c>
      <c r="S46" s="38">
        <f t="shared" si="30"/>
        <v>0.17019428210393284</v>
      </c>
      <c r="T46" s="4">
        <f t="shared" si="31"/>
        <v>11.790604999999985</v>
      </c>
      <c r="U46" s="38">
        <f t="shared" si="32"/>
        <v>0.14870525859892259</v>
      </c>
      <c r="V46" s="4">
        <f t="shared" si="33"/>
        <v>19.106179999999995</v>
      </c>
      <c r="W46" s="38">
        <f t="shared" si="34"/>
        <v>0.12031469180560506</v>
      </c>
      <c r="Y46" s="43" t="str">
        <f>IF(INDEX('2015'!$C$8:$C$94,MATCH('Bill Impacts'!A46,'2015'!$B$8:$B$94,0))=0,"",INDEX('2015'!$C$8:$C$94,MATCH('Bill Impacts'!A46,'2015'!$B$8:$B$94,0)))</f>
        <v>CIR</v>
      </c>
      <c r="Z46" s="43"/>
      <c r="AA46" s="91">
        <f t="shared" si="39"/>
        <v>2.0499999999999972</v>
      </c>
      <c r="AB46" s="92">
        <f t="shared" si="40"/>
        <v>2.7670918539515421E-2</v>
      </c>
      <c r="AC46" s="91">
        <f t="shared" si="41"/>
        <v>3.0270624999999853</v>
      </c>
      <c r="AD46" s="102">
        <f t="shared" si="42"/>
        <v>3.3235561096531141E-2</v>
      </c>
      <c r="AE46" s="43"/>
      <c r="AF46" s="93" t="e">
        <f t="shared" si="35"/>
        <v>#REF!</v>
      </c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6">
        <v>335388</v>
      </c>
      <c r="AS46" s="50"/>
      <c r="AT46">
        <f t="shared" si="36"/>
        <v>8.9005491256768529E-2</v>
      </c>
      <c r="AV46" s="4">
        <f t="shared" si="37"/>
        <v>5.6349376514660161</v>
      </c>
      <c r="AW46" s="4">
        <f t="shared" si="37"/>
        <v>7.0571047730729921</v>
      </c>
      <c r="AX46" s="4">
        <f t="shared" si="37"/>
        <v>14.134225101019805</v>
      </c>
      <c r="AZ46" s="4">
        <f t="shared" si="38"/>
        <v>6.5939718197576962</v>
      </c>
      <c r="BA46" s="4">
        <f t="shared" si="38"/>
        <v>8.1065333633125025</v>
      </c>
      <c r="BB46" s="4">
        <f t="shared" si="38"/>
        <v>15.834780037960051</v>
      </c>
    </row>
    <row r="47" spans="1:54" x14ac:dyDescent="0.25">
      <c r="A47" t="s">
        <v>121</v>
      </c>
      <c r="B47" s="4">
        <f>IF(INDEX('2014'!$H$8:$H$98,MATCH('Bill Impacts'!A47,'2014'!$B$8:$B$98,0))&lt;&gt;0,INDEX('2014'!$H$8:$H$98,MATCH('Bill Impacts'!A47,'2014'!$B$8:$B$98,0)),"")</f>
        <v>88.987499999999997</v>
      </c>
      <c r="C47" s="4">
        <f>IF(INDEX('2014'!$L$8:$L$98,MATCH('Bill Impacts'!A47,'2014'!$B$8:$B$98,0))&lt;&gt;0,INDEX('2014'!$L$8:$L$98,MATCH('Bill Impacts'!A47,'2014'!$B$8:$B$98,0)),"")</f>
        <v>104.56461</v>
      </c>
      <c r="D47" s="36">
        <f>IF(INDEX('2014'!$P$8:$P$98,MATCH('Bill Impacts'!A47,'2014'!$B$8:$B$98,0))&lt;&gt;0,INDEX('2014'!$P$8:$P$98,MATCH('Bill Impacts'!A47,'2014'!$B$8:$B$98,0)),"")</f>
        <v>184.07791</v>
      </c>
      <c r="F47" s="4">
        <f>IF(INDEX('2015'!$G$8:$G$94,MATCH('Bill Impacts'!A47,'2015'!$B$8:$B$94,0))&lt;&gt;0,INDEX('2015'!$G$8:$G$94,MATCH('Bill Impacts'!A47,'2015'!$B$8:$B$94,0)),"")</f>
        <v>89.549999999999983</v>
      </c>
      <c r="G47" s="4">
        <f>IF(INDEX('2015'!$K$8:$K$94,MATCH('Bill Impacts'!A47,'2015'!$B$8:$B$94,0))&lt;&gt;0,INDEX('2015'!$K$8:$K$94,MATCH('Bill Impacts'!A47,'2015'!$B$8:$B$94,0)),"")</f>
        <v>105.46572</v>
      </c>
      <c r="H47" s="4">
        <f>IF(INDEX('2015'!$O$8:$O$94,MATCH('Bill Impacts'!A47,'2015'!$B$8:$B$94,0))&lt;&gt;0,INDEX('2015'!$O$8:$O$94,MATCH('Bill Impacts'!A47,'2015'!$B$8:$B$94,0)),"")</f>
        <v>192.29032000000001</v>
      </c>
      <c r="J47" s="4">
        <f>'2016'!H51</f>
        <v>90.834999999999994</v>
      </c>
      <c r="K47" s="4">
        <f>'2016'!L51</f>
        <v>107.63782</v>
      </c>
      <c r="L47" s="4" t="e">
        <f>'2016'!#REF!</f>
        <v>#REF!</v>
      </c>
      <c r="R47" s="4">
        <f t="shared" si="29"/>
        <v>0.56249999999998579</v>
      </c>
      <c r="S47" s="38">
        <f t="shared" si="30"/>
        <v>6.321112515802696E-3</v>
      </c>
      <c r="T47" s="4">
        <f t="shared" si="31"/>
        <v>0.90111000000000274</v>
      </c>
      <c r="U47" s="38">
        <f t="shared" si="32"/>
        <v>8.617734049789938E-3</v>
      </c>
      <c r="V47" s="4">
        <f t="shared" si="33"/>
        <v>8.2124100000000055</v>
      </c>
      <c r="W47" s="38">
        <f t="shared" si="34"/>
        <v>4.461377250534837E-2</v>
      </c>
      <c r="Y47" s="43" t="str">
        <f>IF(INDEX('2015'!$C$8:$C$94,MATCH('Bill Impacts'!A47,'2015'!$B$8:$B$94,0))=0,"",INDEX('2015'!$C$8:$C$94,MATCH('Bill Impacts'!A47,'2015'!$B$8:$B$94,0)))</f>
        <v>CIR</v>
      </c>
      <c r="Z47" s="43"/>
      <c r="AA47" s="91">
        <f t="shared" si="39"/>
        <v>1.2850000000000108</v>
      </c>
      <c r="AB47" s="92">
        <f t="shared" si="40"/>
        <v>1.4349525404801833E-2</v>
      </c>
      <c r="AC47" s="91">
        <f t="shared" si="41"/>
        <v>2.1721000000000004</v>
      </c>
      <c r="AD47" s="102">
        <f t="shared" si="42"/>
        <v>2.0595317606517005E-2</v>
      </c>
      <c r="AE47" s="43"/>
      <c r="AF47" s="93" t="e">
        <f t="shared" si="35"/>
        <v>#REF!</v>
      </c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6">
        <v>143814</v>
      </c>
      <c r="AS47" s="50"/>
      <c r="AT47">
        <f t="shared" si="36"/>
        <v>3.8165455292380496E-2</v>
      </c>
      <c r="AV47" s="4">
        <f t="shared" si="37"/>
        <v>3.3962484528307093</v>
      </c>
      <c r="AW47" s="4">
        <f t="shared" si="37"/>
        <v>3.9907559481202024</v>
      </c>
      <c r="AX47" s="4">
        <f t="shared" si="37"/>
        <v>7.0254172444198408</v>
      </c>
      <c r="AZ47" s="4">
        <f t="shared" si="38"/>
        <v>3.4177165214326726</v>
      </c>
      <c r="BA47" s="4">
        <f t="shared" si="38"/>
        <v>4.0251472215387194</v>
      </c>
      <c r="BB47" s="4">
        <f t="shared" si="38"/>
        <v>7.3388476111175391</v>
      </c>
    </row>
    <row r="48" spans="1:54" x14ac:dyDescent="0.25">
      <c r="A48" t="s">
        <v>39</v>
      </c>
      <c r="B48" s="4">
        <f>IF(INDEX('2014'!$H$8:$H$98,MATCH('Bill Impacts'!A48,'2014'!$B$8:$B$98,0))&lt;&gt;0,INDEX('2014'!$H$8:$H$98,MATCH('Bill Impacts'!A48,'2014'!$B$8:$B$98,0)),"")</f>
        <v>37.064999999999998</v>
      </c>
      <c r="C48" s="4">
        <f>IF(INDEX('2014'!$L$8:$L$98,MATCH('Bill Impacts'!A48,'2014'!$B$8:$B$98,0))&lt;&gt;0,INDEX('2014'!$L$8:$L$98,MATCH('Bill Impacts'!A48,'2014'!$B$8:$B$98,0)),"")</f>
        <v>52.143569999999997</v>
      </c>
      <c r="D48" s="36">
        <f>IF(INDEX('2014'!$P$8:$P$98,MATCH('Bill Impacts'!A48,'2014'!$B$8:$B$98,0))&lt;&gt;0,INDEX('2014'!$P$8:$P$98,MATCH('Bill Impacts'!A48,'2014'!$B$8:$B$98,0)),"")</f>
        <v>131.59701999999999</v>
      </c>
      <c r="F48" s="4">
        <f>IF(INDEX('2015'!$G$8:$G$94,MATCH('Bill Impacts'!A48,'2015'!$B$8:$B$94,0))&lt;&gt;0,INDEX('2015'!$G$8:$G$94,MATCH('Bill Impacts'!A48,'2015'!$B$8:$B$94,0)),"")</f>
        <v>35.520000000000003</v>
      </c>
      <c r="G48" s="4">
        <f>IF(INDEX('2015'!$K$8:$K$94,MATCH('Bill Impacts'!A48,'2015'!$B$8:$B$94,0))&lt;&gt;0,INDEX('2015'!$K$8:$K$94,MATCH('Bill Impacts'!A48,'2015'!$B$8:$B$94,0)),"")</f>
        <v>49.399484999999999</v>
      </c>
      <c r="H48" s="4">
        <f>IF(INDEX('2015'!$O$8:$O$94,MATCH('Bill Impacts'!A48,'2015'!$B$8:$B$94,0))&lt;&gt;0,INDEX('2015'!$O$8:$O$94,MATCH('Bill Impacts'!A48,'2015'!$B$8:$B$94,0)),"")</f>
        <v>136.02316000000002</v>
      </c>
      <c r="J48" s="4">
        <f>'2016'!H52</f>
        <v>35.65</v>
      </c>
      <c r="K48" s="4">
        <f>'2016'!L52</f>
        <v>49.766372499999996</v>
      </c>
      <c r="L48" s="4" t="e">
        <f>'2016'!#REF!</f>
        <v>#REF!</v>
      </c>
      <c r="R48" s="4">
        <f t="shared" si="29"/>
        <v>-1.5449999999999946</v>
      </c>
      <c r="S48" s="38">
        <f t="shared" si="30"/>
        <v>-4.1683528935653413E-2</v>
      </c>
      <c r="T48" s="4">
        <f t="shared" si="31"/>
        <v>-2.7440849999999983</v>
      </c>
      <c r="U48" s="38">
        <f t="shared" si="32"/>
        <v>-5.262556821483455E-2</v>
      </c>
      <c r="V48" s="4">
        <f t="shared" si="33"/>
        <v>4.4261400000000322</v>
      </c>
      <c r="W48" s="38">
        <f t="shared" si="34"/>
        <v>3.3634044296747989E-2</v>
      </c>
      <c r="Y48" s="43" t="str">
        <f>IF(INDEX('2015'!$C$8:$C$94,MATCH('Bill Impacts'!A48,'2015'!$B$8:$B$94,0))=0,"",INDEX('2015'!$C$8:$C$94,MATCH('Bill Impacts'!A48,'2015'!$B$8:$B$94,0)))</f>
        <v>CIR</v>
      </c>
      <c r="Z48" s="43"/>
      <c r="AA48" s="91">
        <f t="shared" si="39"/>
        <v>0.12999999999999545</v>
      </c>
      <c r="AB48" s="92">
        <f t="shared" si="40"/>
        <v>3.6599099099097199E-3</v>
      </c>
      <c r="AC48" s="91">
        <f t="shared" si="41"/>
        <v>0.36688749999999715</v>
      </c>
      <c r="AD48" s="102">
        <f t="shared" si="42"/>
        <v>7.4269498963399627E-3</v>
      </c>
      <c r="AE48" s="43"/>
      <c r="AF48" s="93" t="e">
        <f t="shared" si="35"/>
        <v>#REF!</v>
      </c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6">
        <v>209756</v>
      </c>
      <c r="AS48" s="50"/>
      <c r="AT48">
        <f t="shared" si="36"/>
        <v>5.5665187257906486E-2</v>
      </c>
      <c r="AV48" s="4">
        <f t="shared" si="37"/>
        <v>2.063230165714304</v>
      </c>
      <c r="AW48" s="4">
        <f t="shared" si="37"/>
        <v>2.9025815883457549</v>
      </c>
      <c r="AX48" s="4">
        <f t="shared" si="37"/>
        <v>7.3253727608824644</v>
      </c>
      <c r="AZ48" s="4">
        <f t="shared" si="38"/>
        <v>1.9772274514008386</v>
      </c>
      <c r="BA48" s="4">
        <f t="shared" si="38"/>
        <v>2.7498315829691427</v>
      </c>
      <c r="BB48" s="4">
        <f t="shared" si="38"/>
        <v>7.5717546728121761</v>
      </c>
    </row>
    <row r="49" spans="1:54" x14ac:dyDescent="0.25">
      <c r="A49" s="40" t="s">
        <v>40</v>
      </c>
      <c r="B49" s="18" t="str">
        <f>IF(INDEX('2014'!$H$8:$H$98,MATCH('Bill Impacts'!A49,'2014'!$B$8:$B$98,0))&lt;&gt;0,INDEX('2014'!$H$8:$H$98,MATCH('Bill Impacts'!A49,'2014'!$B$8:$B$98,0)),"")</f>
        <v/>
      </c>
      <c r="C49" s="18" t="str">
        <f>IF(INDEX('2014'!$L$8:$L$98,MATCH('Bill Impacts'!A49,'2014'!$B$8:$B$98,0))&lt;&gt;0,INDEX('2014'!$L$8:$L$98,MATCH('Bill Impacts'!A49,'2014'!$B$8:$B$98,0)),"")</f>
        <v/>
      </c>
      <c r="D49" s="36">
        <f>IF(INDEX('2014'!$P$8:$P$98,MATCH('Bill Impacts'!A49,'2014'!$B$8:$B$98,0))&lt;&gt;0,INDEX('2014'!$P$8:$P$98,MATCH('Bill Impacts'!A49,'2014'!$B$8:$B$98,0)),"")</f>
        <v>84.234999999999999</v>
      </c>
      <c r="F49" s="18" t="str">
        <f>IF(INDEX('2015'!$G$8:$G$94,MATCH('Bill Impacts'!A49,'2015'!$B$8:$B$94,0))&lt;&gt;0,INDEX('2015'!$G$8:$G$94,MATCH('Bill Impacts'!A49,'2015'!$B$8:$B$94,0)),"")</f>
        <v/>
      </c>
      <c r="G49" s="18" t="str">
        <f>IF(INDEX('2015'!$K$8:$K$94,MATCH('Bill Impacts'!A49,'2015'!$B$8:$B$94,0))&lt;&gt;0,INDEX('2015'!$K$8:$K$94,MATCH('Bill Impacts'!A49,'2015'!$B$8:$B$94,0)),"")</f>
        <v/>
      </c>
      <c r="H49" s="4">
        <f>IF(INDEX('2015'!$O$8:$O$94,MATCH('Bill Impacts'!A49,'2015'!$B$8:$B$94,0))&lt;&gt;0,INDEX('2015'!$O$8:$O$94,MATCH('Bill Impacts'!A49,'2015'!$B$8:$B$94,0)),"")</f>
        <v>84.7</v>
      </c>
      <c r="J49" s="18"/>
      <c r="K49" s="18"/>
      <c r="L49" s="4" t="e">
        <f>'2016'!#REF!</f>
        <v>#REF!</v>
      </c>
      <c r="R49" s="18"/>
      <c r="S49" s="39"/>
      <c r="T49" s="18"/>
      <c r="U49" s="39"/>
      <c r="V49" s="4">
        <f t="shared" si="33"/>
        <v>0.46500000000000341</v>
      </c>
      <c r="W49" s="38">
        <f t="shared" si="34"/>
        <v>5.5202706713362026E-3</v>
      </c>
      <c r="Y49" s="43" t="str">
        <f>IF(INDEX('2015'!$C$8:$C$94,MATCH('Bill Impacts'!A49,'2015'!$B$8:$B$94,0))=0,"",INDEX('2015'!$C$8:$C$94,MATCH('Bill Impacts'!A49,'2015'!$B$8:$B$94,0)))</f>
        <v>IRM-DA</v>
      </c>
      <c r="Z49" s="43"/>
      <c r="AA49" s="18"/>
      <c r="AB49" s="39"/>
      <c r="AC49" s="18"/>
      <c r="AD49" s="39"/>
      <c r="AE49" s="91" t="e">
        <f>L49-H49</f>
        <v>#REF!</v>
      </c>
      <c r="AF49" s="92" t="e">
        <f>L49/H49-1</f>
        <v>#REF!</v>
      </c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7">
        <v>2595</v>
      </c>
      <c r="AS49" s="51"/>
      <c r="AV49" s="18"/>
      <c r="AW49" s="18"/>
      <c r="AX49" s="18"/>
      <c r="AZ49" s="18"/>
      <c r="BA49" s="18"/>
      <c r="BB49" s="18"/>
    </row>
    <row r="50" spans="1:54" x14ac:dyDescent="0.25">
      <c r="A50" t="s">
        <v>41</v>
      </c>
      <c r="B50" s="4">
        <f>IF(INDEX('2014'!$H$8:$H$98,MATCH('Bill Impacts'!A50,'2014'!$B$8:$B$98,0))&lt;&gt;0,INDEX('2014'!$H$8:$H$98,MATCH('Bill Impacts'!A50,'2014'!$B$8:$B$98,0)),"")</f>
        <v>26.36</v>
      </c>
      <c r="C50" s="4">
        <f>IF(INDEX('2014'!$L$8:$L$98,MATCH('Bill Impacts'!A50,'2014'!$B$8:$B$98,0))&lt;&gt;0,INDEX('2014'!$L$8:$L$98,MATCH('Bill Impacts'!A50,'2014'!$B$8:$B$98,0)),"")</f>
        <v>38.320121</v>
      </c>
      <c r="D50" s="36">
        <f>IF(INDEX('2014'!$P$8:$P$98,MATCH('Bill Impacts'!A50,'2014'!$B$8:$B$98,0))&lt;&gt;0,INDEX('2014'!$P$8:$P$98,MATCH('Bill Impacts'!A50,'2014'!$B$8:$B$98,0)),"")</f>
        <v>117.54816599999999</v>
      </c>
      <c r="F50" s="4">
        <f>IF(INDEX('2015'!$G$8:$G$94,MATCH('Bill Impacts'!A50,'2015'!$B$8:$B$94,0))&lt;&gt;0,INDEX('2015'!$G$8:$G$94,MATCH('Bill Impacts'!A50,'2015'!$B$8:$B$94,0)),"")</f>
        <v>28.055000000000003</v>
      </c>
      <c r="G50" s="4">
        <f>IF(INDEX('2015'!$K$8:$K$94,MATCH('Bill Impacts'!A50,'2015'!$B$8:$B$94,0))&lt;&gt;0,INDEX('2015'!$K$8:$K$94,MATCH('Bill Impacts'!A50,'2015'!$B$8:$B$94,0)),"")</f>
        <v>40.04197400000001</v>
      </c>
      <c r="H50" s="4">
        <f>IF(INDEX('2015'!$O$8:$O$94,MATCH('Bill Impacts'!A50,'2015'!$B$8:$B$94,0))&lt;&gt;0,INDEX('2015'!$O$8:$O$94,MATCH('Bill Impacts'!A50,'2015'!$B$8:$B$94,0)),"")</f>
        <v>126.53001900000001</v>
      </c>
      <c r="J50" s="4">
        <f>'2016'!H55</f>
        <v>26.511250000000004</v>
      </c>
      <c r="K50" s="4">
        <f>'2016'!L55</f>
        <v>38.843961250000014</v>
      </c>
      <c r="L50" s="4" t="e">
        <f>'2016'!#REF!</f>
        <v>#REF!</v>
      </c>
      <c r="R50" s="4">
        <f>F50-B50</f>
        <v>1.6950000000000038</v>
      </c>
      <c r="S50" s="38">
        <f>F50/B50-1</f>
        <v>6.4301972685887776E-2</v>
      </c>
      <c r="T50" s="4">
        <f>G50-C50</f>
        <v>1.7218530000000101</v>
      </c>
      <c r="U50" s="38">
        <f>G50/C50-1</f>
        <v>4.4933391520345367E-2</v>
      </c>
      <c r="V50" s="4">
        <f t="shared" si="33"/>
        <v>8.9818530000000152</v>
      </c>
      <c r="W50" s="38">
        <f t="shared" si="34"/>
        <v>7.6409979888584667E-2</v>
      </c>
      <c r="Y50" s="43" t="str">
        <f>IF(INDEX('2015'!$C$8:$C$94,MATCH('Bill Impacts'!A50,'2015'!$B$8:$B$94,0))=0,"",INDEX('2015'!$C$8:$C$94,MATCH('Bill Impacts'!A50,'2015'!$B$8:$B$94,0)))</f>
        <v>IRM-DA</v>
      </c>
      <c r="Z50" s="43"/>
      <c r="AA50" s="91">
        <f>J50-F50</f>
        <v>-1.5437499999999993</v>
      </c>
      <c r="AB50" s="92">
        <f>J50/F50-1</f>
        <v>-5.5025842095883015E-2</v>
      </c>
      <c r="AC50" s="91">
        <f>K50-G50</f>
        <v>-1.1980127499999966</v>
      </c>
      <c r="AD50" s="102">
        <f>K50/G50-1</f>
        <v>-2.991892332780588E-2</v>
      </c>
      <c r="AE50" s="43"/>
      <c r="AF50" s="93" t="e">
        <f t="shared" ref="AF50" si="43">AC50/L50</f>
        <v>#REF!</v>
      </c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37">
        <f>INDEX('2015'!$V$8:$V$94,MATCH('Bill Impacts'!A50,'2015'!$B$8:$B$94,0))</f>
        <v>291759</v>
      </c>
      <c r="AS50" s="49"/>
      <c r="AT50">
        <f>AR50/$AR$99</f>
        <v>7.7427198121529484E-2</v>
      </c>
      <c r="AV50" s="4">
        <f t="shared" ref="AV50:AX51" si="44">$AT50*B50</f>
        <v>2.0409809424835172</v>
      </c>
      <c r="AW50" s="4">
        <f t="shared" si="44"/>
        <v>2.9670196007079825</v>
      </c>
      <c r="AX50" s="4">
        <f t="shared" si="44"/>
        <v>9.1014251377044353</v>
      </c>
      <c r="AZ50" s="4">
        <f t="shared" ref="AZ50:BB51" si="45">$AT50*F50</f>
        <v>2.17222004329951</v>
      </c>
      <c r="BA50" s="4">
        <f t="shared" si="45"/>
        <v>3.1003378540751334</v>
      </c>
      <c r="BB50" s="4">
        <f t="shared" si="45"/>
        <v>9.7968648494338915</v>
      </c>
    </row>
    <row r="51" spans="1:54" x14ac:dyDescent="0.25">
      <c r="A51" t="s">
        <v>42</v>
      </c>
      <c r="B51" s="4">
        <f>IF(INDEX('2014'!$H$8:$H$98,MATCH('Bill Impacts'!A51,'2014'!$B$8:$B$98,0))&lt;&gt;0,INDEX('2014'!$H$8:$H$98,MATCH('Bill Impacts'!A51,'2014'!$B$8:$B$98,0)),"")</f>
        <v>37.229999999999997</v>
      </c>
      <c r="C51" s="4">
        <f>IF(INDEX('2014'!$L$8:$L$98,MATCH('Bill Impacts'!A51,'2014'!$B$8:$B$98,0))&lt;&gt;0,INDEX('2014'!$L$8:$L$98,MATCH('Bill Impacts'!A51,'2014'!$B$8:$B$98,0)),"")</f>
        <v>51.974765999999995</v>
      </c>
      <c r="D51" s="36">
        <f>IF(INDEX('2014'!$P$8:$P$98,MATCH('Bill Impacts'!A51,'2014'!$B$8:$B$98,0))&lt;&gt;0,INDEX('2014'!$P$8:$P$98,MATCH('Bill Impacts'!A51,'2014'!$B$8:$B$98,0)),"")</f>
        <v>131.40384849999998</v>
      </c>
      <c r="F51" s="4">
        <f>IF(INDEX('2015'!$G$8:$G$94,MATCH('Bill Impacts'!A51,'2015'!$B$8:$B$94,0))&lt;&gt;0,INDEX('2015'!$G$8:$G$94,MATCH('Bill Impacts'!A51,'2015'!$B$8:$B$94,0)),"")</f>
        <v>42.805</v>
      </c>
      <c r="G51" s="4">
        <f>IF(INDEX('2015'!$K$8:$K$94,MATCH('Bill Impacts'!A51,'2015'!$B$8:$B$94,0))&lt;&gt;0,INDEX('2015'!$K$8:$K$94,MATCH('Bill Impacts'!A51,'2015'!$B$8:$B$94,0)),"")</f>
        <v>57.109594000000001</v>
      </c>
      <c r="H51" s="4">
        <f>IF(INDEX('2015'!$O$8:$O$94,MATCH('Bill Impacts'!A51,'2015'!$B$8:$B$94,0))&lt;&gt;0,INDEX('2015'!$O$8:$O$94,MATCH('Bill Impacts'!A51,'2015'!$B$8:$B$94,0)),"")</f>
        <v>143.7986765</v>
      </c>
      <c r="J51" s="4">
        <f>'2016'!H56</f>
        <v>41.05</v>
      </c>
      <c r="K51" s="4">
        <f>'2016'!L56</f>
        <v>54.97152775</v>
      </c>
      <c r="L51" s="4" t="e">
        <f>'2016'!#REF!</f>
        <v>#REF!</v>
      </c>
      <c r="R51" s="4">
        <f>F51-B51</f>
        <v>5.5750000000000028</v>
      </c>
      <c r="S51" s="38">
        <f>F51/B51-1</f>
        <v>0.14974482943862477</v>
      </c>
      <c r="T51" s="4">
        <f>G51-C51</f>
        <v>5.1348280000000059</v>
      </c>
      <c r="U51" s="38">
        <f>G51/C51-1</f>
        <v>9.8794634303885243E-2</v>
      </c>
      <c r="V51" s="4">
        <f t="shared" si="33"/>
        <v>12.394828000000018</v>
      </c>
      <c r="W51" s="38">
        <f t="shared" si="34"/>
        <v>9.432621754605619E-2</v>
      </c>
      <c r="Y51" s="43" t="str">
        <f>IF(INDEX('2015'!$C$8:$C$94,MATCH('Bill Impacts'!A51,'2015'!$B$8:$B$94,0))=0,"",INDEX('2015'!$C$8:$C$94,MATCH('Bill Impacts'!A51,'2015'!$B$8:$B$94,0)))</f>
        <v>IRM</v>
      </c>
      <c r="Z51" s="43"/>
      <c r="AA51" s="91">
        <f>J51-F51</f>
        <v>-1.7550000000000026</v>
      </c>
      <c r="AB51" s="92">
        <f>J51/F51-1</f>
        <v>-4.0999883191216058E-2</v>
      </c>
      <c r="AC51" s="91">
        <f>K51-G51</f>
        <v>-2.1380662500000014</v>
      </c>
      <c r="AD51" s="102">
        <f>K51/G51-1</f>
        <v>-3.7437952194162016E-2</v>
      </c>
      <c r="AE51" s="43"/>
      <c r="AF51" s="93" t="e">
        <f>AC51/L51</f>
        <v>#REF!</v>
      </c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37">
        <f>INDEX('2015'!$V$8:$V$94,MATCH('Bill Impacts'!A51,'2015'!$B$8:$B$94,0))</f>
        <v>14728</v>
      </c>
      <c r="AS51" s="49"/>
      <c r="AT51">
        <f>AR51/$AR$99</f>
        <v>3.908526468536999E-3</v>
      </c>
      <c r="AV51" s="4">
        <f t="shared" si="44"/>
        <v>0.14551444042363246</v>
      </c>
      <c r="AW51" s="4">
        <f t="shared" si="44"/>
        <v>0.20314474860701687</v>
      </c>
      <c r="AX51" s="4">
        <f t="shared" si="44"/>
        <v>0.51359541992987578</v>
      </c>
      <c r="AZ51" s="4">
        <f t="shared" si="45"/>
        <v>0.16730447548572625</v>
      </c>
      <c r="BA51" s="4">
        <f t="shared" si="45"/>
        <v>0.2232143597564018</v>
      </c>
      <c r="BB51" s="4">
        <f t="shared" si="45"/>
        <v>0.56204093324083937</v>
      </c>
    </row>
    <row r="52" spans="1:54" x14ac:dyDescent="0.25">
      <c r="A52" s="11" t="s">
        <v>43</v>
      </c>
      <c r="B52" s="4" t="str">
        <f>IF(INDEX('2014'!$H$8:$H$98,MATCH('Bill Impacts'!A52,'2014'!$B$8:$B$98,0))&lt;&gt;0,INDEX('2014'!$H$8:$H$98,MATCH('Bill Impacts'!A52,'2014'!$B$8:$B$98,0)),"")</f>
        <v/>
      </c>
      <c r="C52" s="4" t="str">
        <f>IF(INDEX('2014'!$L$8:$L$98,MATCH('Bill Impacts'!A52,'2014'!$B$8:$B$98,0))&lt;&gt;0,INDEX('2014'!$L$8:$L$98,MATCH('Bill Impacts'!A52,'2014'!$B$8:$B$98,0)),"")</f>
        <v/>
      </c>
      <c r="D52" s="36" t="str">
        <f>IF(INDEX('2014'!$P$8:$P$98,MATCH('Bill Impacts'!A52,'2014'!$B$8:$B$98,0))&lt;&gt;0,INDEX('2014'!$P$8:$P$98,MATCH('Bill Impacts'!A52,'2014'!$B$8:$B$98,0)),"")</f>
        <v/>
      </c>
      <c r="F52" s="4" t="str">
        <f>IF(INDEX('2015'!$G$8:$G$94,MATCH('Bill Impacts'!A52,'2015'!$B$8:$B$94,0))&lt;&gt;0,INDEX('2015'!$G$8:$G$94,MATCH('Bill Impacts'!A52,'2015'!$B$8:$B$94,0)),"")</f>
        <v/>
      </c>
      <c r="G52" s="4" t="str">
        <f>IF(INDEX('2015'!$K$8:$K$94,MATCH('Bill Impacts'!A52,'2015'!$B$8:$B$94,0))&lt;&gt;0,INDEX('2015'!$K$8:$K$94,MATCH('Bill Impacts'!A52,'2015'!$B$8:$B$94,0)),"")</f>
        <v/>
      </c>
      <c r="H52" s="4" t="str">
        <f>IF(INDEX('2015'!$O$8:$O$94,MATCH('Bill Impacts'!A52,'2015'!$B$8:$B$94,0))&lt;&gt;0,INDEX('2015'!$O$8:$O$94,MATCH('Bill Impacts'!A52,'2015'!$B$8:$B$94,0)),"")</f>
        <v/>
      </c>
      <c r="J52" s="4"/>
      <c r="K52" s="4"/>
      <c r="L52" s="4"/>
      <c r="Y52" s="43" t="str">
        <f>IF(INDEX('2015'!$C$8:$C$94,MATCH('Bill Impacts'!A52,'2015'!$B$8:$B$94,0))=0,"",INDEX('2015'!$C$8:$C$94,MATCH('Bill Impacts'!A52,'2015'!$B$8:$B$94,0)))</f>
        <v/>
      </c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37"/>
      <c r="AS52" s="49"/>
      <c r="AV52" s="17"/>
      <c r="AW52" s="17"/>
      <c r="AX52" s="17"/>
      <c r="AZ52" s="17"/>
      <c r="BA52" s="17"/>
      <c r="BB52" s="17"/>
    </row>
    <row r="53" spans="1:54" x14ac:dyDescent="0.25">
      <c r="A53" t="s">
        <v>44</v>
      </c>
      <c r="B53" s="4">
        <f>IF(INDEX('2014'!$H$8:$H$98,MATCH('Bill Impacts'!A53,'2014'!$B$8:$B$98,0))&lt;&gt;0,INDEX('2014'!$H$8:$H$98,MATCH('Bill Impacts'!A53,'2014'!$B$8:$B$98,0)),"")</f>
        <v>30.604999999999997</v>
      </c>
      <c r="C53" s="4">
        <f>IF(INDEX('2014'!$L$8:$L$98,MATCH('Bill Impacts'!A53,'2014'!$B$8:$B$98,0))&lt;&gt;0,INDEX('2014'!$L$8:$L$98,MATCH('Bill Impacts'!A53,'2014'!$B$8:$B$98,0)),"")</f>
        <v>40.627084999999994</v>
      </c>
      <c r="D53" s="36">
        <f>IF(INDEX('2014'!$P$8:$P$98,MATCH('Bill Impacts'!A53,'2014'!$B$8:$B$98,0))&lt;&gt;0,INDEX('2014'!$P$8:$P$98,MATCH('Bill Impacts'!A53,'2014'!$B$8:$B$98,0)),"")</f>
        <v>119.93090999999998</v>
      </c>
      <c r="F53" s="4">
        <f>IF(INDEX('2015'!$G$8:$G$94,MATCH('Bill Impacts'!A53,'2015'!$B$8:$B$94,0))&lt;&gt;0,INDEX('2015'!$G$8:$G$94,MATCH('Bill Impacts'!A53,'2015'!$B$8:$B$94,0)),"")</f>
        <v>30.869999999999997</v>
      </c>
      <c r="G53" s="4">
        <f>IF(INDEX('2015'!$K$8:$K$94,MATCH('Bill Impacts'!A53,'2015'!$B$8:$B$94,0))&lt;&gt;0,INDEX('2015'!$K$8:$K$94,MATCH('Bill Impacts'!A53,'2015'!$B$8:$B$94,0)),"")</f>
        <v>41.282489999999996</v>
      </c>
      <c r="H53" s="4">
        <f>IF(INDEX('2015'!$O$8:$O$94,MATCH('Bill Impacts'!A53,'2015'!$B$8:$B$94,0))&lt;&gt;0,INDEX('2015'!$O$8:$O$94,MATCH('Bill Impacts'!A53,'2015'!$B$8:$B$94,0)),"")</f>
        <v>127.846315</v>
      </c>
      <c r="J53" s="4">
        <f>'2016'!H58</f>
        <v>31.204999999999998</v>
      </c>
      <c r="K53" s="4">
        <f>'2016'!L58</f>
        <v>41.602902499999999</v>
      </c>
      <c r="L53" s="4" t="e">
        <f>'2016'!#REF!</f>
        <v>#REF!</v>
      </c>
      <c r="R53" s="4">
        <f t="shared" ref="R53:R60" si="46">F53-B53</f>
        <v>0.26500000000000057</v>
      </c>
      <c r="S53" s="38">
        <f t="shared" ref="S53:S60" si="47">F53/B53-1</f>
        <v>8.6587158960953481E-3</v>
      </c>
      <c r="T53" s="4">
        <f t="shared" ref="T53:T60" si="48">G53-C53</f>
        <v>0.65540500000000179</v>
      </c>
      <c r="U53" s="38">
        <f t="shared" ref="U53:U60" si="49">G53/C53-1</f>
        <v>1.6132218198770643E-2</v>
      </c>
      <c r="V53" s="4">
        <f t="shared" ref="V53:V60" si="50">H53-D53</f>
        <v>7.9154050000000211</v>
      </c>
      <c r="W53" s="38">
        <f t="shared" ref="W53:W60" si="51">H53/D53-1</f>
        <v>6.5999707665021612E-2</v>
      </c>
      <c r="Y53" s="43" t="str">
        <f>IF(INDEX('2015'!$C$8:$C$94,MATCH('Bill Impacts'!A53,'2015'!$B$8:$B$94,0))=0,"",INDEX('2015'!$C$8:$C$94,MATCH('Bill Impacts'!A53,'2015'!$B$8:$B$94,0)))</f>
        <v>AIRI</v>
      </c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37">
        <f>INDEX('2015'!$V$8:$V$94,MATCH('Bill Impacts'!A53,'2015'!$B$8:$B$94,0))</f>
        <v>4751</v>
      </c>
      <c r="AS53" s="49"/>
      <c r="AT53">
        <f t="shared" ref="AT53:AT60" si="52">AR53/$AR$99</f>
        <v>1.260823550517333E-3</v>
      </c>
      <c r="AV53" s="4">
        <f t="shared" ref="AV53:AX60" si="53">$AT53*B53</f>
        <v>3.8587504763582969E-2</v>
      </c>
      <c r="AW53" s="4">
        <f t="shared" si="53"/>
        <v>5.1223585556869476E-2</v>
      </c>
      <c r="AX53" s="4">
        <f t="shared" si="53"/>
        <v>0.15121171576297471</v>
      </c>
      <c r="AZ53" s="4">
        <f t="shared" ref="AZ53:BB60" si="54">$AT53*F53</f>
        <v>3.8921623004470066E-2</v>
      </c>
      <c r="BA53" s="4">
        <f t="shared" si="54"/>
        <v>5.2049935615996287E-2</v>
      </c>
      <c r="BB53" s="4">
        <f t="shared" si="54"/>
        <v>0.16119164479885736</v>
      </c>
    </row>
    <row r="54" spans="1:54" x14ac:dyDescent="0.25">
      <c r="A54" t="s">
        <v>45</v>
      </c>
      <c r="B54" s="4">
        <f>IF(INDEX('2014'!$H$8:$H$98,MATCH('Bill Impacts'!A54,'2014'!$B$8:$B$98,0))&lt;&gt;0,INDEX('2014'!$H$8:$H$98,MATCH('Bill Impacts'!A54,'2014'!$B$8:$B$98,0)),"")</f>
        <v>27.82</v>
      </c>
      <c r="C54" s="4">
        <f>IF(INDEX('2014'!$L$8:$L$98,MATCH('Bill Impacts'!A54,'2014'!$B$8:$B$98,0))&lt;&gt;0,INDEX('2014'!$L$8:$L$98,MATCH('Bill Impacts'!A54,'2014'!$B$8:$B$98,0)),"")</f>
        <v>40.058127999999996</v>
      </c>
      <c r="D54" s="36">
        <f>IF(INDEX('2014'!$P$8:$P$98,MATCH('Bill Impacts'!A54,'2014'!$B$8:$B$98,0))&lt;&gt;0,INDEX('2014'!$P$8:$P$98,MATCH('Bill Impacts'!A54,'2014'!$B$8:$B$98,0)),"")</f>
        <v>119.325188</v>
      </c>
      <c r="F54" s="4">
        <f>IF(INDEX('2015'!$G$8:$G$94,MATCH('Bill Impacts'!A54,'2015'!$B$8:$B$94,0))&lt;&gt;0,INDEX('2015'!$G$8:$G$94,MATCH('Bill Impacts'!A54,'2015'!$B$8:$B$94,0)),"")</f>
        <v>27.98</v>
      </c>
      <c r="G54" s="4">
        <f>IF(INDEX('2015'!$K$8:$K$94,MATCH('Bill Impacts'!A54,'2015'!$B$8:$B$94,0))&lt;&gt;0,INDEX('2015'!$K$8:$K$94,MATCH('Bill Impacts'!A54,'2015'!$B$8:$B$94,0)),"")</f>
        <v>39.769651999999994</v>
      </c>
      <c r="H54" s="4">
        <f>IF(INDEX('2015'!$O$8:$O$94,MATCH('Bill Impacts'!A54,'2015'!$B$8:$B$94,0))&lt;&gt;0,INDEX('2015'!$O$8:$O$94,MATCH('Bill Impacts'!A54,'2015'!$B$8:$B$94,0)),"")</f>
        <v>126.296712</v>
      </c>
      <c r="J54" s="4">
        <f>'2016'!H59</f>
        <v>22.91</v>
      </c>
      <c r="K54" s="4">
        <f>'2016'!L59</f>
        <v>36.092552749999989</v>
      </c>
      <c r="L54" s="4" t="e">
        <f>'2016'!#REF!</f>
        <v>#REF!</v>
      </c>
      <c r="R54" s="4">
        <f t="shared" si="46"/>
        <v>0.16000000000000014</v>
      </c>
      <c r="S54" s="38">
        <f t="shared" si="47"/>
        <v>5.7512580877066011E-3</v>
      </c>
      <c r="T54" s="4">
        <f t="shared" si="48"/>
        <v>-0.28847600000000284</v>
      </c>
      <c r="U54" s="38">
        <f t="shared" si="49"/>
        <v>-7.2014348748399293E-3</v>
      </c>
      <c r="V54" s="4">
        <f t="shared" si="50"/>
        <v>6.9715240000000023</v>
      </c>
      <c r="W54" s="38">
        <f t="shared" si="51"/>
        <v>5.8424580064353249E-2</v>
      </c>
      <c r="Y54" s="43" t="str">
        <f>IF(INDEX('2015'!$C$8:$C$94,MATCH('Bill Impacts'!A54,'2015'!$B$8:$B$94,0))=0,"",INDEX('2015'!$C$8:$C$94,MATCH('Bill Impacts'!A54,'2015'!$B$8:$B$94,0)))</f>
        <v>IRM-DA</v>
      </c>
      <c r="Z54" s="43"/>
      <c r="AA54" s="91">
        <f>J54-F54</f>
        <v>-5.07</v>
      </c>
      <c r="AB54" s="92">
        <f>J54/F54-1</f>
        <v>-0.18120085775553962</v>
      </c>
      <c r="AC54" s="91">
        <f>K54-G54</f>
        <v>-3.6770992500000048</v>
      </c>
      <c r="AD54" s="102">
        <f>K54/G54-1</f>
        <v>-9.2459930250332723E-2</v>
      </c>
      <c r="AE54" s="43"/>
      <c r="AF54" s="93" t="e">
        <f t="shared" ref="AF54:AF55" si="55">AC54/L54</f>
        <v>#REF!</v>
      </c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37">
        <f>INDEX('2015'!$V$8:$V$94,MATCH('Bill Impacts'!A54,'2015'!$B$8:$B$94,0))</f>
        <v>24046</v>
      </c>
      <c r="AS54" s="49"/>
      <c r="AT54">
        <f t="shared" si="52"/>
        <v>6.3813435267816862E-3</v>
      </c>
      <c r="AV54" s="4">
        <f t="shared" si="53"/>
        <v>0.1775289769150665</v>
      </c>
      <c r="AW54" s="4">
        <f t="shared" si="53"/>
        <v>0.25562467580779219</v>
      </c>
      <c r="AX54" s="4">
        <f t="shared" si="53"/>
        <v>0.76145501602580767</v>
      </c>
      <c r="AZ54" s="4">
        <f t="shared" si="54"/>
        <v>0.17854999187935158</v>
      </c>
      <c r="BA54" s="4">
        <f t="shared" si="54"/>
        <v>0.25378381135256028</v>
      </c>
      <c r="BB54" s="4">
        <f t="shared" si="54"/>
        <v>0.80594270557501091</v>
      </c>
    </row>
    <row r="55" spans="1:54" x14ac:dyDescent="0.25">
      <c r="A55" t="s">
        <v>109</v>
      </c>
      <c r="B55" s="4">
        <f>IF(INDEX('2014'!$H$8:$H$98,MATCH('Bill Impacts'!A55,'2014'!$B$8:$B$98,0))&lt;&gt;0,INDEX('2014'!$H$8:$H$98,MATCH('Bill Impacts'!A55,'2014'!$B$8:$B$98,0)),"")</f>
        <v>21.22</v>
      </c>
      <c r="C55" s="4">
        <f>IF(INDEX('2014'!$L$8:$L$98,MATCH('Bill Impacts'!A55,'2014'!$B$8:$B$98,0))&lt;&gt;0,INDEX('2014'!$L$8:$L$98,MATCH('Bill Impacts'!A55,'2014'!$B$8:$B$98,0)),"")</f>
        <v>30.330404499999993</v>
      </c>
      <c r="D55" s="36">
        <f>IF(INDEX('2014'!$P$8:$P$98,MATCH('Bill Impacts'!A55,'2014'!$B$8:$B$98,0))&lt;&gt;0,INDEX('2014'!$P$8:$P$98,MATCH('Bill Impacts'!A55,'2014'!$B$8:$B$98,0)),"")</f>
        <v>109.60045699999999</v>
      </c>
      <c r="F55" s="4">
        <f>IF(INDEX('2015'!$G$8:$G$94,MATCH('Bill Impacts'!A55,'2015'!$B$8:$B$94,0))&lt;&gt;0,INDEX('2015'!$G$8:$G$94,MATCH('Bill Impacts'!A55,'2015'!$B$8:$B$94,0)),"")</f>
        <v>22.465000000000003</v>
      </c>
      <c r="G55" s="4">
        <f>IF(INDEX('2015'!$K$8:$K$94,MATCH('Bill Impacts'!A55,'2015'!$B$8:$B$94,0))&lt;&gt;0,INDEX('2015'!$K$8:$K$94,MATCH('Bill Impacts'!A55,'2015'!$B$8:$B$94,0)),"")</f>
        <v>31.907862999999995</v>
      </c>
      <c r="H55" s="4">
        <f>IF(INDEX('2015'!$O$8:$O$94,MATCH('Bill Impacts'!A55,'2015'!$B$8:$B$94,0))&lt;&gt;0,INDEX('2015'!$O$8:$O$94,MATCH('Bill Impacts'!A55,'2015'!$B$8:$B$94,0)),"")</f>
        <v>118.4379155</v>
      </c>
      <c r="J55" s="4">
        <f>'2016'!H60</f>
        <v>24</v>
      </c>
      <c r="K55" s="4">
        <f>'2016'!L60</f>
        <v>33.608736749999991</v>
      </c>
      <c r="L55" s="4" t="e">
        <f>'2016'!#REF!</f>
        <v>#REF!</v>
      </c>
      <c r="R55" s="4">
        <f t="shared" si="46"/>
        <v>1.2450000000000045</v>
      </c>
      <c r="S55" s="38">
        <f t="shared" si="47"/>
        <v>5.8671065032988023E-2</v>
      </c>
      <c r="T55" s="4">
        <f t="shared" si="48"/>
        <v>1.5774585000000023</v>
      </c>
      <c r="U55" s="38">
        <f t="shared" si="49"/>
        <v>5.2009148114064985E-2</v>
      </c>
      <c r="V55" s="4">
        <f t="shared" si="50"/>
        <v>8.837458500000011</v>
      </c>
      <c r="W55" s="38">
        <f t="shared" si="51"/>
        <v>8.0633409220182362E-2</v>
      </c>
      <c r="Y55" s="43" t="str">
        <f>IF(INDEX('2015'!$C$8:$C$94,MATCH('Bill Impacts'!A55,'2015'!$B$8:$B$94,0))=0,"",INDEX('2015'!$C$8:$C$94,MATCH('Bill Impacts'!A55,'2015'!$B$8:$B$94,0)))</f>
        <v>IRM-DA</v>
      </c>
      <c r="Z55" s="43"/>
      <c r="AA55" s="91">
        <f>J55-F55</f>
        <v>1.5349999999999966</v>
      </c>
      <c r="AB55" s="92">
        <f>J55/F55-1</f>
        <v>6.8328511017137661E-2</v>
      </c>
      <c r="AC55" s="91">
        <f>K55-G55</f>
        <v>1.700873749999996</v>
      </c>
      <c r="AD55" s="102">
        <f>K55/G55-1</f>
        <v>5.3305787040642594E-2</v>
      </c>
      <c r="AE55" s="43"/>
      <c r="AF55" s="93" t="e">
        <f t="shared" si="55"/>
        <v>#REF!</v>
      </c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37">
        <f>INDEX('2015'!$V$8:$V$94,MATCH('Bill Impacts'!A55,'2015'!$B$8:$B$94,0))</f>
        <v>82425</v>
      </c>
      <c r="AS55" s="49"/>
      <c r="AT55">
        <f t="shared" si="52"/>
        <v>2.1874001505239146E-2</v>
      </c>
      <c r="AV55" s="4">
        <f t="shared" si="53"/>
        <v>0.46416631194117464</v>
      </c>
      <c r="AW55" s="4">
        <f t="shared" si="53"/>
        <v>0.66344731368751197</v>
      </c>
      <c r="AX55" s="4">
        <f t="shared" si="53"/>
        <v>2.3974005613928981</v>
      </c>
      <c r="AZ55" s="4">
        <f t="shared" si="54"/>
        <v>0.49139944381519751</v>
      </c>
      <c r="BA55" s="4">
        <f t="shared" si="54"/>
        <v>0.6979526432909644</v>
      </c>
      <c r="BB55" s="4">
        <f t="shared" si="54"/>
        <v>2.5907111419243867</v>
      </c>
    </row>
    <row r="56" spans="1:54" x14ac:dyDescent="0.25">
      <c r="A56" t="s">
        <v>46</v>
      </c>
      <c r="B56" s="4">
        <f>IF(INDEX('2014'!$H$8:$H$98,MATCH('Bill Impacts'!A56,'2014'!$B$8:$B$98,0))&lt;&gt;0,INDEX('2014'!$H$8:$H$98,MATCH('Bill Impacts'!A56,'2014'!$B$8:$B$98,0)),"")</f>
        <v>20.734999999999999</v>
      </c>
      <c r="C56" s="4">
        <f>IF(INDEX('2014'!$L$8:$L$98,MATCH('Bill Impacts'!A56,'2014'!$B$8:$B$98,0))&lt;&gt;0,INDEX('2014'!$L$8:$L$98,MATCH('Bill Impacts'!A56,'2014'!$B$8:$B$98,0)),"")</f>
        <v>33.923779999999994</v>
      </c>
      <c r="D56" s="36">
        <f>IF(INDEX('2014'!$P$8:$P$98,MATCH('Bill Impacts'!A56,'2014'!$B$8:$B$98,0))&lt;&gt;0,INDEX('2014'!$P$8:$P$98,MATCH('Bill Impacts'!A56,'2014'!$B$8:$B$98,0)),"")</f>
        <v>113.28531749999999</v>
      </c>
      <c r="F56" s="4">
        <f>IF(INDEX('2015'!$G$8:$G$94,MATCH('Bill Impacts'!A56,'2015'!$B$8:$B$94,0))&lt;&gt;0,INDEX('2015'!$G$8:$G$94,MATCH('Bill Impacts'!A56,'2015'!$B$8:$B$94,0)),"")</f>
        <v>23.810000000000002</v>
      </c>
      <c r="G56" s="4">
        <f>IF(INDEX('2015'!$K$8:$K$94,MATCH('Bill Impacts'!A56,'2015'!$B$8:$B$94,0))&lt;&gt;0,INDEX('2015'!$K$8:$K$94,MATCH('Bill Impacts'!A56,'2015'!$B$8:$B$94,0)),"")</f>
        <v>37.171257499999996</v>
      </c>
      <c r="H56" s="4">
        <f>IF(INDEX('2015'!$O$8:$O$94,MATCH('Bill Impacts'!A56,'2015'!$B$8:$B$94,0))&lt;&gt;0,INDEX('2015'!$O$8:$O$94,MATCH('Bill Impacts'!A56,'2015'!$B$8:$B$94,0)),"")</f>
        <v>123.792795</v>
      </c>
      <c r="J56" s="4">
        <f>'2016'!H61</f>
        <v>25.72</v>
      </c>
      <c r="K56" s="4">
        <f>'2016'!L61</f>
        <v>38.680851250000003</v>
      </c>
      <c r="L56" s="4" t="e">
        <f>'2016'!#REF!</f>
        <v>#REF!</v>
      </c>
      <c r="R56" s="4">
        <f t="shared" si="46"/>
        <v>3.0750000000000028</v>
      </c>
      <c r="S56" s="38">
        <f t="shared" si="47"/>
        <v>0.14829997588618293</v>
      </c>
      <c r="T56" s="4">
        <f t="shared" si="48"/>
        <v>3.2474775000000022</v>
      </c>
      <c r="U56" s="38">
        <f t="shared" si="49"/>
        <v>9.5728645215833907E-2</v>
      </c>
      <c r="V56" s="4">
        <f t="shared" si="50"/>
        <v>10.507477500000007</v>
      </c>
      <c r="W56" s="38">
        <f t="shared" si="51"/>
        <v>9.2752333063814918E-2</v>
      </c>
      <c r="Y56" s="43" t="str">
        <f>IF(INDEX('2015'!$C$8:$C$94,MATCH('Bill Impacts'!A56,'2015'!$B$8:$B$94,0))=0,"",INDEX('2015'!$C$8:$C$94,MATCH('Bill Impacts'!A56,'2015'!$B$8:$B$94,0)))</f>
        <v>IRM</v>
      </c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37">
        <f>INDEX('2015'!$V$8:$V$94,MATCH('Bill Impacts'!A56,'2015'!$B$8:$B$94,0))</f>
        <v>8800</v>
      </c>
      <c r="AS56" s="49"/>
      <c r="AT56">
        <f t="shared" si="52"/>
        <v>2.3353498725642036E-3</v>
      </c>
      <c r="AV56" s="4">
        <f t="shared" si="53"/>
        <v>4.8423479607618759E-2</v>
      </c>
      <c r="AW56" s="4">
        <f t="shared" si="53"/>
        <v>7.9223895299896069E-2</v>
      </c>
      <c r="AX56" s="4">
        <f t="shared" si="53"/>
        <v>0.26456085178702032</v>
      </c>
      <c r="AZ56" s="4">
        <f t="shared" si="54"/>
        <v>5.5604680465753696E-2</v>
      </c>
      <c r="BA56" s="4">
        <f t="shared" si="54"/>
        <v>8.680789146567619E-2</v>
      </c>
      <c r="BB56" s="4">
        <f t="shared" si="54"/>
        <v>0.28909948802761659</v>
      </c>
    </row>
    <row r="57" spans="1:54" x14ac:dyDescent="0.25">
      <c r="A57" t="s">
        <v>47</v>
      </c>
      <c r="B57" s="4">
        <f>IF(INDEX('2014'!$H$8:$H$98,MATCH('Bill Impacts'!A57,'2014'!$B$8:$B$98,0))&lt;&gt;0,INDEX('2014'!$H$8:$H$98,MATCH('Bill Impacts'!A57,'2014'!$B$8:$B$98,0)),"")</f>
        <v>35.5</v>
      </c>
      <c r="C57" s="4">
        <f>IF(INDEX('2014'!$L$8:$L$98,MATCH('Bill Impacts'!A57,'2014'!$B$8:$B$98,0))&lt;&gt;0,INDEX('2014'!$L$8:$L$98,MATCH('Bill Impacts'!A57,'2014'!$B$8:$B$98,0)),"")</f>
        <v>48.790156000000003</v>
      </c>
      <c r="D57" s="36">
        <f>IF(INDEX('2014'!$P$8:$P$98,MATCH('Bill Impacts'!A57,'2014'!$B$8:$B$98,0))&lt;&gt;0,INDEX('2014'!$P$8:$P$98,MATCH('Bill Impacts'!A57,'2014'!$B$8:$B$98,0)),"")</f>
        <v>128.2277885</v>
      </c>
      <c r="F57" s="4">
        <f>IF(INDEX('2015'!$G$8:$G$94,MATCH('Bill Impacts'!A57,'2015'!$B$8:$B$94,0))&lt;&gt;0,INDEX('2015'!$G$8:$G$94,MATCH('Bill Impacts'!A57,'2015'!$B$8:$B$94,0)),"")</f>
        <v>34.67</v>
      </c>
      <c r="G57" s="4">
        <f>IF(INDEX('2015'!$K$8:$K$94,MATCH('Bill Impacts'!A57,'2015'!$B$8:$B$94,0))&lt;&gt;0,INDEX('2015'!$K$8:$K$94,MATCH('Bill Impacts'!A57,'2015'!$B$8:$B$94,0)),"")</f>
        <v>48.499574000000003</v>
      </c>
      <c r="H57" s="4">
        <f>IF(INDEX('2015'!$O$8:$O$94,MATCH('Bill Impacts'!A57,'2015'!$B$8:$B$94,0))&lt;&gt;0,INDEX('2015'!$O$8:$O$94,MATCH('Bill Impacts'!A57,'2015'!$B$8:$B$94,0)),"")</f>
        <v>135.19720649999999</v>
      </c>
      <c r="J57" s="4">
        <f>'2016'!H62</f>
        <v>32.975000000000001</v>
      </c>
      <c r="K57" s="4">
        <f>'2016'!L62</f>
        <v>47.400602750000004</v>
      </c>
      <c r="L57" s="4" t="e">
        <f>'2016'!#REF!</f>
        <v>#REF!</v>
      </c>
      <c r="R57" s="4">
        <f t="shared" si="46"/>
        <v>-0.82999999999999829</v>
      </c>
      <c r="S57" s="38">
        <f t="shared" si="47"/>
        <v>-2.3380281690140836E-2</v>
      </c>
      <c r="T57" s="4">
        <f t="shared" si="48"/>
        <v>-0.29058200000000056</v>
      </c>
      <c r="U57" s="38">
        <f t="shared" si="49"/>
        <v>-5.9557505821461465E-3</v>
      </c>
      <c r="V57" s="4">
        <f t="shared" si="50"/>
        <v>6.9694179999999903</v>
      </c>
      <c r="W57" s="38">
        <f t="shared" si="51"/>
        <v>5.4351853693554109E-2</v>
      </c>
      <c r="Y57" s="43" t="str">
        <f>IF(INDEX('2015'!$C$8:$C$94,MATCH('Bill Impacts'!A57,'2015'!$B$8:$B$94,0))=0,"",INDEX('2015'!$C$8:$C$94,MATCH('Bill Impacts'!A57,'2015'!$B$8:$B$94,0)))</f>
        <v>IRM-DA</v>
      </c>
      <c r="Z57" s="43"/>
      <c r="AA57" s="91">
        <f>J57-F57</f>
        <v>-1.6950000000000003</v>
      </c>
      <c r="AB57" s="92">
        <f>J57/F57-1</f>
        <v>-4.8889529852898739E-2</v>
      </c>
      <c r="AC57" s="91">
        <f>K57-G57</f>
        <v>-1.0989712499999982</v>
      </c>
      <c r="AD57" s="102">
        <f>K57/G57-1</f>
        <v>-2.2659400059884982E-2</v>
      </c>
      <c r="AE57" s="43"/>
      <c r="AF57" s="93" t="e">
        <f>AC57/L57</f>
        <v>#REF!</v>
      </c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37">
        <f>INDEX('2015'!$V$8:$V$94,MATCH('Bill Impacts'!A57,'2015'!$B$8:$B$94,0))</f>
        <v>8094.3668887469194</v>
      </c>
      <c r="AS57" s="49"/>
      <c r="AT57">
        <f t="shared" si="52"/>
        <v>2.1480884866048894E-3</v>
      </c>
      <c r="AV57" s="4">
        <f t="shared" si="53"/>
        <v>7.6257141274473569E-2</v>
      </c>
      <c r="AW57" s="4">
        <f t="shared" si="53"/>
        <v>0.10480557236325648</v>
      </c>
      <c r="AX57" s="4">
        <f t="shared" si="53"/>
        <v>0.27544463613965686</v>
      </c>
      <c r="AZ57" s="4">
        <f t="shared" si="54"/>
        <v>7.4474227830591516E-2</v>
      </c>
      <c r="BA57" s="4">
        <f t="shared" si="54"/>
        <v>0.10418137651464185</v>
      </c>
      <c r="BB57" s="4">
        <f t="shared" si="54"/>
        <v>0.29041556270379371</v>
      </c>
    </row>
    <row r="58" spans="1:54" x14ac:dyDescent="0.25">
      <c r="A58" t="s">
        <v>48</v>
      </c>
      <c r="B58" s="4">
        <f>IF(INDEX('2014'!$H$8:$H$98,MATCH('Bill Impacts'!A58,'2014'!$B$8:$B$98,0))&lt;&gt;0,INDEX('2014'!$H$8:$H$98,MATCH('Bill Impacts'!A58,'2014'!$B$8:$B$98,0)),"")</f>
        <v>25.914999999999999</v>
      </c>
      <c r="C58" s="4">
        <f>IF(INDEX('2014'!$L$8:$L$98,MATCH('Bill Impacts'!A58,'2014'!$B$8:$B$98,0))&lt;&gt;0,INDEX('2014'!$L$8:$L$98,MATCH('Bill Impacts'!A58,'2014'!$B$8:$B$98,0)),"")</f>
        <v>38.510949999999987</v>
      </c>
      <c r="D58" s="36">
        <f>IF(INDEX('2014'!$P$8:$P$98,MATCH('Bill Impacts'!A58,'2014'!$B$8:$B$98,0))&lt;&gt;0,INDEX('2014'!$P$8:$P$98,MATCH('Bill Impacts'!A58,'2014'!$B$8:$B$98,0)),"")</f>
        <v>117.78057499999998</v>
      </c>
      <c r="F58" s="4">
        <f>IF(INDEX('2015'!$G$8:$G$94,MATCH('Bill Impacts'!A58,'2015'!$B$8:$B$94,0))&lt;&gt;0,INDEX('2015'!$G$8:$G$94,MATCH('Bill Impacts'!A58,'2015'!$B$8:$B$94,0)),"")</f>
        <v>26.215</v>
      </c>
      <c r="G58" s="4">
        <f>IF(INDEX('2015'!$K$8:$K$94,MATCH('Bill Impacts'!A58,'2015'!$B$8:$B$94,0))&lt;&gt;0,INDEX('2015'!$K$8:$K$94,MATCH('Bill Impacts'!A58,'2015'!$B$8:$B$94,0)),"")</f>
        <v>39.14267499999999</v>
      </c>
      <c r="H58" s="4">
        <f>IF(INDEX('2015'!$O$8:$O$94,MATCH('Bill Impacts'!A58,'2015'!$B$8:$B$94,0))&lt;&gt;0,INDEX('2015'!$O$8:$O$94,MATCH('Bill Impacts'!A58,'2015'!$B$8:$B$94,0)),"")</f>
        <v>125.67229999999999</v>
      </c>
      <c r="J58" s="4">
        <f>'2016'!H63</f>
        <v>25.32</v>
      </c>
      <c r="K58" s="4">
        <f>'2016'!L63</f>
        <v>38.102362499999991</v>
      </c>
      <c r="L58" s="4" t="e">
        <f>'2016'!#REF!</f>
        <v>#REF!</v>
      </c>
      <c r="R58" s="4">
        <f t="shared" si="46"/>
        <v>0.30000000000000071</v>
      </c>
      <c r="S58" s="38">
        <f t="shared" si="47"/>
        <v>1.1576307158016608E-2</v>
      </c>
      <c r="T58" s="4">
        <f t="shared" si="48"/>
        <v>0.63172500000000298</v>
      </c>
      <c r="U58" s="38">
        <f t="shared" si="49"/>
        <v>1.6403776068884435E-2</v>
      </c>
      <c r="V58" s="4">
        <f t="shared" si="50"/>
        <v>7.8917250000000081</v>
      </c>
      <c r="W58" s="38">
        <f t="shared" si="51"/>
        <v>6.7003620928153929E-2</v>
      </c>
      <c r="Y58" s="43" t="str">
        <f>IF(INDEX('2015'!$C$8:$C$94,MATCH('Bill Impacts'!A58,'2015'!$B$8:$B$94,0))=0,"",INDEX('2015'!$C$8:$C$94,MATCH('Bill Impacts'!A58,'2015'!$B$8:$B$94,0)))</f>
        <v>IRM-DA</v>
      </c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37">
        <f>INDEX('2015'!$V$8:$V$94,MATCH('Bill Impacts'!A58,'2015'!$B$8:$B$94,0))</f>
        <v>138568</v>
      </c>
      <c r="AS58" s="49"/>
      <c r="AT58">
        <f t="shared" si="52"/>
        <v>3.6773268311531424E-2</v>
      </c>
      <c r="AV58" s="4">
        <f t="shared" si="53"/>
        <v>0.9529792482933368</v>
      </c>
      <c r="AW58" s="4">
        <f t="shared" si="53"/>
        <v>1.4161734972819706</v>
      </c>
      <c r="AX58" s="4">
        <f t="shared" si="53"/>
        <v>4.3311766863614496</v>
      </c>
      <c r="AZ58" s="4">
        <f t="shared" si="54"/>
        <v>0.96401122878679624</v>
      </c>
      <c r="BA58" s="4">
        <f t="shared" si="54"/>
        <v>1.439404090206073</v>
      </c>
      <c r="BB58" s="4">
        <f t="shared" si="54"/>
        <v>4.6213812072272704</v>
      </c>
    </row>
    <row r="59" spans="1:54" x14ac:dyDescent="0.25">
      <c r="A59" t="s">
        <v>49</v>
      </c>
      <c r="B59" s="4">
        <f>IF(INDEX('2014'!$H$8:$H$98,MATCH('Bill Impacts'!A59,'2014'!$B$8:$B$98,0))&lt;&gt;0,INDEX('2014'!$H$8:$H$98,MATCH('Bill Impacts'!A59,'2014'!$B$8:$B$98,0)),"")</f>
        <v>31.115000000000002</v>
      </c>
      <c r="C59" s="4">
        <f>IF(INDEX('2014'!$L$8:$L$98,MATCH('Bill Impacts'!A59,'2014'!$B$8:$B$98,0))&lt;&gt;0,INDEX('2014'!$L$8:$L$98,MATCH('Bill Impacts'!A59,'2014'!$B$8:$B$98,0)),"")</f>
        <v>45.378014</v>
      </c>
      <c r="D59" s="36">
        <f>IF(INDEX('2014'!$P$8:$P$98,MATCH('Bill Impacts'!A59,'2014'!$B$8:$B$98,0))&lt;&gt;0,INDEX('2014'!$P$8:$P$98,MATCH('Bill Impacts'!A59,'2014'!$B$8:$B$98,0)),"")</f>
        <v>124.789569</v>
      </c>
      <c r="F59" s="4">
        <f>IF(INDEX('2015'!$G$8:$G$94,MATCH('Bill Impacts'!A59,'2015'!$B$8:$B$94,0))&lt;&gt;0,INDEX('2015'!$G$8:$G$94,MATCH('Bill Impacts'!A59,'2015'!$B$8:$B$94,0)),"")</f>
        <v>34.594999999999999</v>
      </c>
      <c r="G59" s="4">
        <f>IF(INDEX('2015'!$K$8:$K$94,MATCH('Bill Impacts'!A59,'2015'!$B$8:$B$94,0))&lt;&gt;0,INDEX('2015'!$K$8:$K$94,MATCH('Bill Impacts'!A59,'2015'!$B$8:$B$94,0)),"")</f>
        <v>49.273030999999996</v>
      </c>
      <c r="H59" s="4">
        <f>IF(INDEX('2015'!$O$8:$O$94,MATCH('Bill Impacts'!A59,'2015'!$B$8:$B$94,0))&lt;&gt;0,INDEX('2015'!$O$8:$O$94,MATCH('Bill Impacts'!A59,'2015'!$B$8:$B$94,0)),"")</f>
        <v>135.94458600000002</v>
      </c>
      <c r="J59" s="4">
        <f>'2016'!H64</f>
        <v>33.782499999999999</v>
      </c>
      <c r="K59" s="4">
        <f>'2016'!L64</f>
        <v>49.254128499999993</v>
      </c>
      <c r="L59" s="4" t="e">
        <f>'2016'!#REF!</f>
        <v>#REF!</v>
      </c>
      <c r="R59" s="4">
        <f t="shared" si="46"/>
        <v>3.4799999999999969</v>
      </c>
      <c r="S59" s="38">
        <f t="shared" si="47"/>
        <v>0.11184316246183501</v>
      </c>
      <c r="T59" s="4">
        <f t="shared" si="48"/>
        <v>3.8950169999999957</v>
      </c>
      <c r="U59" s="38">
        <f t="shared" si="49"/>
        <v>8.5834893523546452E-2</v>
      </c>
      <c r="V59" s="4">
        <f t="shared" si="50"/>
        <v>11.155017000000015</v>
      </c>
      <c r="W59" s="38">
        <f t="shared" si="51"/>
        <v>8.9390620461234249E-2</v>
      </c>
      <c r="Y59" s="43" t="str">
        <f>IF(INDEX('2015'!$C$8:$C$94,MATCH('Bill Impacts'!A59,'2015'!$B$8:$B$94,0))=0,"",INDEX('2015'!$C$8:$C$94,MATCH('Bill Impacts'!A59,'2015'!$B$8:$B$94,0)))</f>
        <v>IRM-DA</v>
      </c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37">
        <f>INDEX('2015'!$V$8:$V$94,MATCH('Bill Impacts'!A59,'2015'!$B$8:$B$94,0))</f>
        <v>6163</v>
      </c>
      <c r="AS59" s="49"/>
      <c r="AT59">
        <f t="shared" si="52"/>
        <v>1.6355410527969529E-3</v>
      </c>
      <c r="AV59" s="4">
        <f t="shared" si="53"/>
        <v>5.0889859857777192E-2</v>
      </c>
      <c r="AW59" s="4">
        <f t="shared" si="53"/>
        <v>7.4217604791394873E-2</v>
      </c>
      <c r="AX59" s="4">
        <f t="shared" si="53"/>
        <v>0.20409846306033799</v>
      </c>
      <c r="AZ59" s="4">
        <f t="shared" si="54"/>
        <v>5.6581542721510586E-2</v>
      </c>
      <c r="BA59" s="4">
        <f t="shared" si="54"/>
        <v>8.0588064996236886E-2</v>
      </c>
      <c r="BB59" s="4">
        <f t="shared" si="54"/>
        <v>0.22234295130848594</v>
      </c>
    </row>
    <row r="60" spans="1:54" x14ac:dyDescent="0.25">
      <c r="A60" t="s">
        <v>50</v>
      </c>
      <c r="B60" s="4">
        <f>IF(INDEX('2014'!$H$8:$H$98,MATCH('Bill Impacts'!A60,'2014'!$B$8:$B$98,0))&lt;&gt;0,INDEX('2014'!$H$8:$H$98,MATCH('Bill Impacts'!A60,'2014'!$B$8:$B$98,0)),"")</f>
        <v>26.835000000000001</v>
      </c>
      <c r="C60" s="4">
        <f>IF(INDEX('2014'!$L$8:$L$98,MATCH('Bill Impacts'!A60,'2014'!$B$8:$B$98,0))&lt;&gt;0,INDEX('2014'!$L$8:$L$98,MATCH('Bill Impacts'!A60,'2014'!$B$8:$B$98,0)),"")</f>
        <v>40.069958999999997</v>
      </c>
      <c r="D60" s="36">
        <f>IF(INDEX('2014'!$P$8:$P$98,MATCH('Bill Impacts'!A60,'2014'!$B$8:$B$98,0))&lt;&gt;0,INDEX('2014'!$P$8:$P$98,MATCH('Bill Impacts'!A60,'2014'!$B$8:$B$98,0)),"")</f>
        <v>119.344714</v>
      </c>
      <c r="F60" s="4">
        <f>IF(INDEX('2015'!$G$8:$G$94,MATCH('Bill Impacts'!A60,'2015'!$B$8:$B$94,0))&lt;&gt;0,INDEX('2015'!$G$8:$G$94,MATCH('Bill Impacts'!A60,'2015'!$B$8:$B$94,0)),"")</f>
        <v>28.339999999999996</v>
      </c>
      <c r="G60" s="4">
        <f>IF(INDEX('2015'!$K$8:$K$94,MATCH('Bill Impacts'!A60,'2015'!$B$8:$B$94,0))&lt;&gt;0,INDEX('2015'!$K$8:$K$94,MATCH('Bill Impacts'!A60,'2015'!$B$8:$B$94,0)),"")</f>
        <v>41.915485999999994</v>
      </c>
      <c r="H60" s="4">
        <f>IF(INDEX('2015'!$O$8:$O$94,MATCH('Bill Impacts'!A60,'2015'!$B$8:$B$94,0))&lt;&gt;0,INDEX('2015'!$O$8:$O$94,MATCH('Bill Impacts'!A60,'2015'!$B$8:$B$94,0)),"")</f>
        <v>128.45024100000001</v>
      </c>
      <c r="J60" s="4">
        <f>'2016'!H65</f>
        <v>28.117000000000001</v>
      </c>
      <c r="K60" s="4">
        <f>'2016'!L65</f>
        <v>41.598906250000013</v>
      </c>
      <c r="L60" s="4" t="e">
        <f>'2016'!#REF!</f>
        <v>#REF!</v>
      </c>
      <c r="R60" s="4">
        <f t="shared" si="46"/>
        <v>1.5049999999999955</v>
      </c>
      <c r="S60" s="38">
        <f t="shared" si="47"/>
        <v>5.6083473076206314E-2</v>
      </c>
      <c r="T60" s="4">
        <f t="shared" si="48"/>
        <v>1.845526999999997</v>
      </c>
      <c r="U60" s="38">
        <f t="shared" si="49"/>
        <v>4.6057621371661472E-2</v>
      </c>
      <c r="V60" s="4">
        <f t="shared" si="50"/>
        <v>9.1055270000000093</v>
      </c>
      <c r="W60" s="38">
        <f t="shared" si="51"/>
        <v>7.6296022629037452E-2</v>
      </c>
      <c r="Y60" s="43" t="str">
        <f>IF(INDEX('2015'!$C$8:$C$94,MATCH('Bill Impacts'!A60,'2015'!$B$8:$B$94,0))=0,"",INDEX('2015'!$C$8:$C$94,MATCH('Bill Impacts'!A60,'2015'!$B$8:$B$94,0)))</f>
        <v>IRM</v>
      </c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37">
        <f>INDEX('2015'!$V$8:$V$94,MATCH('Bill Impacts'!A60,'2015'!$B$8:$B$94,0))</f>
        <v>32268</v>
      </c>
      <c r="AS60" s="49"/>
      <c r="AT60">
        <f t="shared" si="52"/>
        <v>8.5633033736251963E-3</v>
      </c>
      <c r="AV60" s="4">
        <f t="shared" si="53"/>
        <v>0.22979624603123214</v>
      </c>
      <c r="AW60" s="4">
        <f t="shared" si="53"/>
        <v>0.34313121508572325</v>
      </c>
      <c r="AX60" s="4">
        <f t="shared" si="53"/>
        <v>1.0219849920205342</v>
      </c>
      <c r="AZ60" s="4">
        <f t="shared" si="54"/>
        <v>0.24268401760853803</v>
      </c>
      <c r="BA60" s="4">
        <f t="shared" si="54"/>
        <v>0.35893502267093963</v>
      </c>
      <c r="BB60" s="4">
        <f t="shared" si="54"/>
        <v>1.0999583820982695</v>
      </c>
    </row>
    <row r="61" spans="1:54" x14ac:dyDescent="0.25">
      <c r="A61" s="11" t="s">
        <v>51</v>
      </c>
      <c r="B61" s="4"/>
      <c r="C61" s="4"/>
      <c r="D61" s="36"/>
      <c r="F61" s="4">
        <f>IF(INDEX('2015'!$G$8:$G$94,MATCH('Bill Impacts'!A61,'2015'!$B$8:$B$94,0))&lt;&gt;0,INDEX('2015'!$G$8:$G$94,MATCH('Bill Impacts'!A61,'2015'!$B$8:$B$94,0)),"")</f>
        <v>26.74</v>
      </c>
      <c r="G61" s="4">
        <f>IF(INDEX('2015'!$K$8:$K$94,MATCH('Bill Impacts'!A61,'2015'!$B$8:$B$94,0))&lt;&gt;0,INDEX('2015'!$K$8:$K$94,MATCH('Bill Impacts'!A61,'2015'!$B$8:$B$94,0)),"")</f>
        <v>40.731866500000002</v>
      </c>
      <c r="H61" s="4">
        <f>IF(INDEX('2015'!$O$8:$O$94,MATCH('Bill Impacts'!A61,'2015'!$B$8:$B$94,0))&lt;&gt;0,INDEX('2015'!$O$8:$O$94,MATCH('Bill Impacts'!A61,'2015'!$B$8:$B$94,0)),"")</f>
        <v>127.275599</v>
      </c>
      <c r="J61" s="4">
        <f>'2016'!H66</f>
        <v>27.064999999999998</v>
      </c>
      <c r="K61" s="4">
        <f>'2016'!L66</f>
        <v>42.101297749999993</v>
      </c>
      <c r="L61" s="4" t="e">
        <f>'2016'!#REF!</f>
        <v>#REF!</v>
      </c>
      <c r="Y61" s="43"/>
      <c r="Z61" s="43"/>
      <c r="AA61" s="91">
        <f>J61-F61</f>
        <v>0.32499999999999929</v>
      </c>
      <c r="AB61" s="92">
        <f>J61/F61-1</f>
        <v>1.2154076290201932E-2</v>
      </c>
      <c r="AC61" s="91">
        <f>K61-G61</f>
        <v>1.369431249999991</v>
      </c>
      <c r="AD61" s="102">
        <f>K61/G61-1</f>
        <v>3.3620635823305323E-2</v>
      </c>
      <c r="AE61" s="43"/>
      <c r="AF61" s="93" t="e">
        <f>AC61/L61</f>
        <v>#REF!</v>
      </c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37">
        <f>INDEX('2015'!$V$8:$V$94,MATCH('Bill Impacts'!A61,'2015'!$B$8:$B$94,0))</f>
        <v>31349</v>
      </c>
      <c r="AS61" s="49"/>
      <c r="AV61" s="17"/>
      <c r="AW61" s="17"/>
      <c r="AX61" s="17"/>
      <c r="AZ61" s="17"/>
      <c r="BA61" s="17"/>
      <c r="BB61" s="17"/>
    </row>
    <row r="62" spans="1:54" x14ac:dyDescent="0.25">
      <c r="A62" t="s">
        <v>212</v>
      </c>
      <c r="B62" s="4">
        <f>IF(INDEX('2014'!$H$8:$H$98,MATCH('Bill Impacts'!A62,'2014'!$B$8:$B$98,0))&lt;&gt;0,INDEX('2014'!$H$8:$H$98,MATCH('Bill Impacts'!A62,'2014'!$B$8:$B$98,0)),"")</f>
        <v>23.515000000000001</v>
      </c>
      <c r="C62" s="4">
        <f>IF(INDEX('2014'!$L$8:$L$98,MATCH('Bill Impacts'!A62,'2014'!$B$8:$B$98,0))&lt;&gt;0,INDEX('2014'!$L$8:$L$98,MATCH('Bill Impacts'!A62,'2014'!$B$8:$B$98,0)),"")</f>
        <v>37.228808500000007</v>
      </c>
      <c r="D62" s="36">
        <f>IF(INDEX('2014'!$P$8:$P$98,MATCH('Bill Impacts'!A62,'2014'!$B$8:$B$98,0))&lt;&gt;0,INDEX('2014'!$P$8:$P$98,MATCH('Bill Impacts'!A62,'2014'!$B$8:$B$98,0)),"")</f>
        <v>116.512541</v>
      </c>
      <c r="F62" s="4"/>
      <c r="G62" s="4"/>
      <c r="H62" s="4"/>
      <c r="J62" s="4"/>
      <c r="K62" s="4"/>
      <c r="L62" s="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37"/>
      <c r="AS62" s="49"/>
      <c r="AV62" s="18"/>
      <c r="AW62" s="18"/>
      <c r="AX62" s="18"/>
      <c r="AZ62" s="18"/>
      <c r="BA62" s="18"/>
      <c r="BB62" s="18"/>
    </row>
    <row r="63" spans="1:54" x14ac:dyDescent="0.25">
      <c r="A63" t="s">
        <v>213</v>
      </c>
      <c r="B63" s="4">
        <f>IF(INDEX('2014'!$H$8:$H$98,MATCH('Bill Impacts'!A63,'2014'!$B$8:$B$98,0))&lt;&gt;0,INDEX('2014'!$H$8:$H$98,MATCH('Bill Impacts'!A63,'2014'!$B$8:$B$98,0)),"")</f>
        <v>22.99</v>
      </c>
      <c r="C63" s="4">
        <f>IF(INDEX('2014'!$L$8:$L$98,MATCH('Bill Impacts'!A63,'2014'!$B$8:$B$98,0))&lt;&gt;0,INDEX('2014'!$L$8:$L$98,MATCH('Bill Impacts'!A63,'2014'!$B$8:$B$98,0)),"")</f>
        <v>36.703808500000001</v>
      </c>
      <c r="D63" s="36">
        <f>IF(INDEX('2014'!$P$8:$P$98,MATCH('Bill Impacts'!A63,'2014'!$B$8:$B$98,0))&lt;&gt;0,INDEX('2014'!$P$8:$P$98,MATCH('Bill Impacts'!A63,'2014'!$B$8:$B$98,0)),"")</f>
        <v>115.98754099999999</v>
      </c>
      <c r="F63" s="4"/>
      <c r="G63" s="4"/>
      <c r="H63" s="4"/>
      <c r="J63" s="4"/>
      <c r="K63" s="4"/>
      <c r="L63" s="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37"/>
      <c r="AS63" s="49"/>
      <c r="AV63" s="18"/>
      <c r="AW63" s="18"/>
      <c r="AX63" s="18"/>
      <c r="AZ63" s="18"/>
      <c r="BA63" s="18"/>
      <c r="BB63" s="18"/>
    </row>
    <row r="64" spans="1:54" x14ac:dyDescent="0.25">
      <c r="A64" t="s">
        <v>110</v>
      </c>
      <c r="B64" s="4">
        <f>IF(INDEX('2014'!$H$8:$H$98,MATCH('Bill Impacts'!A64,'2014'!$B$8:$B$98,0))&lt;&gt;0,INDEX('2014'!$H$8:$H$98,MATCH('Bill Impacts'!A64,'2014'!$B$8:$B$98,0)),"")</f>
        <v>27.01</v>
      </c>
      <c r="C64" s="4">
        <f>IF(INDEX('2014'!$L$8:$L$98,MATCH('Bill Impacts'!A64,'2014'!$B$8:$B$98,0))&lt;&gt;0,INDEX('2014'!$L$8:$L$98,MATCH('Bill Impacts'!A64,'2014'!$B$8:$B$98,0)),"")</f>
        <v>36.254788000000005</v>
      </c>
      <c r="D64" s="36">
        <f>IF(INDEX('2014'!$P$8:$P$98,MATCH('Bill Impacts'!A64,'2014'!$B$8:$B$98,0))&lt;&gt;0,INDEX('2014'!$P$8:$P$98,MATCH('Bill Impacts'!A64,'2014'!$B$8:$B$98,0)),"")</f>
        <v>115.5368105</v>
      </c>
      <c r="F64" s="4">
        <f>IF(INDEX('2015'!$G$8:$G$94,MATCH('Bill Impacts'!A64,'2015'!$B$8:$B$94,0))&lt;&gt;0,INDEX('2015'!$G$8:$G$94,MATCH('Bill Impacts'!A64,'2015'!$B$8:$B$94,0)),"")</f>
        <v>28.484999999999999</v>
      </c>
      <c r="G64" s="4">
        <f>IF(INDEX('2015'!$K$8:$K$94,MATCH('Bill Impacts'!A64,'2015'!$B$8:$B$94,0))&lt;&gt;0,INDEX('2015'!$K$8:$K$94,MATCH('Bill Impacts'!A64,'2015'!$B$8:$B$94,0)),"")</f>
        <v>38.394154500000006</v>
      </c>
      <c r="H64" s="4">
        <f>IF(INDEX('2015'!$O$8:$O$94,MATCH('Bill Impacts'!A64,'2015'!$B$8:$B$94,0))&lt;&gt;0,INDEX('2015'!$O$8:$O$94,MATCH('Bill Impacts'!A64,'2015'!$B$8:$B$94,0)),"")</f>
        <v>124.93617700000001</v>
      </c>
      <c r="J64" s="4">
        <f>'2016'!H67</f>
        <v>26.124999999999996</v>
      </c>
      <c r="K64" s="4">
        <f>'2016'!L67</f>
        <v>36.06355825</v>
      </c>
      <c r="L64" s="4" t="e">
        <f>'2016'!#REF!</f>
        <v>#REF!</v>
      </c>
      <c r="R64" s="4">
        <f t="shared" ref="R64:R71" si="56">F64-B64</f>
        <v>1.4749999999999979</v>
      </c>
      <c r="S64" s="38">
        <f t="shared" ref="S64:S71" si="57">F64/B64-1</f>
        <v>5.4609403924472444E-2</v>
      </c>
      <c r="T64" s="4">
        <f t="shared" ref="T64:T71" si="58">G64-C64</f>
        <v>2.1393665000000013</v>
      </c>
      <c r="U64" s="38">
        <f t="shared" ref="U64:U71" si="59">G64/C64-1</f>
        <v>5.900921279694149E-2</v>
      </c>
      <c r="V64" s="4">
        <f t="shared" ref="V64:V71" si="60">H64-D64</f>
        <v>9.3993665000000135</v>
      </c>
      <c r="W64" s="38">
        <f t="shared" ref="W64:W71" si="61">H64/D64-1</f>
        <v>8.1353868601037771E-2</v>
      </c>
      <c r="Y64" s="43" t="str">
        <f>IF(INDEX('2015'!$C$8:$C$94,MATCH('Bill Impacts'!A64,'2015'!$B$8:$B$94,0))=0,"",INDEX('2015'!$C$8:$C$94,MATCH('Bill Impacts'!A64,'2015'!$B$8:$B$94,0)))</f>
        <v>IRM</v>
      </c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37">
        <f>INDEX('2015'!$V$8:$V$94,MATCH('Bill Impacts'!A64,'2015'!$B$8:$B$94,0))</f>
        <v>7230</v>
      </c>
      <c r="AS64" s="49"/>
      <c r="AT64">
        <f t="shared" ref="AT64:AT71" si="62">AR64/$AR$99</f>
        <v>1.9187022248453626E-3</v>
      </c>
      <c r="AV64" s="4">
        <f t="shared" ref="AV64:AX71" si="63">$AT64*B64</f>
        <v>5.1824147093073245E-2</v>
      </c>
      <c r="AW64" s="4">
        <f t="shared" si="63"/>
        <v>6.9562142396896967E-2</v>
      </c>
      <c r="AX64" s="4">
        <f t="shared" si="63"/>
        <v>0.22168073535788704</v>
      </c>
      <c r="AZ64" s="4">
        <f t="shared" ref="AZ64:BB71" si="64">$AT64*F64</f>
        <v>5.4654232874720154E-2</v>
      </c>
      <c r="BA64" s="4">
        <f t="shared" si="64"/>
        <v>7.3666949660206607E-2</v>
      </c>
      <c r="BB64" s="4">
        <f t="shared" si="64"/>
        <v>0.23971532077357405</v>
      </c>
    </row>
    <row r="65" spans="1:54" x14ac:dyDescent="0.25">
      <c r="A65" t="s">
        <v>124</v>
      </c>
      <c r="B65" s="4">
        <f>IF(INDEX('2014'!$H$8:$H$98,MATCH('Bill Impacts'!A65,'2014'!$B$8:$B$98,0))&lt;&gt;0,INDEX('2014'!$H$8:$H$98,MATCH('Bill Impacts'!A65,'2014'!$B$8:$B$98,0)),"")</f>
        <v>24.949999999999996</v>
      </c>
      <c r="C65" s="4">
        <f>IF(INDEX('2014'!$L$8:$L$98,MATCH('Bill Impacts'!A65,'2014'!$B$8:$B$98,0))&lt;&gt;0,INDEX('2014'!$L$8:$L$98,MATCH('Bill Impacts'!A65,'2014'!$B$8:$B$98,0)),"")</f>
        <v>38.574919999999992</v>
      </c>
      <c r="D65" s="36">
        <f>IF(INDEX('2014'!$P$8:$P$98,MATCH('Bill Impacts'!A65,'2014'!$B$8:$B$98,0))&lt;&gt;0,INDEX('2014'!$P$8:$P$98,MATCH('Bill Impacts'!A65,'2014'!$B$8:$B$98,0)),"")</f>
        <v>117.93431999999999</v>
      </c>
      <c r="F65" s="4">
        <f>IF(INDEX('2015'!$G$8:$G$94,MATCH('Bill Impacts'!A65,'2015'!$B$8:$B$94,0))&lt;&gt;0,INDEX('2015'!$G$8:$G$94,MATCH('Bill Impacts'!A65,'2015'!$B$8:$B$94,0)),"")</f>
        <v>31.774999999999999</v>
      </c>
      <c r="G65" s="4">
        <f>IF(INDEX('2015'!$K$8:$K$94,MATCH('Bill Impacts'!A65,'2015'!$B$8:$B$94,0))&lt;&gt;0,INDEX('2015'!$K$8:$K$94,MATCH('Bill Impacts'!A65,'2015'!$B$8:$B$94,0)),"")</f>
        <v>45.582812000000004</v>
      </c>
      <c r="H65" s="4">
        <f>IF(INDEX('2015'!$O$8:$O$94,MATCH('Bill Impacts'!A65,'2015'!$B$8:$B$94,0))&lt;&gt;0,INDEX('2015'!$O$8:$O$94,MATCH('Bill Impacts'!A65,'2015'!$B$8:$B$94,0)),"")</f>
        <v>132.1675845</v>
      </c>
      <c r="J65" s="4">
        <f>'2016'!H68</f>
        <v>31.995000000000001</v>
      </c>
      <c r="K65" s="4">
        <f>'2016'!L68</f>
        <v>45.742155750000009</v>
      </c>
      <c r="L65" s="4" t="e">
        <f>'2016'!#REF!</f>
        <v>#REF!</v>
      </c>
      <c r="R65" s="4">
        <f t="shared" si="56"/>
        <v>6.8250000000000028</v>
      </c>
      <c r="S65" s="38">
        <f t="shared" si="57"/>
        <v>0.27354709418837686</v>
      </c>
      <c r="T65" s="4">
        <f t="shared" si="58"/>
        <v>7.0078920000000124</v>
      </c>
      <c r="U65" s="38">
        <f t="shared" si="59"/>
        <v>0.18166964442181643</v>
      </c>
      <c r="V65" s="4">
        <f t="shared" si="60"/>
        <v>14.233264500000018</v>
      </c>
      <c r="W65" s="38">
        <f t="shared" si="61"/>
        <v>0.1206880617957522</v>
      </c>
      <c r="Y65" s="43" t="str">
        <f>IF(INDEX('2015'!$C$8:$C$94,MATCH('Bill Impacts'!A65,'2015'!$B$8:$B$94,0))=0,"",INDEX('2015'!$C$8:$C$94,MATCH('Bill Impacts'!A65,'2015'!$B$8:$B$94,0)))</f>
        <v>COS</v>
      </c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37">
        <f>INDEX('2015'!$V$8:$V$94,MATCH('Bill Impacts'!A65,'2015'!$B$8:$B$94,0))</f>
        <v>46600</v>
      </c>
      <c r="AS65" s="49"/>
      <c r="AT65">
        <f t="shared" si="62"/>
        <v>1.2366739097896805E-2</v>
      </c>
      <c r="AV65" s="4">
        <f t="shared" si="63"/>
        <v>0.30855014049252522</v>
      </c>
      <c r="AW65" s="4">
        <f t="shared" si="63"/>
        <v>0.47704597136224131</v>
      </c>
      <c r="AX65" s="4">
        <f t="shared" si="63"/>
        <v>1.458462966127873</v>
      </c>
      <c r="AZ65" s="4">
        <f t="shared" si="64"/>
        <v>0.39295313483567096</v>
      </c>
      <c r="BA65" s="4">
        <f t="shared" si="64"/>
        <v>0.56371074335247973</v>
      </c>
      <c r="BB65" s="4">
        <f t="shared" si="64"/>
        <v>1.6344820347107298</v>
      </c>
    </row>
    <row r="66" spans="1:54" x14ac:dyDescent="0.25">
      <c r="A66" t="s">
        <v>52</v>
      </c>
      <c r="B66" s="4">
        <f>IF(INDEX('2014'!$H$8:$H$98,MATCH('Bill Impacts'!A66,'2014'!$B$8:$B$98,0))&lt;&gt;0,INDEX('2014'!$H$8:$H$98,MATCH('Bill Impacts'!A66,'2014'!$B$8:$B$98,0)),"")</f>
        <v>40.015000000000001</v>
      </c>
      <c r="C66" s="4">
        <f>IF(INDEX('2014'!$L$8:$L$98,MATCH('Bill Impacts'!A66,'2014'!$B$8:$B$98,0))&lt;&gt;0,INDEX('2014'!$L$8:$L$98,MATCH('Bill Impacts'!A66,'2014'!$B$8:$B$98,0)),"")</f>
        <v>51.769827999999997</v>
      </c>
      <c r="D66" s="36">
        <f>IF(INDEX('2014'!$P$8:$P$98,MATCH('Bill Impacts'!A66,'2014'!$B$8:$B$98,0))&lt;&gt;0,INDEX('2014'!$P$8:$P$98,MATCH('Bill Impacts'!A66,'2014'!$B$8:$B$98,0)),"")</f>
        <v>131.13093799999999</v>
      </c>
      <c r="F66" s="4">
        <f>IF(INDEX('2015'!$G$8:$G$94,MATCH('Bill Impacts'!A66,'2015'!$B$8:$B$94,0))&lt;&gt;0,INDEX('2015'!$G$8:$G$94,MATCH('Bill Impacts'!A66,'2015'!$B$8:$B$94,0)),"")</f>
        <v>39.33</v>
      </c>
      <c r="G66" s="4">
        <f>IF(INDEX('2015'!$K$8:$K$94,MATCH('Bill Impacts'!A66,'2015'!$B$8:$B$94,0))&lt;&gt;0,INDEX('2015'!$K$8:$K$94,MATCH('Bill Impacts'!A66,'2015'!$B$8:$B$94,0)),"")</f>
        <v>51.494291999999994</v>
      </c>
      <c r="H66" s="4">
        <f>IF(INDEX('2015'!$O$8:$O$94,MATCH('Bill Impacts'!A66,'2015'!$B$8:$B$94,0))&lt;&gt;0,INDEX('2015'!$O$8:$O$94,MATCH('Bill Impacts'!A66,'2015'!$B$8:$B$94,0)),"")</f>
        <v>138.11540199999999</v>
      </c>
      <c r="J66" s="4">
        <f>'2016'!H69</f>
        <v>39.275000000000006</v>
      </c>
      <c r="K66" s="4">
        <f>'2016'!L69</f>
        <v>51.830567000000002</v>
      </c>
      <c r="L66" s="4" t="e">
        <f>'2016'!#REF!</f>
        <v>#REF!</v>
      </c>
      <c r="R66" s="4">
        <f t="shared" si="56"/>
        <v>-0.68500000000000227</v>
      </c>
      <c r="S66" s="38">
        <f t="shared" si="57"/>
        <v>-1.711858053230042E-2</v>
      </c>
      <c r="T66" s="4">
        <f t="shared" si="58"/>
        <v>-0.27553600000000245</v>
      </c>
      <c r="U66" s="38">
        <f t="shared" si="59"/>
        <v>-5.3223279011087588E-3</v>
      </c>
      <c r="V66" s="4">
        <f t="shared" si="60"/>
        <v>6.9844640000000027</v>
      </c>
      <c r="W66" s="38">
        <f t="shared" si="61"/>
        <v>5.3263281011533659E-2</v>
      </c>
      <c r="Y66" s="43" t="str">
        <f>IF(INDEX('2015'!$C$8:$C$94,MATCH('Bill Impacts'!A66,'2015'!$B$8:$B$94,0))=0,"",INDEX('2015'!$C$8:$C$94,MATCH('Bill Impacts'!A66,'2015'!$B$8:$B$94,0)))</f>
        <v/>
      </c>
      <c r="Z66" s="43"/>
      <c r="AA66" s="91">
        <f>J66-F66</f>
        <v>-5.499999999999261E-2</v>
      </c>
      <c r="AB66" s="92">
        <f>J66/F66-1</f>
        <v>-1.3984235952197999E-3</v>
      </c>
      <c r="AC66" s="91">
        <f>K66-G66</f>
        <v>0.33627500000000765</v>
      </c>
      <c r="AD66" s="102">
        <f>K66/G66-1</f>
        <v>6.530335439897117E-3</v>
      </c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37">
        <f>INDEX('2015'!$V$8:$V$94,MATCH('Bill Impacts'!A66,'2015'!$B$8:$B$94,0))</f>
        <v>17393</v>
      </c>
      <c r="AS66" s="49"/>
      <c r="AT66">
        <f t="shared" si="62"/>
        <v>4.6157659469896811E-3</v>
      </c>
      <c r="AV66" s="4">
        <f t="shared" si="63"/>
        <v>0.18469987436879209</v>
      </c>
      <c r="AW66" s="4">
        <f t="shared" si="63"/>
        <v>0.23895740916391289</v>
      </c>
      <c r="AX66" s="4">
        <f t="shared" si="63"/>
        <v>0.60526971821721509</v>
      </c>
      <c r="AZ66" s="4">
        <f t="shared" si="64"/>
        <v>0.18153807469510416</v>
      </c>
      <c r="BA66" s="4">
        <f t="shared" si="64"/>
        <v>0.23768559947794313</v>
      </c>
      <c r="BB66" s="4">
        <f t="shared" si="64"/>
        <v>0.63750836930639043</v>
      </c>
    </row>
    <row r="67" spans="1:54" x14ac:dyDescent="0.25">
      <c r="A67" s="52" t="s">
        <v>53</v>
      </c>
      <c r="B67" s="4">
        <f>IF(INDEX('2014'!$H$8:$H$98,MATCH('Bill Impacts'!A67,'2014'!$B$8:$B$98,0))&lt;&gt;0,INDEX('2014'!$H$8:$H$98,MATCH('Bill Impacts'!A67,'2014'!$B$8:$B$98,0)),"")</f>
        <v>26.484999999999999</v>
      </c>
      <c r="C67" s="4">
        <f>IF(INDEX('2014'!$L$8:$L$98,MATCH('Bill Impacts'!A67,'2014'!$B$8:$B$98,0))&lt;&gt;0,INDEX('2014'!$L$8:$L$98,MATCH('Bill Impacts'!A67,'2014'!$B$8:$B$98,0)),"")</f>
        <v>40.031560000000006</v>
      </c>
      <c r="D67" s="36">
        <f>IF(INDEX('2014'!$P$8:$P$98,MATCH('Bill Impacts'!A67,'2014'!$B$8:$B$98,0))&lt;&gt;0,INDEX('2014'!$P$8:$P$98,MATCH('Bill Impacts'!A67,'2014'!$B$8:$B$98,0)),"")</f>
        <v>119.35676000000001</v>
      </c>
      <c r="F67" s="4">
        <f>IF(INDEX('2015'!$G$8:$G$94,MATCH('Bill Impacts'!A67,'2015'!$B$8:$B$94,0))&lt;&gt;0,INDEX('2015'!$G$8:$G$94,MATCH('Bill Impacts'!A67,'2015'!$B$8:$B$94,0)),"")</f>
        <v>27.977499999999999</v>
      </c>
      <c r="G67" s="4">
        <f>IF(INDEX('2015'!$K$8:$K$94,MATCH('Bill Impacts'!A67,'2015'!$B$8:$B$94,0))&lt;&gt;0,INDEX('2015'!$K$8:$K$94,MATCH('Bill Impacts'!A67,'2015'!$B$8:$B$94,0)),"")</f>
        <v>42.108950499999992</v>
      </c>
      <c r="H67" s="4">
        <f>IF(INDEX('2015'!$O$8:$O$94,MATCH('Bill Impacts'!A67,'2015'!$B$8:$B$94,0))&lt;&gt;0,INDEX('2015'!$O$8:$O$94,MATCH('Bill Impacts'!A67,'2015'!$B$8:$B$94,0)),"")</f>
        <v>128.690303</v>
      </c>
      <c r="J67" s="4">
        <f>'2016'!H70</f>
        <v>22.2925</v>
      </c>
      <c r="K67" s="4">
        <f>'2016'!L70</f>
        <v>36.043914249999993</v>
      </c>
      <c r="L67" s="4" t="e">
        <f>'2016'!#REF!</f>
        <v>#REF!</v>
      </c>
      <c r="R67" s="4">
        <f t="shared" si="56"/>
        <v>1.4924999999999997</v>
      </c>
      <c r="S67" s="38">
        <f t="shared" si="57"/>
        <v>5.635265244478016E-2</v>
      </c>
      <c r="T67" s="4">
        <f t="shared" si="58"/>
        <v>2.0773904999999857</v>
      </c>
      <c r="U67" s="38">
        <f t="shared" si="59"/>
        <v>5.1893818277378712E-2</v>
      </c>
      <c r="V67" s="4">
        <f t="shared" si="60"/>
        <v>9.3335429999999917</v>
      </c>
      <c r="W67" s="38">
        <f t="shared" si="61"/>
        <v>7.8198696077205865E-2</v>
      </c>
      <c r="Y67" s="43" t="str">
        <f>IF(INDEX('2015'!$C$8:$C$94,MATCH('Bill Impacts'!A67,'2015'!$B$8:$B$94,0))=0,"",INDEX('2015'!$C$8:$C$94,MATCH('Bill Impacts'!A67,'2015'!$B$8:$B$94,0)))</f>
        <v>COS</v>
      </c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37">
        <f>INDEX('2015'!$V$8:$V$94,MATCH('Bill Impacts'!A67,'2015'!$B$8:$B$94,0))</f>
        <v>21067</v>
      </c>
      <c r="AS67" s="49"/>
      <c r="AT67">
        <f t="shared" si="62"/>
        <v>5.5907745187852359E-3</v>
      </c>
      <c r="AV67" s="4">
        <f t="shared" si="63"/>
        <v>0.14807166313002698</v>
      </c>
      <c r="AW67" s="4">
        <f t="shared" si="63"/>
        <v>0.22380742559522232</v>
      </c>
      <c r="AX67" s="4">
        <f t="shared" si="63"/>
        <v>0.66729673245276488</v>
      </c>
      <c r="AZ67" s="4">
        <f t="shared" si="64"/>
        <v>0.15641589409931392</v>
      </c>
      <c r="BA67" s="4">
        <f t="shared" si="64"/>
        <v>0.23542164746818878</v>
      </c>
      <c r="BB67" s="4">
        <f t="shared" si="64"/>
        <v>0.71947846682715122</v>
      </c>
    </row>
    <row r="68" spans="1:54" x14ac:dyDescent="0.25">
      <c r="A68" t="s">
        <v>54</v>
      </c>
      <c r="B68" s="4">
        <f>IF(INDEX('2014'!$H$8:$H$98,MATCH('Bill Impacts'!A68,'2014'!$B$8:$B$98,0))&lt;&gt;0,INDEX('2014'!$H$8:$H$98,MATCH('Bill Impacts'!A68,'2014'!$B$8:$B$98,0)),"")</f>
        <v>31.639999999999997</v>
      </c>
      <c r="C68" s="4">
        <f>IF(INDEX('2014'!$L$8:$L$98,MATCH('Bill Impacts'!A68,'2014'!$B$8:$B$98,0))&lt;&gt;0,INDEX('2014'!$L$8:$L$98,MATCH('Bill Impacts'!A68,'2014'!$B$8:$B$98,0)),"")</f>
        <v>43.654878499999981</v>
      </c>
      <c r="D68" s="36">
        <f>IF(INDEX('2014'!$P$8:$P$98,MATCH('Bill Impacts'!A68,'2014'!$B$8:$B$98,0))&lt;&gt;0,INDEX('2014'!$P$8:$P$98,MATCH('Bill Impacts'!A68,'2014'!$B$8:$B$98,0)),"")</f>
        <v>123.07968599999998</v>
      </c>
      <c r="F68" s="4">
        <f>IF(INDEX('2015'!$G$8:$G$94,MATCH('Bill Impacts'!A68,'2015'!$B$8:$B$94,0))&lt;&gt;0,INDEX('2015'!$G$8:$G$94,MATCH('Bill Impacts'!A68,'2015'!$B$8:$B$94,0)),"")</f>
        <v>32.769999999999996</v>
      </c>
      <c r="G68" s="4">
        <f>IF(INDEX('2015'!$K$8:$K$94,MATCH('Bill Impacts'!A68,'2015'!$B$8:$B$94,0))&lt;&gt;0,INDEX('2015'!$K$8:$K$94,MATCH('Bill Impacts'!A68,'2015'!$B$8:$B$94,0)),"")</f>
        <v>44.177651499999989</v>
      </c>
      <c r="H68" s="4">
        <f>IF(INDEX('2015'!$O$8:$O$94,MATCH('Bill Impacts'!A68,'2015'!$B$8:$B$94,0))&lt;&gt;0,INDEX('2015'!$O$8:$O$94,MATCH('Bill Impacts'!A68,'2015'!$B$8:$B$94,0)),"")</f>
        <v>130.862459</v>
      </c>
      <c r="J68" s="4">
        <f>'2016'!H71</f>
        <v>38.164999999999999</v>
      </c>
      <c r="K68" s="4">
        <f>'2016'!L71</f>
        <v>51.031465249999989</v>
      </c>
      <c r="L68" s="4" t="e">
        <f>'2016'!#REF!</f>
        <v>#REF!</v>
      </c>
      <c r="R68" s="4">
        <f t="shared" si="56"/>
        <v>1.129999999999999</v>
      </c>
      <c r="S68" s="38">
        <f t="shared" si="57"/>
        <v>3.5714285714285587E-2</v>
      </c>
      <c r="T68" s="4">
        <f t="shared" si="58"/>
        <v>0.52277300000000793</v>
      </c>
      <c r="U68" s="38">
        <f t="shared" si="59"/>
        <v>1.1975133546643812E-2</v>
      </c>
      <c r="V68" s="4">
        <f t="shared" si="60"/>
        <v>7.7827730000000201</v>
      </c>
      <c r="W68" s="38">
        <f t="shared" si="61"/>
        <v>6.3233611109472676E-2</v>
      </c>
      <c r="Y68" s="43" t="str">
        <f>IF(INDEX('2015'!$C$8:$C$94,MATCH('Bill Impacts'!A68,'2015'!$B$8:$B$94,0))=0,"",INDEX('2015'!$C$8:$C$94,MATCH('Bill Impacts'!A68,'2015'!$B$8:$B$94,0)))</f>
        <v>IRM-DA</v>
      </c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37">
        <f>INDEX('2015'!$V$8:$V$94,MATCH('Bill Impacts'!A68,'2015'!$B$8:$B$94,0))</f>
        <v>5237</v>
      </c>
      <c r="AS68" s="49"/>
      <c r="AT68">
        <f t="shared" si="62"/>
        <v>1.3897985548430379E-3</v>
      </c>
      <c r="AV68" s="4">
        <f t="shared" si="63"/>
        <v>4.3973226275233715E-2</v>
      </c>
      <c r="AW68" s="4">
        <f t="shared" si="63"/>
        <v>6.067148705114838E-2</v>
      </c>
      <c r="AX68" s="4">
        <f t="shared" si="63"/>
        <v>0.17105596973333487</v>
      </c>
      <c r="AZ68" s="4">
        <f t="shared" si="64"/>
        <v>4.5543698642206344E-2</v>
      </c>
      <c r="BA68" s="4">
        <f t="shared" si="64"/>
        <v>6.1398036211059347E-2</v>
      </c>
      <c r="BB68" s="4">
        <f t="shared" si="64"/>
        <v>0.18187245640140628</v>
      </c>
    </row>
    <row r="69" spans="1:54" x14ac:dyDescent="0.25">
      <c r="A69" t="s">
        <v>111</v>
      </c>
      <c r="B69" s="4">
        <f>IF(INDEX('2014'!$H$8:$H$98,MATCH('Bill Impacts'!A69,'2014'!$B$8:$B$98,0))&lt;&gt;0,INDEX('2014'!$H$8:$H$98,MATCH('Bill Impacts'!A69,'2014'!$B$8:$B$98,0)),"")</f>
        <v>27.605</v>
      </c>
      <c r="C69" s="4">
        <f>IF(INDEX('2014'!$L$8:$L$98,MATCH('Bill Impacts'!A69,'2014'!$B$8:$B$98,0))&lt;&gt;0,INDEX('2014'!$L$8:$L$98,MATCH('Bill Impacts'!A69,'2014'!$B$8:$B$98,0)),"")</f>
        <v>40.484612000000006</v>
      </c>
      <c r="D69" s="36">
        <f>IF(INDEX('2014'!$P$8:$P$98,MATCH('Bill Impacts'!A69,'2014'!$B$8:$B$98,0))&lt;&gt;0,INDEX('2014'!$P$8:$P$98,MATCH('Bill Impacts'!A69,'2014'!$B$8:$B$98,0)),"")</f>
        <v>119.76535200000001</v>
      </c>
      <c r="F69" s="4">
        <f>IF(INDEX('2015'!$G$8:$G$94,MATCH('Bill Impacts'!A69,'2015'!$B$8:$B$94,0))&lt;&gt;0,INDEX('2015'!$G$8:$G$94,MATCH('Bill Impacts'!A69,'2015'!$B$8:$B$94,0)),"")</f>
        <v>28.185000000000002</v>
      </c>
      <c r="G69" s="4">
        <f>IF(INDEX('2015'!$K$8:$K$94,MATCH('Bill Impacts'!A69,'2015'!$B$8:$B$94,0))&lt;&gt;0,INDEX('2015'!$K$8:$K$94,MATCH('Bill Impacts'!A69,'2015'!$B$8:$B$94,0)),"")</f>
        <v>41.882328000000008</v>
      </c>
      <c r="H69" s="4">
        <f>IF(INDEX('2015'!$O$8:$O$94,MATCH('Bill Impacts'!A69,'2015'!$B$8:$B$94,0))&lt;&gt;0,INDEX('2015'!$O$8:$O$94,MATCH('Bill Impacts'!A69,'2015'!$B$8:$B$94,0)),"")</f>
        <v>128.423068</v>
      </c>
      <c r="J69" s="4">
        <f>'2016'!H72</f>
        <v>29.154999999999998</v>
      </c>
      <c r="K69" s="4">
        <f>'2016'!L72</f>
        <v>42.879717999999997</v>
      </c>
      <c r="L69" s="4" t="e">
        <f>'2016'!#REF!</f>
        <v>#REF!</v>
      </c>
      <c r="R69" s="4">
        <f t="shared" si="56"/>
        <v>0.58000000000000185</v>
      </c>
      <c r="S69" s="38">
        <f t="shared" si="57"/>
        <v>2.1010686469842499E-2</v>
      </c>
      <c r="T69" s="4">
        <f t="shared" si="58"/>
        <v>1.3977160000000026</v>
      </c>
      <c r="U69" s="38">
        <f t="shared" si="59"/>
        <v>3.4524623824973455E-2</v>
      </c>
      <c r="V69" s="4">
        <f t="shared" si="60"/>
        <v>8.6577159999999935</v>
      </c>
      <c r="W69" s="38">
        <f t="shared" si="61"/>
        <v>7.228898721894117E-2</v>
      </c>
      <c r="Y69" s="43" t="str">
        <f>IF(INDEX('2015'!$C$8:$C$94,MATCH('Bill Impacts'!A69,'2015'!$B$8:$B$94,0))=0,"",INDEX('2015'!$C$8:$C$94,MATCH('Bill Impacts'!A69,'2015'!$B$8:$B$94,0)))</f>
        <v>IRM</v>
      </c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37">
        <f>INDEX('2015'!$V$8:$V$94,MATCH('Bill Impacts'!A69,'2015'!$B$8:$B$94,0))</f>
        <v>60486</v>
      </c>
      <c r="AS69" s="49"/>
      <c r="AT69">
        <f t="shared" si="62"/>
        <v>1.6051815044536184E-2</v>
      </c>
      <c r="AV69" s="4">
        <f t="shared" si="63"/>
        <v>0.44311035430442136</v>
      </c>
      <c r="AW69" s="4">
        <f t="shared" si="63"/>
        <v>0.6498515039738102</v>
      </c>
      <c r="AX69" s="4">
        <f t="shared" si="63"/>
        <v>1.9224512790477719</v>
      </c>
      <c r="AZ69" s="4">
        <f t="shared" si="64"/>
        <v>0.45242040703025238</v>
      </c>
      <c r="BA69" s="4">
        <f t="shared" si="64"/>
        <v>0.67228738269059918</v>
      </c>
      <c r="BB69" s="4">
        <f t="shared" si="64"/>
        <v>2.0614233349878934</v>
      </c>
    </row>
    <row r="70" spans="1:54" x14ac:dyDescent="0.25">
      <c r="A70" t="s">
        <v>112</v>
      </c>
      <c r="B70" s="4">
        <f>IF(INDEX('2014'!$H$8:$H$98,MATCH('Bill Impacts'!A70,'2014'!$B$8:$B$98,0))&lt;&gt;0,INDEX('2014'!$H$8:$H$98,MATCH('Bill Impacts'!A70,'2014'!$B$8:$B$98,0)),"")</f>
        <v>26.754999999999999</v>
      </c>
      <c r="C70" s="4">
        <f>IF(INDEX('2014'!$L$8:$L$98,MATCH('Bill Impacts'!A70,'2014'!$B$8:$B$98,0))&lt;&gt;0,INDEX('2014'!$L$8:$L$98,MATCH('Bill Impacts'!A70,'2014'!$B$8:$B$98,0)),"")</f>
        <v>38.187067000000006</v>
      </c>
      <c r="D70" s="36">
        <f>IF(INDEX('2014'!$P$8:$P$98,MATCH('Bill Impacts'!A70,'2014'!$B$8:$B$98,0))&lt;&gt;0,INDEX('2014'!$P$8:$P$98,MATCH('Bill Impacts'!A70,'2014'!$B$8:$B$98,0)),"")</f>
        <v>117.51269450000001</v>
      </c>
      <c r="F70" s="4">
        <f>IF(INDEX('2015'!$G$8:$G$94,MATCH('Bill Impacts'!A70,'2015'!$B$8:$B$94,0))&lt;&gt;0,INDEX('2015'!$G$8:$G$94,MATCH('Bill Impacts'!A70,'2015'!$B$8:$B$94,0)),"")</f>
        <v>28.229999999999997</v>
      </c>
      <c r="G70" s="4">
        <f>IF(INDEX('2015'!$K$8:$K$94,MATCH('Bill Impacts'!A70,'2015'!$B$8:$B$94,0))&lt;&gt;0,INDEX('2015'!$K$8:$K$94,MATCH('Bill Impacts'!A70,'2015'!$B$8:$B$94,0)),"")</f>
        <v>40.011273000000003</v>
      </c>
      <c r="H70" s="4">
        <f>IF(INDEX('2015'!$O$8:$O$94,MATCH('Bill Impacts'!A70,'2015'!$B$8:$B$94,0))&lt;&gt;0,INDEX('2015'!$O$8:$O$94,MATCH('Bill Impacts'!A70,'2015'!$B$8:$B$94,0)),"")</f>
        <v>126.5969005</v>
      </c>
      <c r="J70" s="4">
        <f>'2016'!H73</f>
        <v>27.025000000000002</v>
      </c>
      <c r="K70" s="4">
        <f>'2016'!L73</f>
        <v>39.297181750000007</v>
      </c>
      <c r="L70" s="4" t="e">
        <f>'2016'!#REF!</f>
        <v>#REF!</v>
      </c>
      <c r="R70" s="4">
        <f t="shared" si="56"/>
        <v>1.4749999999999979</v>
      </c>
      <c r="S70" s="38">
        <f t="shared" si="57"/>
        <v>5.5129882264997043E-2</v>
      </c>
      <c r="T70" s="4">
        <f t="shared" si="58"/>
        <v>1.8242059999999967</v>
      </c>
      <c r="U70" s="38">
        <f t="shared" si="59"/>
        <v>4.7770256877806228E-2</v>
      </c>
      <c r="V70" s="4">
        <f t="shared" si="60"/>
        <v>9.0842059999999947</v>
      </c>
      <c r="W70" s="38">
        <f t="shared" si="61"/>
        <v>7.7304039692494664E-2</v>
      </c>
      <c r="Y70" s="43" t="str">
        <f>IF(INDEX('2015'!$C$8:$C$94,MATCH('Bill Impacts'!A70,'2015'!$B$8:$B$94,0))=0,"",INDEX('2015'!$C$8:$C$94,MATCH('Bill Impacts'!A70,'2015'!$B$8:$B$94,0)))</f>
        <v>IRM-DA</v>
      </c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37">
        <f>INDEX('2015'!$V$8:$V$94,MATCH('Bill Impacts'!A70,'2015'!$B$8:$B$94,0))</f>
        <v>10407</v>
      </c>
      <c r="AS70" s="49"/>
      <c r="AT70">
        <f t="shared" si="62"/>
        <v>2.7618166049745074E-3</v>
      </c>
      <c r="AV70" s="4">
        <f t="shared" si="63"/>
        <v>7.3892403266092949E-2</v>
      </c>
      <c r="AW70" s="4">
        <f t="shared" si="63"/>
        <v>0.10546567573587406</v>
      </c>
      <c r="AX70" s="4">
        <f t="shared" si="63"/>
        <v>0.3245485109653965</v>
      </c>
      <c r="AZ70" s="4">
        <f t="shared" si="64"/>
        <v>7.7966082758430338E-2</v>
      </c>
      <c r="BA70" s="4">
        <f t="shared" si="64"/>
        <v>0.11050379815756818</v>
      </c>
      <c r="BB70" s="4">
        <f t="shared" si="64"/>
        <v>0.34963742193920555</v>
      </c>
    </row>
    <row r="71" spans="1:54" x14ac:dyDescent="0.25">
      <c r="A71" t="s">
        <v>55</v>
      </c>
      <c r="B71" s="4">
        <f>IF(INDEX('2014'!$H$8:$H$98,MATCH('Bill Impacts'!A71,'2014'!$B$8:$B$98,0))&lt;&gt;0,INDEX('2014'!$H$8:$H$98,MATCH('Bill Impacts'!A71,'2014'!$B$8:$B$98,0)),"")</f>
        <v>27.094999999999999</v>
      </c>
      <c r="C71" s="4">
        <f>IF(INDEX('2014'!$L$8:$L$98,MATCH('Bill Impacts'!A71,'2014'!$B$8:$B$98,0))&lt;&gt;0,INDEX('2014'!$L$8:$L$98,MATCH('Bill Impacts'!A71,'2014'!$B$8:$B$98,0)),"")</f>
        <v>38.906004500000002</v>
      </c>
      <c r="D71" s="36">
        <f>IF(INDEX('2014'!$P$8:$P$98,MATCH('Bill Impacts'!A71,'2014'!$B$8:$B$98,0))&lt;&gt;0,INDEX('2014'!$P$8:$P$98,MATCH('Bill Impacts'!A71,'2014'!$B$8:$B$98,0)),"")</f>
        <v>116.690832</v>
      </c>
      <c r="F71" s="4">
        <f>IF(INDEX('2015'!$G$8:$G$94,MATCH('Bill Impacts'!A71,'2015'!$B$8:$B$94,0))&lt;&gt;0,INDEX('2015'!$G$8:$G$94,MATCH('Bill Impacts'!A71,'2015'!$B$8:$B$94,0)),"")</f>
        <v>30.195</v>
      </c>
      <c r="G71" s="4">
        <f>IF(INDEX('2015'!$K$8:$K$94,MATCH('Bill Impacts'!A71,'2015'!$B$8:$B$94,0))&lt;&gt;0,INDEX('2015'!$K$8:$K$94,MATCH('Bill Impacts'!A71,'2015'!$B$8:$B$94,0)),"")</f>
        <v>41.779630500000003</v>
      </c>
      <c r="H71" s="4">
        <f>IF(INDEX('2015'!$O$8:$O$94,MATCH('Bill Impacts'!A71,'2015'!$B$8:$B$94,0))&lt;&gt;0,INDEX('2015'!$O$8:$O$94,MATCH('Bill Impacts'!A71,'2015'!$B$8:$B$94,0)),"")</f>
        <v>126.82445800000001</v>
      </c>
      <c r="J71" s="4">
        <f>'2016'!H74</f>
        <v>26.169999999999998</v>
      </c>
      <c r="K71" s="4">
        <f>'2016'!L74</f>
        <v>38.381446750000009</v>
      </c>
      <c r="L71" s="4" t="e">
        <f>'2016'!#REF!</f>
        <v>#REF!</v>
      </c>
      <c r="R71" s="4">
        <f t="shared" si="56"/>
        <v>3.1000000000000014</v>
      </c>
      <c r="S71" s="38">
        <f t="shared" si="57"/>
        <v>0.11441225318324411</v>
      </c>
      <c r="T71" s="4">
        <f t="shared" si="58"/>
        <v>2.8736260000000016</v>
      </c>
      <c r="U71" s="38">
        <f t="shared" si="59"/>
        <v>7.3860732730856471E-2</v>
      </c>
      <c r="V71" s="4">
        <f t="shared" si="60"/>
        <v>10.133626000000007</v>
      </c>
      <c r="W71" s="38">
        <f t="shared" si="61"/>
        <v>8.6841663790691026E-2</v>
      </c>
      <c r="Y71" s="43" t="str">
        <f>IF(INDEX('2015'!$C$8:$C$94,MATCH('Bill Impacts'!A71,'2015'!$B$8:$B$94,0))=0,"",INDEX('2015'!$C$8:$C$94,MATCH('Bill Impacts'!A71,'2015'!$B$8:$B$94,0)))</f>
        <v>IRM</v>
      </c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37">
        <f>INDEX('2015'!$V$8:$V$94,MATCH('Bill Impacts'!A71,'2015'!$B$8:$B$94,0))</f>
        <v>11816</v>
      </c>
      <c r="AS71" s="49"/>
      <c r="AT71">
        <f t="shared" si="62"/>
        <v>3.1357379652521169E-3</v>
      </c>
      <c r="AV71" s="4">
        <f t="shared" si="63"/>
        <v>8.4962820168506106E-2</v>
      </c>
      <c r="AW71" s="4">
        <f t="shared" si="63"/>
        <v>0.12199903538691971</v>
      </c>
      <c r="AX71" s="4">
        <f t="shared" si="63"/>
        <v>0.36591187209925663</v>
      </c>
      <c r="AZ71" s="4">
        <f t="shared" si="64"/>
        <v>9.4683607860787666E-2</v>
      </c>
      <c r="BA71" s="4">
        <f t="shared" si="64"/>
        <v>0.1310099735330553</v>
      </c>
      <c r="BB71" s="4">
        <f t="shared" si="64"/>
        <v>0.39768826787312256</v>
      </c>
    </row>
    <row r="72" spans="1:54" x14ac:dyDescent="0.25">
      <c r="A72" s="11" t="s">
        <v>56</v>
      </c>
      <c r="B72" s="4">
        <f>IF(INDEX('2014'!$H$8:$H$98,MATCH('Bill Impacts'!A72,'2014'!$B$8:$B$98,0))&lt;&gt;0,INDEX('2014'!$H$8:$H$98,MATCH('Bill Impacts'!A72,'2014'!$B$8:$B$98,0)),"")</f>
        <v>19.229999999999997</v>
      </c>
      <c r="C72" s="4">
        <f>IF(INDEX('2014'!$L$8:$L$98,MATCH('Bill Impacts'!A72,'2014'!$B$8:$B$98,0))&lt;&gt;0,INDEX('2014'!$L$8:$L$98,MATCH('Bill Impacts'!A72,'2014'!$B$8:$B$98,0)),"")</f>
        <v>32.459310000000002</v>
      </c>
      <c r="D72" s="36">
        <f>IF(INDEX('2014'!$P$8:$P$98,MATCH('Bill Impacts'!A72,'2014'!$B$8:$B$98,0))&lt;&gt;0,INDEX('2014'!$P$8:$P$98,MATCH('Bill Impacts'!A72,'2014'!$B$8:$B$98,0)),"")</f>
        <v>111.76313500000001</v>
      </c>
      <c r="F72" s="4" t="str">
        <f>IF(INDEX('2015'!$G$8:$G$94,MATCH('Bill Impacts'!A72,'2015'!$B$8:$B$94,0))&lt;&gt;0,INDEX('2015'!$G$8:$G$94,MATCH('Bill Impacts'!A72,'2015'!$B$8:$B$94,0)),"")</f>
        <v/>
      </c>
      <c r="G72" s="4" t="str">
        <f>IF(INDEX('2015'!$K$8:$K$94,MATCH('Bill Impacts'!A72,'2015'!$B$8:$B$94,0))&lt;&gt;0,INDEX('2015'!$K$8:$K$94,MATCH('Bill Impacts'!A72,'2015'!$B$8:$B$94,0)),"")</f>
        <v/>
      </c>
      <c r="H72" s="4" t="str">
        <f>IF(INDEX('2015'!$O$8:$O$94,MATCH('Bill Impacts'!A72,'2015'!$B$8:$B$94,0))&lt;&gt;0,INDEX('2015'!$O$8:$O$94,MATCH('Bill Impacts'!A72,'2015'!$B$8:$B$94,0)),"")</f>
        <v/>
      </c>
      <c r="J72" s="4">
        <f>'2016'!H75</f>
        <v>24.734999999999999</v>
      </c>
      <c r="K72" s="4">
        <f>'2016'!L75</f>
        <v>39.80546549999999</v>
      </c>
      <c r="L72" s="4" t="e">
        <f>'2016'!#REF!</f>
        <v>#REF!</v>
      </c>
      <c r="Y72" s="43" t="str">
        <f>IF(INDEX('2015'!$C$8:$C$94,MATCH('Bill Impacts'!A72,'2015'!$B$8:$B$94,0))=0,"",INDEX('2015'!$C$8:$C$94,MATCH('Bill Impacts'!A72,'2015'!$B$8:$B$94,0)))</f>
        <v>CIR</v>
      </c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37">
        <f>INDEX('2015'!$V$8:$V$94,MATCH('Bill Impacts'!A72,'2015'!$B$8:$B$94,0))</f>
        <v>50365</v>
      </c>
      <c r="AS72" s="49"/>
      <c r="AV72" s="17"/>
      <c r="AW72" s="17"/>
      <c r="AX72" s="17"/>
      <c r="AZ72" s="17"/>
      <c r="BA72" s="17"/>
      <c r="BB72" s="17"/>
    </row>
    <row r="73" spans="1:54" x14ac:dyDescent="0.25">
      <c r="A73" s="11" t="s">
        <v>57</v>
      </c>
      <c r="B73" s="4">
        <f>IF(INDEX('2014'!$H$8:$H$98,MATCH('Bill Impacts'!A73,'2014'!$B$8:$B$98,0))&lt;&gt;0,INDEX('2014'!$H$8:$H$98,MATCH('Bill Impacts'!A73,'2014'!$B$8:$B$98,0)),"")</f>
        <v>23.855</v>
      </c>
      <c r="C73" s="4">
        <f>IF(INDEX('2014'!$L$8:$L$98,MATCH('Bill Impacts'!A73,'2014'!$B$8:$B$98,0))&lt;&gt;0,INDEX('2014'!$L$8:$L$98,MATCH('Bill Impacts'!A73,'2014'!$B$8:$B$98,0)),"")</f>
        <v>34.975354999999986</v>
      </c>
      <c r="D73" s="36">
        <f>IF(INDEX('2014'!$P$8:$P$98,MATCH('Bill Impacts'!A73,'2014'!$B$8:$B$98,0))&lt;&gt;0,INDEX('2014'!$P$8:$P$98,MATCH('Bill Impacts'!A73,'2014'!$B$8:$B$98,0)),"")</f>
        <v>112.69023175097274</v>
      </c>
      <c r="F73" s="4" t="str">
        <f>IF(INDEX('2015'!$G$8:$G$94,MATCH('Bill Impacts'!A73,'2015'!$B$8:$B$94,0))&lt;&gt;0,INDEX('2015'!$G$8:$G$94,MATCH('Bill Impacts'!A73,'2015'!$B$8:$B$94,0)),"")</f>
        <v/>
      </c>
      <c r="G73" s="4" t="str">
        <f>IF(INDEX('2015'!$K$8:$K$94,MATCH('Bill Impacts'!A73,'2015'!$B$8:$B$94,0))&lt;&gt;0,INDEX('2015'!$K$8:$K$94,MATCH('Bill Impacts'!A73,'2015'!$B$8:$B$94,0)),"")</f>
        <v/>
      </c>
      <c r="H73" s="4" t="str">
        <f>IF(INDEX('2015'!$O$8:$O$94,MATCH('Bill Impacts'!A73,'2015'!$B$8:$B$94,0))&lt;&gt;0,INDEX('2015'!$O$8:$O$94,MATCH('Bill Impacts'!A73,'2015'!$B$8:$B$94,0)),"")</f>
        <v/>
      </c>
      <c r="J73" s="4">
        <f>'2016'!H76</f>
        <v>24.564999999999998</v>
      </c>
      <c r="K73" s="4">
        <f>'2016'!L76</f>
        <v>36.539352250000007</v>
      </c>
      <c r="L73" s="4" t="e">
        <f>'2016'!#REF!</f>
        <v>#REF!</v>
      </c>
      <c r="Y73" s="43" t="str">
        <f>IF(INDEX('2015'!$C$8:$C$94,MATCH('Bill Impacts'!A73,'2015'!$B$8:$B$94,0))=0,"",INDEX('2015'!$C$8:$C$94,MATCH('Bill Impacts'!A73,'2015'!$B$8:$B$94,0)))</f>
        <v/>
      </c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37">
        <f>INDEX('2015'!$V$8:$V$94,MATCH('Bill Impacts'!A73,'2015'!$B$8:$B$94,0))</f>
        <v>9358</v>
      </c>
      <c r="AS73" s="49"/>
      <c r="AV73" s="17"/>
      <c r="AW73" s="17"/>
      <c r="AX73" s="17"/>
      <c r="AZ73" s="17"/>
      <c r="BA73" s="17"/>
      <c r="BB73" s="17"/>
    </row>
    <row r="74" spans="1:54" x14ac:dyDescent="0.25">
      <c r="A74" s="12" t="s">
        <v>58</v>
      </c>
      <c r="B74" s="4">
        <f>IF(INDEX('2014'!$H$8:$H$98,MATCH('Bill Impacts'!A74,'2014'!$B$8:$B$98,0))&lt;&gt;0,INDEX('2014'!$H$8:$H$98,MATCH('Bill Impacts'!A74,'2014'!$B$8:$B$98,0)),"")</f>
        <v>44.91</v>
      </c>
      <c r="C74" s="4">
        <f>IF(INDEX('2014'!$L$8:$L$98,MATCH('Bill Impacts'!A74,'2014'!$B$8:$B$98,0))&lt;&gt;0,INDEX('2014'!$L$8:$L$98,MATCH('Bill Impacts'!A74,'2014'!$B$8:$B$98,0)),"")</f>
        <v>59.356367999999989</v>
      </c>
      <c r="D74" s="36">
        <f>IF(INDEX('2014'!$P$8:$P$98,MATCH('Bill Impacts'!A74,'2014'!$B$8:$B$98,0))&lt;&gt;0,INDEX('2014'!$P$8:$P$98,MATCH('Bill Impacts'!A74,'2014'!$B$8:$B$98,0)),"")</f>
        <v>138.44721549999997</v>
      </c>
      <c r="F74" s="4">
        <f>IF(INDEX('2015'!$G$8:$G$94,MATCH('Bill Impacts'!A74,'2015'!$B$8:$B$94,0))&lt;&gt;0,INDEX('2015'!$G$8:$G$94,MATCH('Bill Impacts'!A74,'2015'!$B$8:$B$94,0)),"")</f>
        <v>41.65</v>
      </c>
      <c r="G74" s="4">
        <f>IF(INDEX('2015'!$K$8:$K$94,MATCH('Bill Impacts'!A74,'2015'!$B$8:$B$94,0))&lt;&gt;0,INDEX('2015'!$K$8:$K$94,MATCH('Bill Impacts'!A74,'2015'!$B$8:$B$94,0)),"")</f>
        <v>56.278364499999995</v>
      </c>
      <c r="H74" s="4">
        <f>IF(INDEX('2015'!$O$8:$O$94,MATCH('Bill Impacts'!A74,'2015'!$B$8:$B$94,0))&lt;&gt;0,INDEX('2015'!$O$8:$O$94,MATCH('Bill Impacts'!A74,'2015'!$B$8:$B$94,0)),"")</f>
        <v>142.629212</v>
      </c>
      <c r="J74" s="4">
        <f>'2016'!H77</f>
        <v>43.194999999999993</v>
      </c>
      <c r="K74" s="4">
        <f>'2016'!L77</f>
        <v>56.114718249999989</v>
      </c>
      <c r="L74" s="4" t="e">
        <f>'2016'!#REF!</f>
        <v>#REF!</v>
      </c>
      <c r="R74" s="4">
        <f t="shared" ref="R74:R84" si="65">F74-B74</f>
        <v>-3.259999999999998</v>
      </c>
      <c r="S74" s="38">
        <f t="shared" ref="S74:S84" si="66">F74/B74-1</f>
        <v>-7.2589623691828087E-2</v>
      </c>
      <c r="T74" s="4">
        <f t="shared" ref="T74:T84" si="67">G74-C74</f>
        <v>-3.0780034999999941</v>
      </c>
      <c r="U74" s="38">
        <f t="shared" ref="U74:U84" si="68">G74/C74-1</f>
        <v>-5.1856331573387315E-2</v>
      </c>
      <c r="V74" s="4">
        <f t="shared" ref="V74:V84" si="69">H74-D74</f>
        <v>4.1819965000000252</v>
      </c>
      <c r="W74" s="38">
        <f t="shared" ref="W74:W84" si="70">H74/D74-1</f>
        <v>3.0206432718034915E-2</v>
      </c>
      <c r="Y74" s="43" t="str">
        <f>IF(INDEX('2015'!$C$8:$C$94,MATCH('Bill Impacts'!A74,'2015'!$B$8:$B$94,0))=0,"",INDEX('2015'!$C$8:$C$94,MATCH('Bill Impacts'!A74,'2015'!$B$8:$B$94,0)))</f>
        <v>IRM-DA</v>
      </c>
      <c r="Z74" s="43"/>
      <c r="AA74" s="91">
        <f>J74-F74</f>
        <v>1.5449999999999946</v>
      </c>
      <c r="AB74" s="92">
        <f>J74/F74-1</f>
        <v>3.7094837935173874E-2</v>
      </c>
      <c r="AC74" s="91">
        <f>K74-G74</f>
        <v>-0.16364625000000643</v>
      </c>
      <c r="AD74" s="102">
        <f>K74/G74-1</f>
        <v>-2.9078003857060386E-3</v>
      </c>
      <c r="AE74" s="43"/>
      <c r="AF74" s="93" t="e">
        <f>AC74/L74</f>
        <v>#REF!</v>
      </c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37">
        <f>INDEX('2015'!$V$8:$V$94,MATCH('Bill Impacts'!A74,'2015'!$B$8:$B$94,0))</f>
        <v>2891.6331112530802</v>
      </c>
      <c r="AS74" s="49"/>
      <c r="AT74">
        <f t="shared" ref="AT74:AT84" si="71">AR74/$AR$99</f>
        <v>7.6738352475764907E-4</v>
      </c>
      <c r="AV74" s="4">
        <f t="shared" ref="AV74:AV84" si="72">$AT74*B74</f>
        <v>3.4463194096866018E-2</v>
      </c>
      <c r="AW74" s="4">
        <f t="shared" ref="AW74:AW84" si="73">$AT74*C74</f>
        <v>4.5549098892652122E-2</v>
      </c>
      <c r="AX74" s="4">
        <f t="shared" ref="AX74:AX84" si="74">$AT74*D74</f>
        <v>0.1062421122232718</v>
      </c>
      <c r="AZ74" s="4">
        <f t="shared" ref="AZ74:AZ84" si="75">$AT74*F74</f>
        <v>3.1961523806156085E-2</v>
      </c>
      <c r="BA74" s="4">
        <f t="shared" ref="BA74:BA84" si="76">$AT74*G74</f>
        <v>4.3187089717605744E-2</v>
      </c>
      <c r="BB74" s="4">
        <f t="shared" ref="BB74:BB84" si="77">$AT74*H74</f>
        <v>0.10945130743796598</v>
      </c>
    </row>
    <row r="75" spans="1:54" x14ac:dyDescent="0.25">
      <c r="A75" t="s">
        <v>59</v>
      </c>
      <c r="B75" s="4">
        <f>IF(INDEX('2014'!$H$8:$H$98,MATCH('Bill Impacts'!A75,'2014'!$B$8:$B$98,0))&lt;&gt;0,INDEX('2014'!$H$8:$H$98,MATCH('Bill Impacts'!A75,'2014'!$B$8:$B$98,0)),"")</f>
        <v>23.82</v>
      </c>
      <c r="C75" s="4">
        <f>IF(INDEX('2014'!$L$8:$L$98,MATCH('Bill Impacts'!A75,'2014'!$B$8:$B$98,0))&lt;&gt;0,INDEX('2014'!$L$8:$L$98,MATCH('Bill Impacts'!A75,'2014'!$B$8:$B$98,0)),"")</f>
        <v>37.113306000000001</v>
      </c>
      <c r="D75" s="36">
        <f>IF(INDEX('2014'!$P$8:$P$98,MATCH('Bill Impacts'!A75,'2014'!$B$8:$B$98,0))&lt;&gt;0,INDEX('2014'!$P$8:$P$98,MATCH('Bill Impacts'!A75,'2014'!$B$8:$B$98,0)),"")</f>
        <v>116.242576</v>
      </c>
      <c r="F75" s="4">
        <f>IF(INDEX('2015'!$G$8:$G$94,MATCH('Bill Impacts'!A75,'2015'!$B$8:$B$94,0))&lt;&gt;0,INDEX('2015'!$G$8:$G$94,MATCH('Bill Impacts'!A75,'2015'!$B$8:$B$94,0)),"")</f>
        <v>22.434999999999999</v>
      </c>
      <c r="G75" s="4">
        <f>IF(INDEX('2015'!$K$8:$K$94,MATCH('Bill Impacts'!A75,'2015'!$B$8:$B$94,0))&lt;&gt;0,INDEX('2015'!$K$8:$K$94,MATCH('Bill Impacts'!A75,'2015'!$B$8:$B$94,0)),"")</f>
        <v>36.284374</v>
      </c>
      <c r="H75" s="4">
        <f>IF(INDEX('2015'!$O$8:$O$94,MATCH('Bill Impacts'!A75,'2015'!$B$8:$B$94,0))&lt;&gt;0,INDEX('2015'!$O$8:$O$94,MATCH('Bill Impacts'!A75,'2015'!$B$8:$B$94,0)),"")</f>
        <v>122.673644</v>
      </c>
      <c r="J75" s="4">
        <f>'2016'!H78</f>
        <v>24.89</v>
      </c>
      <c r="K75" s="4">
        <f>'2016'!L78</f>
        <v>39.119549000000006</v>
      </c>
      <c r="L75" s="4" t="e">
        <f>'2016'!#REF!</f>
        <v>#REF!</v>
      </c>
      <c r="R75" s="4">
        <f t="shared" si="65"/>
        <v>-1.3850000000000016</v>
      </c>
      <c r="S75" s="38">
        <f t="shared" si="66"/>
        <v>-5.8144416456759052E-2</v>
      </c>
      <c r="T75" s="4">
        <f t="shared" si="67"/>
        <v>-0.82893200000000178</v>
      </c>
      <c r="U75" s="38">
        <f t="shared" si="68"/>
        <v>-2.2335170033087381E-2</v>
      </c>
      <c r="V75" s="4">
        <f t="shared" si="69"/>
        <v>6.4310679999999962</v>
      </c>
      <c r="W75" s="38">
        <f t="shared" si="70"/>
        <v>5.5324548210287317E-2</v>
      </c>
      <c r="Y75" s="43" t="str">
        <f>IF(INDEX('2015'!$C$8:$C$94,MATCH('Bill Impacts'!A75,'2015'!$B$8:$B$94,0))=0,"",INDEX('2015'!$C$8:$C$94,MATCH('Bill Impacts'!A75,'2015'!$B$8:$B$94,0)))</f>
        <v>IRM-DA</v>
      </c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37">
        <f>INDEX('2015'!$V$8:$V$94,MATCH('Bill Impacts'!A75,'2015'!$B$8:$B$94,0))</f>
        <v>32140</v>
      </c>
      <c r="AS75" s="49"/>
      <c r="AT75">
        <f t="shared" si="71"/>
        <v>8.5293346482060804E-3</v>
      </c>
      <c r="AV75" s="4">
        <f t="shared" si="72"/>
        <v>0.20316875132026885</v>
      </c>
      <c r="AW75" s="4">
        <f t="shared" si="73"/>
        <v>0.31655180677527461</v>
      </c>
      <c r="AX75" s="4">
        <f t="shared" si="74"/>
        <v>0.99147183107352854</v>
      </c>
      <c r="AZ75" s="4">
        <f t="shared" si="75"/>
        <v>0.1913556228325034</v>
      </c>
      <c r="BA75" s="4">
        <f t="shared" si="76"/>
        <v>0.30948156834666785</v>
      </c>
      <c r="BB75" s="4">
        <f t="shared" si="77"/>
        <v>1.0463245621908979</v>
      </c>
    </row>
    <row r="76" spans="1:54" x14ac:dyDescent="0.25">
      <c r="A76" t="s">
        <v>60</v>
      </c>
      <c r="B76" s="4">
        <f>IF(INDEX('2014'!$H$8:$H$98,MATCH('Bill Impacts'!A76,'2014'!$B$8:$B$98,0))&lt;&gt;0,INDEX('2014'!$H$8:$H$98,MATCH('Bill Impacts'!A76,'2014'!$B$8:$B$98,0)),"")</f>
        <v>24.310000000000002</v>
      </c>
      <c r="C76" s="4">
        <f>IF(INDEX('2014'!$L$8:$L$98,MATCH('Bill Impacts'!A76,'2014'!$B$8:$B$98,0))&lt;&gt;0,INDEX('2014'!$L$8:$L$98,MATCH('Bill Impacts'!A76,'2014'!$B$8:$B$98,0)),"")</f>
        <v>35.314615000000003</v>
      </c>
      <c r="D76" s="36">
        <f>IF(INDEX('2014'!$P$8:$P$98,MATCH('Bill Impacts'!A76,'2014'!$B$8:$B$98,0))&lt;&gt;0,INDEX('2014'!$P$8:$P$98,MATCH('Bill Impacts'!A76,'2014'!$B$8:$B$98,0)),"")</f>
        <v>114.5821025</v>
      </c>
      <c r="F76" s="4">
        <f>IF(INDEX('2015'!$G$8:$G$94,MATCH('Bill Impacts'!A76,'2015'!$B$8:$B$94,0))&lt;&gt;0,INDEX('2015'!$G$8:$G$94,MATCH('Bill Impacts'!A76,'2015'!$B$8:$B$94,0)),"")</f>
        <v>24.305</v>
      </c>
      <c r="G76" s="4">
        <f>IF(INDEX('2015'!$K$8:$K$94,MATCH('Bill Impacts'!A76,'2015'!$B$8:$B$94,0))&lt;&gt;0,INDEX('2015'!$K$8:$K$94,MATCH('Bill Impacts'!A76,'2015'!$B$8:$B$94,0)),"")</f>
        <v>35.870435000000001</v>
      </c>
      <c r="H76" s="4">
        <f>IF(INDEX('2015'!$O$8:$O$94,MATCH('Bill Impacts'!A76,'2015'!$B$8:$B$94,0))&lt;&gt;0,INDEX('2015'!$O$8:$O$94,MATCH('Bill Impacts'!A76,'2015'!$B$8:$B$94,0)),"")</f>
        <v>122.39792250000001</v>
      </c>
      <c r="J76" s="4"/>
      <c r="K76" s="4"/>
      <c r="L76" s="4"/>
      <c r="R76" s="4">
        <f t="shared" si="65"/>
        <v>-5.000000000002558E-3</v>
      </c>
      <c r="S76" s="38">
        <f t="shared" si="66"/>
        <v>-2.0567667626503194E-4</v>
      </c>
      <c r="T76" s="4">
        <f t="shared" si="67"/>
        <v>0.55581999999999709</v>
      </c>
      <c r="U76" s="38">
        <f t="shared" si="68"/>
        <v>1.5739092724074588E-2</v>
      </c>
      <c r="V76" s="4">
        <f t="shared" si="69"/>
        <v>7.8158200000000022</v>
      </c>
      <c r="W76" s="38">
        <f t="shared" si="70"/>
        <v>6.8211525443076848E-2</v>
      </c>
      <c r="Y76" s="43" t="str">
        <f>IF(INDEX('2015'!$C$8:$C$94,MATCH('Bill Impacts'!A76,'2015'!$B$8:$B$94,0))=0,"",INDEX('2015'!$C$8:$C$94,MATCH('Bill Impacts'!A76,'2015'!$B$8:$B$94,0)))</f>
        <v>IRM</v>
      </c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5">
        <v>47194</v>
      </c>
      <c r="AS76" s="49"/>
      <c r="AT76">
        <f t="shared" si="71"/>
        <v>1.2524375214294888E-2</v>
      </c>
      <c r="AV76" s="4">
        <f t="shared" si="72"/>
        <v>0.30446756145950876</v>
      </c>
      <c r="AW76" s="4">
        <f t="shared" si="73"/>
        <v>0.4422934888083665</v>
      </c>
      <c r="AX76" s="4">
        <f t="shared" si="74"/>
        <v>1.4350692445527964</v>
      </c>
      <c r="AZ76" s="4">
        <f t="shared" si="75"/>
        <v>0.30440493958343723</v>
      </c>
      <c r="BA76" s="4">
        <f t="shared" si="76"/>
        <v>0.44925478703997584</v>
      </c>
      <c r="BB76" s="4">
        <f t="shared" si="77"/>
        <v>1.5329575068401866</v>
      </c>
    </row>
    <row r="77" spans="1:54" x14ac:dyDescent="0.25">
      <c r="A77" t="s">
        <v>61</v>
      </c>
      <c r="B77" s="4">
        <f>IF(INDEX('2014'!$H$8:$H$98,MATCH('Bill Impacts'!A77,'2014'!$B$8:$B$98,0))&lt;&gt;0,INDEX('2014'!$H$8:$H$98,MATCH('Bill Impacts'!A77,'2014'!$B$8:$B$98,0)),"")</f>
        <v>23.634999999999998</v>
      </c>
      <c r="C77" s="4">
        <f>IF(INDEX('2014'!$L$8:$L$98,MATCH('Bill Impacts'!A77,'2014'!$B$8:$B$98,0))&lt;&gt;0,INDEX('2014'!$L$8:$L$98,MATCH('Bill Impacts'!A77,'2014'!$B$8:$B$98,0)),"")</f>
        <v>34.639614999999999</v>
      </c>
      <c r="D77" s="36">
        <f>IF(INDEX('2014'!$P$8:$P$98,MATCH('Bill Impacts'!A77,'2014'!$B$8:$B$98,0))&lt;&gt;0,INDEX('2014'!$P$8:$P$98,MATCH('Bill Impacts'!A77,'2014'!$B$8:$B$98,0)),"")</f>
        <v>113.90710250000001</v>
      </c>
      <c r="F77" s="4">
        <f>IF(INDEX('2015'!$G$8:$G$94,MATCH('Bill Impacts'!A77,'2015'!$B$8:$B$94,0))&lt;&gt;0,INDEX('2015'!$G$8:$G$94,MATCH('Bill Impacts'!A77,'2015'!$B$8:$B$94,0)),"")</f>
        <v>24.155000000000001</v>
      </c>
      <c r="G77" s="4">
        <f>IF(INDEX('2015'!$K$8:$K$94,MATCH('Bill Impacts'!A77,'2015'!$B$8:$B$94,0))&lt;&gt;0,INDEX('2015'!$K$8:$K$94,MATCH('Bill Impacts'!A77,'2015'!$B$8:$B$94,0)),"")</f>
        <v>35.720435000000002</v>
      </c>
      <c r="H77" s="4">
        <f>IF(INDEX('2015'!$O$8:$O$94,MATCH('Bill Impacts'!A77,'2015'!$B$8:$B$94,0))&lt;&gt;0,INDEX('2015'!$O$8:$O$94,MATCH('Bill Impacts'!A77,'2015'!$B$8:$B$94,0)),"")</f>
        <v>122.24792250000002</v>
      </c>
      <c r="J77" s="4">
        <f>'2016'!H80</f>
        <v>26.355000000000004</v>
      </c>
      <c r="K77" s="4">
        <f>'2016'!L80</f>
        <v>38.159778750000001</v>
      </c>
      <c r="L77" s="4" t="e">
        <f>'2016'!#REF!</f>
        <v>#REF!</v>
      </c>
      <c r="R77" s="4">
        <f t="shared" si="65"/>
        <v>0.52000000000000313</v>
      </c>
      <c r="S77" s="38">
        <f t="shared" si="66"/>
        <v>2.2001269303998372E-2</v>
      </c>
      <c r="T77" s="4">
        <f t="shared" si="67"/>
        <v>1.0808200000000028</v>
      </c>
      <c r="U77" s="38">
        <f t="shared" si="68"/>
        <v>3.1201847942016858E-2</v>
      </c>
      <c r="V77" s="4">
        <f t="shared" si="69"/>
        <v>8.3408200000000079</v>
      </c>
      <c r="W77" s="38">
        <f t="shared" si="70"/>
        <v>7.3224757867930146E-2</v>
      </c>
      <c r="Y77" s="43" t="str">
        <f>IF(INDEX('2015'!$C$8:$C$94,MATCH('Bill Impacts'!A77,'2015'!$B$8:$B$94,0))=0,"",INDEX('2015'!$C$8:$C$94,MATCH('Bill Impacts'!A77,'2015'!$B$8:$B$94,0)))</f>
        <v>IRM</v>
      </c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5">
        <f>316596-AR76</f>
        <v>269402</v>
      </c>
      <c r="AS77" s="49"/>
      <c r="AT77">
        <f t="shared" si="71"/>
        <v>7.1494082541879722E-2</v>
      </c>
      <c r="AV77" s="4">
        <f t="shared" si="72"/>
        <v>1.6897626408773272</v>
      </c>
      <c r="AW77" s="4">
        <f t="shared" si="73"/>
        <v>2.476527494028935</v>
      </c>
      <c r="AX77" s="4">
        <f t="shared" si="74"/>
        <v>8.1436837882413542</v>
      </c>
      <c r="AZ77" s="4">
        <f t="shared" si="75"/>
        <v>1.7269395637991047</v>
      </c>
      <c r="BA77" s="4">
        <f t="shared" si="76"/>
        <v>2.5537997283218496</v>
      </c>
      <c r="BB77" s="4">
        <f t="shared" si="77"/>
        <v>8.7400030617883164</v>
      </c>
    </row>
    <row r="78" spans="1:54" x14ac:dyDescent="0.25">
      <c r="A78" t="s">
        <v>62</v>
      </c>
      <c r="B78" s="4">
        <f>IF(INDEX('2014'!$H$8:$H$98,MATCH('Bill Impacts'!A78,'2014'!$B$8:$B$98,0))&lt;&gt;0,INDEX('2014'!$H$8:$H$98,MATCH('Bill Impacts'!A78,'2014'!$B$8:$B$98,0)),"")</f>
        <v>21.39</v>
      </c>
      <c r="C78" s="4">
        <f>IF(INDEX('2014'!$L$8:$L$98,MATCH('Bill Impacts'!A78,'2014'!$B$8:$B$98,0))&lt;&gt;0,INDEX('2014'!$L$8:$L$98,MATCH('Bill Impacts'!A78,'2014'!$B$8:$B$98,0)),"")</f>
        <v>29.579687999999994</v>
      </c>
      <c r="D78" s="36">
        <f>IF(INDEX('2014'!$P$8:$P$98,MATCH('Bill Impacts'!A78,'2014'!$B$8:$B$98,0))&lt;&gt;0,INDEX('2014'!$P$8:$P$98,MATCH('Bill Impacts'!A78,'2014'!$B$8:$B$98,0)),"")</f>
        <v>105.15873549999999</v>
      </c>
      <c r="F78" s="4">
        <f>IF(INDEX('2015'!$G$8:$G$94,MATCH('Bill Impacts'!A78,'2015'!$B$8:$B$94,0))&lt;&gt;0,INDEX('2015'!$G$8:$G$94,MATCH('Bill Impacts'!A78,'2015'!$B$8:$B$94,0)),"")</f>
        <v>23.524999999999999</v>
      </c>
      <c r="G78" s="4">
        <f>IF(INDEX('2015'!$K$8:$K$94,MATCH('Bill Impacts'!A78,'2015'!$B$8:$B$94,0))&lt;&gt;0,INDEX('2015'!$K$8:$K$94,MATCH('Bill Impacts'!A78,'2015'!$B$8:$B$94,0)),"")</f>
        <v>32.384371999999999</v>
      </c>
      <c r="H78" s="4">
        <f>IF(INDEX('2015'!$O$8:$O$94,MATCH('Bill Impacts'!A78,'2015'!$B$8:$B$94,0))&lt;&gt;0,INDEX('2015'!$O$8:$O$94,MATCH('Bill Impacts'!A78,'2015'!$B$8:$B$94,0)),"")</f>
        <v>115.22341950000001</v>
      </c>
      <c r="J78" s="4">
        <f>'2016'!H81</f>
        <v>24.495000000000001</v>
      </c>
      <c r="K78" s="4">
        <f>'2016'!L81</f>
        <v>33.378945749999993</v>
      </c>
      <c r="L78" s="4" t="e">
        <f>'2016'!#REF!</f>
        <v>#REF!</v>
      </c>
      <c r="R78" s="4">
        <f t="shared" si="65"/>
        <v>2.134999999999998</v>
      </c>
      <c r="S78" s="38">
        <f t="shared" si="66"/>
        <v>9.9812996727442593E-2</v>
      </c>
      <c r="T78" s="4">
        <f t="shared" si="67"/>
        <v>2.8046840000000053</v>
      </c>
      <c r="U78" s="38">
        <f t="shared" si="68"/>
        <v>9.4817903420753025E-2</v>
      </c>
      <c r="V78" s="4">
        <f t="shared" si="69"/>
        <v>10.064684000000014</v>
      </c>
      <c r="W78" s="38">
        <f t="shared" si="70"/>
        <v>9.5709442987739424E-2</v>
      </c>
      <c r="Y78" s="43" t="str">
        <f>IF(INDEX('2015'!$C$8:$C$94,MATCH('Bill Impacts'!A78,'2015'!$B$8:$B$94,0))=0,"",INDEX('2015'!$C$8:$C$94,MATCH('Bill Impacts'!A78,'2015'!$B$8:$B$94,0)))</f>
        <v>IRM-DA</v>
      </c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37">
        <f>INDEX('2015'!$V$8:$V$94,MATCH('Bill Impacts'!A78,'2015'!$B$8:$B$94,0))</f>
        <v>29635</v>
      </c>
      <c r="AS78" s="49"/>
      <c r="AT78">
        <f t="shared" si="71"/>
        <v>7.8645560765272914E-3</v>
      </c>
      <c r="AV78" s="4">
        <f t="shared" si="72"/>
        <v>0.16822285447691876</v>
      </c>
      <c r="AW78" s="4">
        <f t="shared" si="73"/>
        <v>0.23263111500218137</v>
      </c>
      <c r="AX78" s="4">
        <f t="shared" si="74"/>
        <v>0.82702677227645116</v>
      </c>
      <c r="AZ78" s="4">
        <f t="shared" si="75"/>
        <v>0.18501368170030452</v>
      </c>
      <c r="BA78" s="4">
        <f t="shared" si="76"/>
        <v>0.25468870959712026</v>
      </c>
      <c r="BB78" s="4">
        <f t="shared" si="77"/>
        <v>0.9061810439869783</v>
      </c>
    </row>
    <row r="79" spans="1:54" x14ac:dyDescent="0.25">
      <c r="A79" t="s">
        <v>63</v>
      </c>
      <c r="B79" s="4">
        <f>IF(INDEX('2014'!$H$8:$H$98,MATCH('Bill Impacts'!A79,'2014'!$B$8:$B$98,0))&lt;&gt;0,INDEX('2014'!$H$8:$H$98,MATCH('Bill Impacts'!A79,'2014'!$B$8:$B$98,0)),"")</f>
        <v>26.245000000000001</v>
      </c>
      <c r="C79" s="4">
        <f>IF(INDEX('2014'!$L$8:$L$98,MATCH('Bill Impacts'!A79,'2014'!$B$8:$B$98,0))&lt;&gt;0,INDEX('2014'!$L$8:$L$98,MATCH('Bill Impacts'!A79,'2014'!$B$8:$B$98,0)),"")</f>
        <v>40.050519999999999</v>
      </c>
      <c r="D79" s="36">
        <f>IF(INDEX('2014'!$P$8:$P$98,MATCH('Bill Impacts'!A79,'2014'!$B$8:$B$98,0))&lt;&gt;0,INDEX('2014'!$P$8:$P$98,MATCH('Bill Impacts'!A79,'2014'!$B$8:$B$98,0)),"")</f>
        <v>118.84179499999999</v>
      </c>
      <c r="F79" s="4">
        <f>IF(INDEX('2015'!$G$8:$G$94,MATCH('Bill Impacts'!A79,'2015'!$B$8:$B$94,0))&lt;&gt;0,INDEX('2015'!$G$8:$G$94,MATCH('Bill Impacts'!A79,'2015'!$B$8:$B$94,0)),"")</f>
        <v>24.51</v>
      </c>
      <c r="G79" s="4">
        <f>IF(INDEX('2015'!$K$8:$K$94,MATCH('Bill Impacts'!A79,'2015'!$B$8:$B$94,0))&lt;&gt;0,INDEX('2015'!$K$8:$K$94,MATCH('Bill Impacts'!A79,'2015'!$B$8:$B$94,0)),"")</f>
        <v>38.579280000000004</v>
      </c>
      <c r="H79" s="4">
        <f>IF(INDEX('2015'!$O$8:$O$94,MATCH('Bill Impacts'!A79,'2015'!$B$8:$B$94,0))&lt;&gt;0,INDEX('2015'!$O$8:$O$94,MATCH('Bill Impacts'!A79,'2015'!$B$8:$B$94,0)),"")</f>
        <v>124.63055500000002</v>
      </c>
      <c r="J79" s="17">
        <f>'2015'!G79</f>
        <v>24.51</v>
      </c>
      <c r="K79" s="17">
        <f>'2015'!K79</f>
        <v>38.579280000000004</v>
      </c>
      <c r="L79" s="17">
        <f>'2015'!O79</f>
        <v>124.63055500000002</v>
      </c>
      <c r="R79" s="4">
        <f t="shared" si="65"/>
        <v>-1.7349999999999994</v>
      </c>
      <c r="S79" s="38">
        <f t="shared" si="66"/>
        <v>-6.6107830062869133E-2</v>
      </c>
      <c r="T79" s="4">
        <f t="shared" si="67"/>
        <v>-1.4712399999999946</v>
      </c>
      <c r="U79" s="38">
        <f t="shared" si="68"/>
        <v>-3.673460419490171E-2</v>
      </c>
      <c r="V79" s="4">
        <f t="shared" si="69"/>
        <v>5.7887600000000248</v>
      </c>
      <c r="W79" s="38">
        <f t="shared" si="70"/>
        <v>4.8709799443874324E-2</v>
      </c>
      <c r="Y79" s="43" t="str">
        <f>IF(INDEX('2015'!$C$8:$C$94,MATCH('Bill Impacts'!A79,'2015'!$B$8:$B$94,0))=0,"",INDEX('2015'!$C$8:$C$94,MATCH('Bill Impacts'!A79,'2015'!$B$8:$B$94,0)))</f>
        <v>AIRI</v>
      </c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37">
        <f>INDEX('2015'!$V$8:$V$94,MATCH('Bill Impacts'!A79,'2015'!$B$8:$B$94,0))</f>
        <v>3756</v>
      </c>
      <c r="AS79" s="49"/>
      <c r="AT79">
        <f t="shared" si="71"/>
        <v>9.9676978651717604E-4</v>
      </c>
      <c r="AV79" s="4">
        <f t="shared" si="72"/>
        <v>2.6160223047143286E-2</v>
      </c>
      <c r="AW79" s="4">
        <f t="shared" si="73"/>
        <v>3.9921148270301889E-2</v>
      </c>
      <c r="AX79" s="4">
        <f t="shared" si="74"/>
        <v>0.11845791063146799</v>
      </c>
      <c r="AZ79" s="4">
        <f t="shared" si="75"/>
        <v>2.4430827467535988E-2</v>
      </c>
      <c r="BA79" s="4">
        <f t="shared" si="76"/>
        <v>3.8454660689586362E-2</v>
      </c>
      <c r="BB79" s="4">
        <f t="shared" si="77"/>
        <v>0.12422797170086718</v>
      </c>
    </row>
    <row r="80" spans="1:54" x14ac:dyDescent="0.25">
      <c r="A80" t="s">
        <v>64</v>
      </c>
      <c r="B80" s="4">
        <f>IF(INDEX('2014'!$H$8:$H$98,MATCH('Bill Impacts'!A80,'2014'!$B$8:$B$98,0))&lt;&gt;0,INDEX('2014'!$H$8:$H$98,MATCH('Bill Impacts'!A80,'2014'!$B$8:$B$98,0)),"")</f>
        <v>24.684999999999999</v>
      </c>
      <c r="C80" s="4">
        <f>IF(INDEX('2014'!$L$8:$L$98,MATCH('Bill Impacts'!A80,'2014'!$B$8:$B$98,0))&lt;&gt;0,INDEX('2014'!$L$8:$L$98,MATCH('Bill Impacts'!A80,'2014'!$B$8:$B$98,0)),"")</f>
        <v>39.848119000000011</v>
      </c>
      <c r="D80" s="36">
        <f>IF(INDEX('2014'!$P$8:$P$98,MATCH('Bill Impacts'!A80,'2014'!$B$8:$B$98,0))&lt;&gt;0,INDEX('2014'!$P$8:$P$98,MATCH('Bill Impacts'!A80,'2014'!$B$8:$B$98,0)),"")</f>
        <v>119.30883650000001</v>
      </c>
      <c r="F80" s="4">
        <f>IF(INDEX('2015'!$G$8:$G$94,MATCH('Bill Impacts'!A80,'2015'!$B$8:$B$94,0))&lt;&gt;0,INDEX('2015'!$G$8:$G$94,MATCH('Bill Impacts'!A80,'2015'!$B$8:$B$94,0)),"")</f>
        <v>29.204999999999998</v>
      </c>
      <c r="G80" s="4">
        <f>IF(INDEX('2015'!$K$8:$K$94,MATCH('Bill Impacts'!A80,'2015'!$B$8:$B$94,0))&lt;&gt;0,INDEX('2015'!$K$8:$K$94,MATCH('Bill Impacts'!A80,'2015'!$B$8:$B$94,0)),"")</f>
        <v>46.728246000000013</v>
      </c>
      <c r="H80" s="4">
        <f>IF(INDEX('2015'!$O$8:$O$94,MATCH('Bill Impacts'!A80,'2015'!$B$8:$B$94,0))&lt;&gt;0,INDEX('2015'!$O$8:$O$94,MATCH('Bill Impacts'!A80,'2015'!$B$8:$B$94,0)),"")</f>
        <v>133.44896350000002</v>
      </c>
      <c r="J80" s="17">
        <f>'2015'!G80</f>
        <v>29.204999999999998</v>
      </c>
      <c r="K80" s="17">
        <f>'2015'!K80</f>
        <v>46.728246000000013</v>
      </c>
      <c r="L80" s="17">
        <f>'2015'!O80</f>
        <v>133.44896350000002</v>
      </c>
      <c r="R80" s="4">
        <f t="shared" si="65"/>
        <v>4.5199999999999996</v>
      </c>
      <c r="S80" s="38">
        <f t="shared" si="66"/>
        <v>0.18310715009114853</v>
      </c>
      <c r="T80" s="4">
        <f t="shared" si="67"/>
        <v>6.8801270000000017</v>
      </c>
      <c r="U80" s="38">
        <f t="shared" si="68"/>
        <v>0.1726587646458293</v>
      </c>
      <c r="V80" s="4">
        <f t="shared" si="69"/>
        <v>14.140127000000007</v>
      </c>
      <c r="W80" s="38">
        <f t="shared" si="70"/>
        <v>0.11851701361617084</v>
      </c>
      <c r="Y80" s="43" t="str">
        <f>IF(INDEX('2015'!$C$8:$C$94,MATCH('Bill Impacts'!A80,'2015'!$B$8:$B$94,0))=0,"",INDEX('2015'!$C$8:$C$94,MATCH('Bill Impacts'!A80,'2015'!$B$8:$B$94,0)))</f>
        <v>IRM-DA</v>
      </c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37">
        <f>INDEX('2015'!$V$8:$V$94,MATCH('Bill Impacts'!A80,'2015'!$B$8:$B$94,0))</f>
        <v>5040</v>
      </c>
      <c r="AS80" s="49"/>
      <c r="AT80">
        <f t="shared" si="71"/>
        <v>1.3375185633776802E-3</v>
      </c>
      <c r="AV80" s="4">
        <f t="shared" si="72"/>
        <v>3.3016645736978031E-2</v>
      </c>
      <c r="AW80" s="4">
        <f t="shared" si="73"/>
        <v>5.3297598878182861E-2</v>
      </c>
      <c r="AX80" s="4">
        <f t="shared" si="74"/>
        <v>0.15957778359374256</v>
      </c>
      <c r="AZ80" s="4">
        <f t="shared" si="75"/>
        <v>3.9062229643445148E-2</v>
      </c>
      <c r="BA80" s="4">
        <f t="shared" si="76"/>
        <v>6.2499896459078851E-2</v>
      </c>
      <c r="BB80" s="4">
        <f t="shared" si="77"/>
        <v>0.17849046594476051</v>
      </c>
    </row>
    <row r="81" spans="1:54" x14ac:dyDescent="0.25">
      <c r="A81" t="s">
        <v>65</v>
      </c>
      <c r="B81" s="4">
        <f>IF(INDEX('2014'!$H$8:$H$98,MATCH('Bill Impacts'!A81,'2014'!$B$8:$B$98,0))&lt;&gt;0,INDEX('2014'!$H$8:$H$98,MATCH('Bill Impacts'!A81,'2014'!$B$8:$B$98,0)),"")</f>
        <v>40.835000000000008</v>
      </c>
      <c r="C81" s="4">
        <f>IF(INDEX('2014'!$L$8:$L$98,MATCH('Bill Impacts'!A81,'2014'!$B$8:$B$98,0))&lt;&gt;0,INDEX('2014'!$L$8:$L$98,MATCH('Bill Impacts'!A81,'2014'!$B$8:$B$98,0)),"")</f>
        <v>54.083811499999996</v>
      </c>
      <c r="D81" s="36">
        <f>IF(INDEX('2014'!$P$8:$P$98,MATCH('Bill Impacts'!A81,'2014'!$B$8:$B$98,0))&lt;&gt;0,INDEX('2014'!$P$8:$P$98,MATCH('Bill Impacts'!A81,'2014'!$B$8:$B$98,0)),"")</f>
        <v>133.587279</v>
      </c>
      <c r="F81" s="4">
        <f>IF(INDEX('2015'!$G$8:$G$94,MATCH('Bill Impacts'!A81,'2015'!$B$8:$B$94,0))&lt;&gt;0,INDEX('2015'!$G$8:$G$94,MATCH('Bill Impacts'!A81,'2015'!$B$8:$B$94,0)),"")</f>
        <v>44.015000000000001</v>
      </c>
      <c r="G81" s="4">
        <f>IF(INDEX('2015'!$K$8:$K$94,MATCH('Bill Impacts'!A81,'2015'!$B$8:$B$94,0))&lt;&gt;0,INDEX('2015'!$K$8:$K$94,MATCH('Bill Impacts'!A81,'2015'!$B$8:$B$94,0)),"")</f>
        <v>57.506395999999981</v>
      </c>
      <c r="H81" s="4">
        <f>IF(INDEX('2015'!$O$8:$O$94,MATCH('Bill Impacts'!A81,'2015'!$B$8:$B$94,0))&lt;&gt;0,INDEX('2015'!$O$8:$O$94,MATCH('Bill Impacts'!A81,'2015'!$B$8:$B$94,0)),"")</f>
        <v>144.26986349999999</v>
      </c>
      <c r="J81" s="4">
        <f>'2016'!H84</f>
        <v>39.070000000000007</v>
      </c>
      <c r="K81" s="4">
        <f>'2016'!L84</f>
        <v>53.510599749999997</v>
      </c>
      <c r="L81" s="4" t="e">
        <f>'2016'!#REF!</f>
        <v>#REF!</v>
      </c>
      <c r="R81" s="4">
        <f t="shared" si="65"/>
        <v>3.1799999999999926</v>
      </c>
      <c r="S81" s="38">
        <f t="shared" si="66"/>
        <v>7.7874372474592723E-2</v>
      </c>
      <c r="T81" s="4">
        <f t="shared" si="67"/>
        <v>3.422584499999985</v>
      </c>
      <c r="U81" s="38">
        <f t="shared" si="68"/>
        <v>6.3282975165313227E-2</v>
      </c>
      <c r="V81" s="4">
        <f t="shared" si="69"/>
        <v>10.68258449999999</v>
      </c>
      <c r="W81" s="38">
        <f t="shared" si="70"/>
        <v>7.996707905099254E-2</v>
      </c>
      <c r="Y81" s="43" t="str">
        <f>IF(INDEX('2015'!$C$8:$C$94,MATCH('Bill Impacts'!A81,'2015'!$B$8:$B$94,0))=0,"",INDEX('2015'!$C$8:$C$94,MATCH('Bill Impacts'!A81,'2015'!$B$8:$B$94,0)))</f>
        <v>IRM-DA</v>
      </c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37">
        <f>INDEX('2015'!$V$8:$V$94,MATCH('Bill Impacts'!A81,'2015'!$B$8:$B$94,0))</f>
        <v>2335</v>
      </c>
      <c r="AS81" s="49"/>
      <c r="AT81">
        <f t="shared" si="71"/>
        <v>6.1966385823152448E-4</v>
      </c>
      <c r="AV81" s="4">
        <f t="shared" si="72"/>
        <v>2.5303973650884309E-2</v>
      </c>
      <c r="AW81" s="4">
        <f t="shared" si="73"/>
        <v>3.3513783301956493E-2</v>
      </c>
      <c r="AX81" s="4">
        <f t="shared" si="74"/>
        <v>8.27792087157911E-2</v>
      </c>
      <c r="AZ81" s="4">
        <f t="shared" si="75"/>
        <v>2.7274504720060551E-2</v>
      </c>
      <c r="BA81" s="4">
        <f t="shared" si="76"/>
        <v>3.5634635218349892E-2</v>
      </c>
      <c r="BB81" s="4">
        <f t="shared" si="77"/>
        <v>8.9398820242945376E-2</v>
      </c>
    </row>
    <row r="82" spans="1:54" x14ac:dyDescent="0.25">
      <c r="A82" t="s">
        <v>66</v>
      </c>
      <c r="B82" s="4">
        <f>IF(INDEX('2014'!$H$8:$H$98,MATCH('Bill Impacts'!A82,'2014'!$B$8:$B$98,0))&lt;&gt;0,INDEX('2014'!$H$8:$H$98,MATCH('Bill Impacts'!A82,'2014'!$B$8:$B$98,0)),"")</f>
        <v>21.465</v>
      </c>
      <c r="C82" s="4">
        <f>IF(INDEX('2014'!$L$8:$L$98,MATCH('Bill Impacts'!A82,'2014'!$B$8:$B$98,0))&lt;&gt;0,INDEX('2014'!$L$8:$L$98,MATCH('Bill Impacts'!A82,'2014'!$B$8:$B$98,0)),"")</f>
        <v>33.983324999999986</v>
      </c>
      <c r="D82" s="36">
        <f>IF(INDEX('2014'!$P$8:$P$98,MATCH('Bill Impacts'!A82,'2014'!$B$8:$B$98,0))&lt;&gt;0,INDEX('2014'!$P$8:$P$98,MATCH('Bill Impacts'!A82,'2014'!$B$8:$B$98,0)),"")</f>
        <v>113.25294999999998</v>
      </c>
      <c r="F82" s="4">
        <f>IF(INDEX('2015'!$G$8:$G$94,MATCH('Bill Impacts'!A82,'2015'!$B$8:$B$94,0))&lt;&gt;0,INDEX('2015'!$G$8:$G$94,MATCH('Bill Impacts'!A82,'2015'!$B$8:$B$94,0)),"")</f>
        <v>21.2575</v>
      </c>
      <c r="G82" s="4">
        <f>IF(INDEX('2015'!$K$8:$K$94,MATCH('Bill Impacts'!A82,'2015'!$B$8:$B$94,0))&lt;&gt;0,INDEX('2015'!$K$8:$K$94,MATCH('Bill Impacts'!A82,'2015'!$B$8:$B$94,0)),"")</f>
        <v>34.635093999999988</v>
      </c>
      <c r="H82" s="4">
        <f>IF(INDEX('2015'!$O$8:$O$94,MATCH('Bill Impacts'!A82,'2015'!$B$8:$B$94,0))&lt;&gt;0,INDEX('2015'!$O$8:$O$94,MATCH('Bill Impacts'!A82,'2015'!$B$8:$B$94,0)),"")</f>
        <v>121.18310149999999</v>
      </c>
      <c r="J82" s="4">
        <f>'2016'!H85</f>
        <v>25.294999999999998</v>
      </c>
      <c r="K82" s="4">
        <f>'2016'!L85</f>
        <v>38.867290249999989</v>
      </c>
      <c r="L82" s="4" t="e">
        <f>'2016'!#REF!</f>
        <v>#REF!</v>
      </c>
      <c r="R82" s="4">
        <f t="shared" si="65"/>
        <v>-0.20749999999999957</v>
      </c>
      <c r="S82" s="38">
        <f t="shared" si="66"/>
        <v>-9.6668996040064625E-3</v>
      </c>
      <c r="T82" s="4">
        <f t="shared" si="67"/>
        <v>0.6517690000000016</v>
      </c>
      <c r="U82" s="38">
        <f t="shared" si="68"/>
        <v>1.9179082682462711E-2</v>
      </c>
      <c r="V82" s="4">
        <f t="shared" si="69"/>
        <v>7.930151500000008</v>
      </c>
      <c r="W82" s="38">
        <f t="shared" si="70"/>
        <v>7.0021588841615134E-2</v>
      </c>
      <c r="Y82" s="43" t="str">
        <f>IF(INDEX('2015'!$C$8:$C$94,MATCH('Bill Impacts'!A82,'2015'!$B$8:$B$94,0))=0,"",INDEX('2015'!$C$8:$C$94,MATCH('Bill Impacts'!A82,'2015'!$B$8:$B$94,0)))</f>
        <v>COS</v>
      </c>
      <c r="Z82" s="43"/>
      <c r="AA82" s="91">
        <f>J82-F82</f>
        <v>4.0374999999999979</v>
      </c>
      <c r="AB82" s="92">
        <f>J82/F82-1</f>
        <v>0.18993296483594024</v>
      </c>
      <c r="AC82" s="91">
        <f>K82-G82</f>
        <v>4.2321962500000012</v>
      </c>
      <c r="AD82" s="102">
        <f>K82/G82-1</f>
        <v>0.12219387220372502</v>
      </c>
      <c r="AE82" s="43"/>
      <c r="AF82" s="93" t="e">
        <f>AC82/L82</f>
        <v>#REF!</v>
      </c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37">
        <f>INDEX('2015'!$V$8:$V$94,MATCH('Bill Impacts'!A82,'2015'!$B$8:$B$94,0))</f>
        <v>15046</v>
      </c>
      <c r="AS82" s="49"/>
      <c r="AT82">
        <f t="shared" si="71"/>
        <v>3.9929175207501144E-3</v>
      </c>
      <c r="AV82" s="4">
        <f t="shared" si="72"/>
        <v>8.5707974582901206E-2</v>
      </c>
      <c r="AW82" s="4">
        <f t="shared" si="73"/>
        <v>0.13569261380584532</v>
      </c>
      <c r="AX82" s="4">
        <f t="shared" si="74"/>
        <v>0.45220968833163661</v>
      </c>
      <c r="AZ82" s="4">
        <f t="shared" si="75"/>
        <v>8.4879444197345555E-2</v>
      </c>
      <c r="BA82" s="4">
        <f t="shared" si="76"/>
        <v>0.13829507366542712</v>
      </c>
      <c r="BB82" s="4">
        <f t="shared" si="77"/>
        <v>0.48387412919818945</v>
      </c>
    </row>
    <row r="83" spans="1:54" x14ac:dyDescent="0.25">
      <c r="A83" t="s">
        <v>67</v>
      </c>
      <c r="B83" s="4">
        <f>IF(INDEX('2014'!$H$8:$H$98,MATCH('Bill Impacts'!A83,'2014'!$B$8:$B$98,0))&lt;&gt;0,INDEX('2014'!$H$8:$H$98,MATCH('Bill Impacts'!A83,'2014'!$B$8:$B$98,0)),"")</f>
        <v>20.875</v>
      </c>
      <c r="C83" s="4">
        <f>IF(INDEX('2014'!$L$8:$L$98,MATCH('Bill Impacts'!A83,'2014'!$B$8:$B$98,0))&lt;&gt;0,INDEX('2014'!$L$8:$L$98,MATCH('Bill Impacts'!A83,'2014'!$B$8:$B$98,0)),"")</f>
        <v>32.321703999999997</v>
      </c>
      <c r="D83" s="36">
        <f>IF(INDEX('2014'!$P$8:$P$98,MATCH('Bill Impacts'!A83,'2014'!$B$8:$B$98,0))&lt;&gt;0,INDEX('2014'!$P$8:$P$98,MATCH('Bill Impacts'!A83,'2014'!$B$8:$B$98,0)),"")</f>
        <v>111.587909</v>
      </c>
      <c r="F83" s="4">
        <f>IF(INDEX('2015'!$G$8:$G$94,MATCH('Bill Impacts'!A83,'2015'!$B$8:$B$94,0))&lt;&gt;0,INDEX('2015'!$G$8:$G$94,MATCH('Bill Impacts'!A83,'2015'!$B$8:$B$94,0)),"")</f>
        <v>22.02</v>
      </c>
      <c r="G83" s="4">
        <f>IF(INDEX('2015'!$K$8:$K$94,MATCH('Bill Impacts'!A83,'2015'!$B$8:$B$94,0))&lt;&gt;0,INDEX('2015'!$K$8:$K$94,MATCH('Bill Impacts'!A83,'2015'!$B$8:$B$94,0)),"")</f>
        <v>33.327171</v>
      </c>
      <c r="H83" s="4">
        <f>IF(INDEX('2015'!$O$8:$O$94,MATCH('Bill Impacts'!A83,'2015'!$B$8:$B$94,0))&lt;&gt;0,INDEX('2015'!$O$8:$O$94,MATCH('Bill Impacts'!A83,'2015'!$B$8:$B$94,0)),"")</f>
        <v>119.853376</v>
      </c>
      <c r="J83" s="4">
        <f>'2016'!H86</f>
        <v>22.555</v>
      </c>
      <c r="K83" s="4">
        <f>'2016'!L86</f>
        <v>33.711608499999997</v>
      </c>
      <c r="L83" s="4" t="e">
        <f>'2016'!#REF!</f>
        <v>#REF!</v>
      </c>
      <c r="R83" s="4">
        <f t="shared" si="65"/>
        <v>1.1449999999999996</v>
      </c>
      <c r="S83" s="38">
        <f t="shared" si="66"/>
        <v>5.4850299401197677E-2</v>
      </c>
      <c r="T83" s="4">
        <f t="shared" si="67"/>
        <v>1.005467000000003</v>
      </c>
      <c r="U83" s="38">
        <f t="shared" si="68"/>
        <v>3.1108106181530593E-2</v>
      </c>
      <c r="V83" s="4">
        <f t="shared" si="69"/>
        <v>8.265467000000001</v>
      </c>
      <c r="W83" s="38">
        <f t="shared" si="70"/>
        <v>7.407134943267013E-2</v>
      </c>
      <c r="Y83" s="43" t="str">
        <f>IF(INDEX('2015'!$C$8:$C$94,MATCH('Bill Impacts'!A83,'2015'!$B$8:$B$94,0))=0,"",INDEX('2015'!$C$8:$C$94,MATCH('Bill Impacts'!A83,'2015'!$B$8:$B$94,0)))</f>
        <v>IRM-DA</v>
      </c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37">
        <f>INDEX('2015'!$V$8:$V$94,MATCH('Bill Impacts'!A83,'2015'!$B$8:$B$94,0))</f>
        <v>45319</v>
      </c>
      <c r="AS83" s="49"/>
      <c r="AT83">
        <f t="shared" si="71"/>
        <v>1.2026786463038312E-2</v>
      </c>
      <c r="AV83" s="4">
        <f t="shared" si="72"/>
        <v>0.25105916741592477</v>
      </c>
      <c r="AW83" s="4">
        <f t="shared" si="73"/>
        <v>0.38872623212953122</v>
      </c>
      <c r="AX83" s="4">
        <f t="shared" si="74"/>
        <v>1.3420439533999509</v>
      </c>
      <c r="AZ83" s="4">
        <f t="shared" si="75"/>
        <v>0.26482983791610365</v>
      </c>
      <c r="BA83" s="4">
        <f t="shared" si="76"/>
        <v>0.40081876903416302</v>
      </c>
      <c r="BB83" s="4">
        <f t="shared" si="77"/>
        <v>1.4414509600262408</v>
      </c>
    </row>
    <row r="84" spans="1:54" x14ac:dyDescent="0.25">
      <c r="A84" t="s">
        <v>68</v>
      </c>
      <c r="B84" s="4">
        <f>IF(INDEX('2014'!$H$8:$H$98,MATCH('Bill Impacts'!A84,'2014'!$B$8:$B$98,0))&lt;&gt;0,INDEX('2014'!$H$8:$H$98,MATCH('Bill Impacts'!A84,'2014'!$B$8:$B$98,0)),"")</f>
        <v>27.870000000000005</v>
      </c>
      <c r="C84" s="4">
        <f>IF(INDEX('2014'!$L$8:$L$98,MATCH('Bill Impacts'!A84,'2014'!$B$8:$B$98,0))&lt;&gt;0,INDEX('2014'!$L$8:$L$98,MATCH('Bill Impacts'!A84,'2014'!$B$8:$B$98,0)),"")</f>
        <v>40.021371000000016</v>
      </c>
      <c r="D84" s="36">
        <f>IF(INDEX('2014'!$P$8:$P$98,MATCH('Bill Impacts'!A84,'2014'!$B$8:$B$98,0))&lt;&gt;0,INDEX('2014'!$P$8:$P$98,MATCH('Bill Impacts'!A84,'2014'!$B$8:$B$98,0)),"")</f>
        <v>119.28372850000002</v>
      </c>
      <c r="F84" s="4">
        <f>IF(INDEX('2015'!$G$8:$G$94,MATCH('Bill Impacts'!A84,'2015'!$B$8:$B$94,0))&lt;&gt;0,INDEX('2015'!$G$8:$G$94,MATCH('Bill Impacts'!A84,'2015'!$B$8:$B$94,0)),"")</f>
        <v>27.689999999999998</v>
      </c>
      <c r="G84" s="4">
        <f>IF(INDEX('2015'!$K$8:$K$94,MATCH('Bill Impacts'!A84,'2015'!$B$8:$B$94,0))&lt;&gt;0,INDEX('2015'!$K$8:$K$94,MATCH('Bill Impacts'!A84,'2015'!$B$8:$B$94,0)),"")</f>
        <v>40.315621500000013</v>
      </c>
      <c r="H84" s="4">
        <f>IF(INDEX('2015'!$O$8:$O$94,MATCH('Bill Impacts'!A84,'2015'!$B$8:$B$94,0))&lt;&gt;0,INDEX('2015'!$O$8:$O$94,MATCH('Bill Impacts'!A84,'2015'!$B$8:$B$94,0)),"")</f>
        <v>126.83797900000002</v>
      </c>
      <c r="J84" s="4">
        <f>'2016'!H87</f>
        <v>30.414999999999999</v>
      </c>
      <c r="K84" s="4">
        <f>'2016'!L87</f>
        <v>42.884152750000013</v>
      </c>
      <c r="L84" s="4" t="e">
        <f>'2016'!#REF!</f>
        <v>#REF!</v>
      </c>
      <c r="R84" s="4">
        <f t="shared" si="65"/>
        <v>-0.18000000000000682</v>
      </c>
      <c r="S84" s="38">
        <f t="shared" si="66"/>
        <v>-6.4585575888054247E-3</v>
      </c>
      <c r="T84" s="4">
        <f t="shared" si="67"/>
        <v>0.29425049999999686</v>
      </c>
      <c r="U84" s="38">
        <f t="shared" si="68"/>
        <v>7.3523343315748946E-3</v>
      </c>
      <c r="V84" s="4">
        <f t="shared" si="69"/>
        <v>7.5542504999999949</v>
      </c>
      <c r="W84" s="38">
        <f t="shared" si="70"/>
        <v>6.3330100383305776E-2</v>
      </c>
      <c r="Y84" s="43" t="str">
        <f>IF(INDEX('2015'!$C$8:$C$94,MATCH('Bill Impacts'!A84,'2015'!$B$8:$B$94,0))=0,"",INDEX('2015'!$C$8:$C$94,MATCH('Bill Impacts'!A84,'2015'!$B$8:$B$94,0)))</f>
        <v>IRM-DA</v>
      </c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37">
        <f>INDEX('2015'!$V$8:$V$94,MATCH('Bill Impacts'!A84,'2015'!$B$8:$B$94,0))</f>
        <v>6191</v>
      </c>
      <c r="AS84" s="49"/>
      <c r="AT84">
        <f t="shared" si="71"/>
        <v>1.6429717114823845E-3</v>
      </c>
      <c r="AV84" s="4">
        <f t="shared" si="72"/>
        <v>4.5789621599014063E-2</v>
      </c>
      <c r="AW84" s="4">
        <f t="shared" si="73"/>
        <v>6.5753980407741497E-2</v>
      </c>
      <c r="AX84" s="4">
        <f t="shared" si="74"/>
        <v>0.19597979156564513</v>
      </c>
      <c r="AZ84" s="4">
        <f t="shared" si="75"/>
        <v>4.549388669094722E-2</v>
      </c>
      <c r="BA84" s="4">
        <f t="shared" si="76"/>
        <v>6.6237425655331042E-2</v>
      </c>
      <c r="BB84" s="4">
        <f t="shared" si="77"/>
        <v>0.20839121143859679</v>
      </c>
    </row>
    <row r="85" spans="1:54" x14ac:dyDescent="0.25">
      <c r="A85" s="12" t="s">
        <v>69</v>
      </c>
      <c r="B85" s="4">
        <f>IF(INDEX('2014'!$H$8:$H$98,MATCH('Bill Impacts'!A85,'2014'!$B$8:$B$98,0))&lt;&gt;0,INDEX('2014'!$H$8:$H$98,MATCH('Bill Impacts'!A85,'2014'!$B$8:$B$98,0)),"")</f>
        <v>32.96</v>
      </c>
      <c r="C85" s="4">
        <f>IF(INDEX('2014'!$L$8:$L$98,MATCH('Bill Impacts'!A85,'2014'!$B$8:$B$98,0))&lt;&gt;0,INDEX('2014'!$L$8:$L$98,MATCH('Bill Impacts'!A85,'2014'!$B$8:$B$98,0)),"")</f>
        <v>46.197584000000006</v>
      </c>
      <c r="D85" s="36">
        <f>IF(INDEX('2014'!$P$8:$P$98,MATCH('Bill Impacts'!A85,'2014'!$B$8:$B$98,0))&lt;&gt;0,INDEX('2014'!$P$8:$P$98,MATCH('Bill Impacts'!A85,'2014'!$B$8:$B$98,0)),"")</f>
        <v>125.47832400000001</v>
      </c>
      <c r="F85" s="4">
        <f>IF(INDEX('2015'!$G$8:$G$94,MATCH('Bill Impacts'!A85,'2015'!$B$8:$B$94,0))&lt;&gt;0,INDEX('2015'!$G$8:$G$94,MATCH('Bill Impacts'!A85,'2015'!$B$8:$B$94,0)),"")</f>
        <v>31.024999999999999</v>
      </c>
      <c r="G85" s="4">
        <f>IF(INDEX('2015'!$K$8:$K$94,MATCH('Bill Impacts'!A85,'2015'!$B$8:$B$94,0))&lt;&gt;0,INDEX('2015'!$K$8:$K$94,MATCH('Bill Impacts'!A85,'2015'!$B$8:$B$94,0)),"")</f>
        <v>44.535560000000004</v>
      </c>
      <c r="H85" s="4">
        <f>IF(INDEX('2015'!$O$8:$O$94,MATCH('Bill Impacts'!A85,'2015'!$B$8:$B$94,0))&lt;&gt;0,INDEX('2015'!$O$8:$O$94,MATCH('Bill Impacts'!A85,'2015'!$B$8:$B$94,0)),"")</f>
        <v>131.0763</v>
      </c>
      <c r="J85" s="22">
        <f>'2016'!H88</f>
        <v>37.567500000000003</v>
      </c>
      <c r="K85" s="22">
        <f>'2016'!L88</f>
        <v>53.938098000000011</v>
      </c>
      <c r="L85" s="22" t="e">
        <f>'2016'!#REF!</f>
        <v>#REF!</v>
      </c>
      <c r="Y85" s="43" t="str">
        <f>IF(INDEX('2015'!$C$8:$C$94,MATCH('Bill Impacts'!A85,'2015'!$B$8:$B$94,0))=0,"",INDEX('2015'!$C$8:$C$94,MATCH('Bill Impacts'!A85,'2015'!$B$8:$B$94,0)))</f>
        <v>CIR</v>
      </c>
      <c r="Z85" s="43"/>
      <c r="AA85" s="105">
        <f>J85-F85</f>
        <v>6.542500000000004</v>
      </c>
      <c r="AB85" s="106">
        <f>J85/F85-1</f>
        <v>0.21087832393231287</v>
      </c>
      <c r="AC85" s="105">
        <f>K85-G85</f>
        <v>9.4025380000000069</v>
      </c>
      <c r="AD85" s="102">
        <f>K85/G85-1</f>
        <v>0.21112427911538578</v>
      </c>
      <c r="AE85" s="43"/>
      <c r="AF85" s="93" t="e">
        <f>AC85/L85</f>
        <v>#REF!</v>
      </c>
      <c r="AG85" s="43"/>
      <c r="AH85" s="43" t="e">
        <f>AA85/L85</f>
        <v>#REF!</v>
      </c>
      <c r="AI85" s="43"/>
      <c r="AJ85" s="43"/>
      <c r="AK85" s="43"/>
      <c r="AL85" s="43"/>
      <c r="AM85" s="43"/>
      <c r="AN85" s="43"/>
      <c r="AO85" s="43"/>
      <c r="AP85" s="43"/>
      <c r="AQ85" s="43"/>
      <c r="AR85" s="37">
        <f>INDEX('2015'!$V$8:$V$94,MATCH('Bill Impacts'!A85,'2015'!$B$8:$B$94,0))</f>
        <v>661959</v>
      </c>
      <c r="AS85" s="49"/>
      <c r="AV85" s="17"/>
      <c r="AW85" s="17"/>
      <c r="AX85" s="17"/>
      <c r="AZ85" s="17"/>
      <c r="BA85" s="17"/>
      <c r="BB85" s="17"/>
    </row>
    <row r="86" spans="1:54" x14ac:dyDescent="0.25">
      <c r="A86" t="s">
        <v>113</v>
      </c>
      <c r="B86" s="4">
        <f>IF(INDEX('2014'!$H$8:$H$98,MATCH('Bill Impacts'!A86,'2014'!$B$8:$B$98,0))&lt;&gt;0,INDEX('2014'!$H$8:$H$98,MATCH('Bill Impacts'!A86,'2014'!$B$8:$B$98,0)),"")</f>
        <v>27.734999999999999</v>
      </c>
      <c r="C86" s="4">
        <f>IF(INDEX('2014'!$L$8:$L$98,MATCH('Bill Impacts'!A86,'2014'!$B$8:$B$98,0))&lt;&gt;0,INDEX('2014'!$L$8:$L$98,MATCH('Bill Impacts'!A86,'2014'!$B$8:$B$98,0)),"")</f>
        <v>40.118153999999997</v>
      </c>
      <c r="D86" s="36">
        <f>IF(INDEX('2014'!$P$8:$P$98,MATCH('Bill Impacts'!A86,'2014'!$B$8:$B$98,0))&lt;&gt;0,INDEX('2014'!$P$8:$P$98,MATCH('Bill Impacts'!A86,'2014'!$B$8:$B$98,0)),"")</f>
        <v>119.444209</v>
      </c>
      <c r="F86" s="4">
        <f>IF(INDEX('2015'!$G$8:$G$94,MATCH('Bill Impacts'!A86,'2015'!$B$8:$B$94,0))&lt;&gt;0,INDEX('2015'!$G$8:$G$94,MATCH('Bill Impacts'!A86,'2015'!$B$8:$B$94,0)),"")</f>
        <v>28.19</v>
      </c>
      <c r="G86" s="4">
        <f>IF(INDEX('2015'!$K$8:$K$94,MATCH('Bill Impacts'!A86,'2015'!$B$8:$B$94,0))&lt;&gt;0,INDEX('2015'!$K$8:$K$94,MATCH('Bill Impacts'!A86,'2015'!$B$8:$B$94,0)),"")</f>
        <v>40.923085999999998</v>
      </c>
      <c r="H86" s="4">
        <f>IF(INDEX('2015'!$O$8:$O$94,MATCH('Bill Impacts'!A86,'2015'!$B$8:$B$94,0))&lt;&gt;0,INDEX('2015'!$O$8:$O$94,MATCH('Bill Impacts'!A86,'2015'!$B$8:$B$94,0)),"")</f>
        <v>127.509141</v>
      </c>
      <c r="J86" s="22">
        <f>'2016'!H89</f>
        <v>27.064999999999998</v>
      </c>
      <c r="K86" s="22">
        <f>'2016'!L89</f>
        <v>40.132473499999996</v>
      </c>
      <c r="L86" s="22" t="e">
        <f>'2016'!#REF!</f>
        <v>#REF!</v>
      </c>
      <c r="R86" s="4">
        <f>F86-B86</f>
        <v>0.45500000000000185</v>
      </c>
      <c r="S86" s="38">
        <f>F86/B86-1</f>
        <v>1.6405264106724493E-2</v>
      </c>
      <c r="T86" s="4">
        <f>G86-C86</f>
        <v>0.80493200000000087</v>
      </c>
      <c r="U86" s="38">
        <f>G86/C86-1</f>
        <v>2.0064033853601559E-2</v>
      </c>
      <c r="V86" s="4">
        <f>H86-D86</f>
        <v>8.0649319999999989</v>
      </c>
      <c r="W86" s="38">
        <f>H86/D86-1</f>
        <v>6.7520494024118083E-2</v>
      </c>
      <c r="Y86" s="43" t="str">
        <f>IF(INDEX('2015'!$C$8:$C$94,MATCH('Bill Impacts'!A86,'2015'!$B$8:$B$94,0))=0,"",INDEX('2015'!$C$8:$C$94,MATCH('Bill Impacts'!A86,'2015'!$B$8:$B$94,0)))</f>
        <v>IRM-DA</v>
      </c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37">
        <f>INDEX('2015'!$V$8:$V$94,MATCH('Bill Impacts'!A86,'2015'!$B$8:$B$94,0))</f>
        <v>107574</v>
      </c>
      <c r="AS86" s="49"/>
      <c r="AT86">
        <f>AR86/$AR$99</f>
        <v>2.8548059908093368E-2</v>
      </c>
      <c r="AV86" s="4">
        <f t="shared" ref="AV86:AV95" si="78">$AT86*B86</f>
        <v>0.7917804415509696</v>
      </c>
      <c r="AW86" s="4">
        <f t="shared" ref="AW86:AW95" si="79">$AT86*C86</f>
        <v>1.1452954637941155</v>
      </c>
      <c r="AX86" s="4">
        <f t="shared" ref="AX86:AX95" si="80">$AT86*D86</f>
        <v>3.4099004342068251</v>
      </c>
      <c r="AZ86" s="4">
        <f t="shared" ref="AZ86:AZ95" si="81">$AT86*F86</f>
        <v>0.80476980880915205</v>
      </c>
      <c r="BA86" s="4">
        <f t="shared" ref="BA86:BA95" si="82">$AT86*G86</f>
        <v>1.168274710752057</v>
      </c>
      <c r="BB86" s="4">
        <f t="shared" ref="BB86:BB95" si="83">$AT86*H86</f>
        <v>3.6401385960975245</v>
      </c>
    </row>
    <row r="87" spans="1:54" x14ac:dyDescent="0.25">
      <c r="A87" t="s">
        <v>114</v>
      </c>
      <c r="B87" s="4">
        <f>IF(INDEX('2014'!$H$8:$H$98,MATCH('Bill Impacts'!A87,'2014'!$B$8:$B$98,0))&lt;&gt;0,INDEX('2014'!$H$8:$H$98,MATCH('Bill Impacts'!A87,'2014'!$B$8:$B$98,0)),"")</f>
        <v>30.66</v>
      </c>
      <c r="C87" s="4">
        <f>IF(INDEX('2014'!$L$8:$L$98,MATCH('Bill Impacts'!A87,'2014'!$B$8:$B$98,0))&lt;&gt;0,INDEX('2014'!$L$8:$L$98,MATCH('Bill Impacts'!A87,'2014'!$B$8:$B$98,0)),"")</f>
        <v>43.043153999999994</v>
      </c>
      <c r="D87" s="36">
        <f>IF(INDEX('2014'!$P$8:$P$98,MATCH('Bill Impacts'!A87,'2014'!$B$8:$B$98,0))&lt;&gt;0,INDEX('2014'!$P$8:$P$98,MATCH('Bill Impacts'!A87,'2014'!$B$8:$B$98,0)),"")</f>
        <v>122.36920899999998</v>
      </c>
      <c r="F87" s="4"/>
      <c r="G87" s="4"/>
      <c r="H87" s="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37"/>
      <c r="AS87" s="49"/>
      <c r="AV87" s="4">
        <f t="shared" si="78"/>
        <v>0</v>
      </c>
      <c r="AW87" s="4">
        <f t="shared" si="79"/>
        <v>0</v>
      </c>
      <c r="AX87" s="4">
        <f t="shared" si="80"/>
        <v>0</v>
      </c>
      <c r="AZ87" s="4">
        <f t="shared" si="81"/>
        <v>0</v>
      </c>
      <c r="BA87" s="4">
        <f t="shared" si="82"/>
        <v>0</v>
      </c>
      <c r="BB87" s="4">
        <f t="shared" si="83"/>
        <v>0</v>
      </c>
    </row>
    <row r="88" spans="1:54" x14ac:dyDescent="0.25">
      <c r="A88" t="s">
        <v>70</v>
      </c>
      <c r="B88" s="4">
        <f>IF(INDEX('2014'!$H$8:$H$98,MATCH('Bill Impacts'!A88,'2014'!$B$8:$B$98,0))&lt;&gt;0,INDEX('2014'!$H$8:$H$98,MATCH('Bill Impacts'!A88,'2014'!$B$8:$B$98,0)),"")</f>
        <v>8.7299999999999986</v>
      </c>
      <c r="C88" s="4">
        <f>IF(INDEX('2014'!$L$8:$L$98,MATCH('Bill Impacts'!A88,'2014'!$B$8:$B$98,0))&lt;&gt;0,INDEX('2014'!$L$8:$L$98,MATCH('Bill Impacts'!A88,'2014'!$B$8:$B$98,0)),"")</f>
        <v>24.643470000000001</v>
      </c>
      <c r="D88" s="36">
        <f>IF(INDEX('2014'!$P$8:$P$98,MATCH('Bill Impacts'!A88,'2014'!$B$8:$B$98,0))&lt;&gt;0,INDEX('2014'!$P$8:$P$98,MATCH('Bill Impacts'!A88,'2014'!$B$8:$B$98,0)),"")</f>
        <v>104.109745</v>
      </c>
      <c r="F88" s="4">
        <f>IF(INDEX('2015'!$G$8:$G$94,MATCH('Bill Impacts'!A88,'2015'!$B$8:$B$94,0))&lt;&gt;0,INDEX('2015'!$G$8:$G$94,MATCH('Bill Impacts'!A88,'2015'!$B$8:$B$94,0)),"")</f>
        <v>20.459999999999997</v>
      </c>
      <c r="G88" s="4">
        <f>IF(INDEX('2015'!$K$8:$K$94,MATCH('Bill Impacts'!A88,'2015'!$B$8:$B$94,0))&lt;&gt;0,INDEX('2015'!$K$8:$K$94,MATCH('Bill Impacts'!A88,'2015'!$B$8:$B$94,0)),"")</f>
        <v>35.015729999999998</v>
      </c>
      <c r="H88" s="4">
        <f>IF(INDEX('2015'!$O$8:$O$94,MATCH('Bill Impacts'!A88,'2015'!$B$8:$B$94,0))&lt;&gt;0,INDEX('2015'!$O$8:$O$94,MATCH('Bill Impacts'!A88,'2015'!$B$8:$B$94,0)),"")</f>
        <v>121.74200500000001</v>
      </c>
      <c r="J88" s="22">
        <f>'2016'!H90</f>
        <v>25.6</v>
      </c>
      <c r="K88" s="22">
        <f>'2016'!L90</f>
        <v>42.345968500000012</v>
      </c>
      <c r="L88" s="22" t="e">
        <f>'2016'!#REF!</f>
        <v>#REF!</v>
      </c>
      <c r="R88" s="4">
        <f t="shared" ref="R88:R95" si="84">F88-B88</f>
        <v>11.729999999999999</v>
      </c>
      <c r="S88" s="38">
        <f t="shared" ref="S88:S95" si="85">F88/B88-1</f>
        <v>1.3436426116838489</v>
      </c>
      <c r="T88" s="4">
        <f t="shared" ref="T88:T95" si="86">G88-C88</f>
        <v>10.372259999999997</v>
      </c>
      <c r="U88" s="38">
        <f t="shared" ref="U88:U95" si="87">G88/C88-1</f>
        <v>0.42089283692596857</v>
      </c>
      <c r="V88" s="4">
        <f t="shared" ref="V88:V95" si="88">H88-D88</f>
        <v>17.632260000000002</v>
      </c>
      <c r="W88" s="38">
        <f t="shared" ref="W88:W95" si="89">H88/D88-1</f>
        <v>0.16936224365932318</v>
      </c>
      <c r="Y88" s="43" t="str">
        <f>IF(INDEX('2015'!$C$8:$C$94,MATCH('Bill Impacts'!A88,'2015'!$B$8:$B$94,0))=0,"",INDEX('2015'!$C$8:$C$94,MATCH('Bill Impacts'!A88,'2015'!$B$8:$B$94,0)))</f>
        <v>IRM-DA</v>
      </c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37">
        <f>INDEX('2015'!$V$8:$V$94,MATCH('Bill Impacts'!A88,'2015'!$B$8:$B$94,0))</f>
        <v>12165</v>
      </c>
      <c r="AS88" s="49"/>
      <c r="AT88">
        <f t="shared" ref="AT88:AT95" si="90">AR88/$AR$99</f>
        <v>3.2283558181526745E-3</v>
      </c>
      <c r="AV88" s="4">
        <f t="shared" si="78"/>
        <v>2.8183546292472845E-2</v>
      </c>
      <c r="AW88" s="4">
        <f t="shared" si="79"/>
        <v>7.9557889753970892E-2</v>
      </c>
      <c r="AX88" s="4">
        <f t="shared" si="80"/>
        <v>0.33610330099714131</v>
      </c>
      <c r="AZ88" s="4">
        <f t="shared" si="81"/>
        <v>6.6052160039403715E-2</v>
      </c>
      <c r="BA88" s="4">
        <f t="shared" si="82"/>
        <v>0.11304323567236314</v>
      </c>
      <c r="BB88" s="4">
        <f t="shared" si="83"/>
        <v>0.39302651015532203</v>
      </c>
    </row>
    <row r="89" spans="1:54" x14ac:dyDescent="0.25">
      <c r="A89" t="s">
        <v>71</v>
      </c>
      <c r="B89" s="4">
        <f>IF(INDEX('2014'!$H$8:$H$98,MATCH('Bill Impacts'!A89,'2014'!$B$8:$B$98,0))&lt;&gt;0,INDEX('2014'!$H$8:$H$98,MATCH('Bill Impacts'!A89,'2014'!$B$8:$B$98,0)),"")</f>
        <v>31.099999999999994</v>
      </c>
      <c r="C89" s="4">
        <f>IF(INDEX('2014'!$L$8:$L$98,MATCH('Bill Impacts'!A89,'2014'!$B$8:$B$98,0))&lt;&gt;0,INDEX('2014'!$L$8:$L$98,MATCH('Bill Impacts'!A89,'2014'!$B$8:$B$98,0)),"")</f>
        <v>41.548477999999989</v>
      </c>
      <c r="D89" s="36">
        <f>IF(INDEX('2014'!$P$8:$P$98,MATCH('Bill Impacts'!A89,'2014'!$B$8:$B$98,0))&lt;&gt;0,INDEX('2014'!$P$8:$P$98,MATCH('Bill Impacts'!A89,'2014'!$B$8:$B$98,0)),"")</f>
        <v>120.84118799999999</v>
      </c>
      <c r="F89" s="4">
        <f>IF(INDEX('2015'!$G$8:$G$94,MATCH('Bill Impacts'!A89,'2015'!$B$8:$B$94,0))&lt;&gt;0,INDEX('2015'!$G$8:$G$94,MATCH('Bill Impacts'!A89,'2015'!$B$8:$B$94,0)),"")</f>
        <v>31.449999999999996</v>
      </c>
      <c r="G89" s="4">
        <f>IF(INDEX('2015'!$K$8:$K$94,MATCH('Bill Impacts'!A89,'2015'!$B$8:$B$94,0))&lt;&gt;0,INDEX('2015'!$K$8:$K$94,MATCH('Bill Impacts'!A89,'2015'!$B$8:$B$94,0)),"")</f>
        <v>42.269811999999988</v>
      </c>
      <c r="H89" s="4">
        <f>IF(INDEX('2015'!$O$8:$O$94,MATCH('Bill Impacts'!A89,'2015'!$B$8:$B$94,0))&lt;&gt;0,INDEX('2015'!$O$8:$O$94,MATCH('Bill Impacts'!A89,'2015'!$B$8:$B$94,0)),"")</f>
        <v>128.82252199999999</v>
      </c>
      <c r="J89" s="4">
        <f>'2016'!H91</f>
        <v>31.805</v>
      </c>
      <c r="K89" s="4">
        <f>'2016'!L91</f>
        <v>42.367593499999998</v>
      </c>
      <c r="L89" s="4" t="e">
        <f>'2016'!#REF!</f>
        <v>#REF!</v>
      </c>
      <c r="R89" s="4">
        <f t="shared" si="84"/>
        <v>0.35000000000000142</v>
      </c>
      <c r="S89" s="38">
        <f t="shared" si="85"/>
        <v>1.12540192926045E-2</v>
      </c>
      <c r="T89" s="4">
        <f t="shared" si="86"/>
        <v>0.72133399999999881</v>
      </c>
      <c r="U89" s="38">
        <f t="shared" si="87"/>
        <v>1.7361261704941455E-2</v>
      </c>
      <c r="V89" s="4">
        <f t="shared" si="88"/>
        <v>7.9813340000000039</v>
      </c>
      <c r="W89" s="38">
        <f t="shared" si="89"/>
        <v>6.6048125908858113E-2</v>
      </c>
      <c r="Y89" s="43" t="str">
        <f>IF(INDEX('2015'!$C$8:$C$94,MATCH('Bill Impacts'!A89,'2015'!$B$8:$B$94,0))=0,"",INDEX('2015'!$C$8:$C$94,MATCH('Bill Impacts'!A89,'2015'!$B$8:$B$94,0)))</f>
        <v>IRM</v>
      </c>
      <c r="Z89" s="43"/>
      <c r="AA89" s="91">
        <f>J89-F89</f>
        <v>0.35500000000000398</v>
      </c>
      <c r="AB89" s="92">
        <f>J89/F89-1</f>
        <v>1.1287758346582022E-2</v>
      </c>
      <c r="AC89" s="91">
        <f>K89-G89</f>
        <v>9.7781500000010624E-2</v>
      </c>
      <c r="AD89" s="102">
        <f>K89/G89-1</f>
        <v>2.3132702837669328E-3</v>
      </c>
      <c r="AE89" s="43"/>
      <c r="AF89" s="93" t="e">
        <f>AC89/L89</f>
        <v>#REF!</v>
      </c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37">
        <f>INDEX('2015'!$V$8:$V$94,MATCH('Bill Impacts'!A89,'2015'!$B$8:$B$94,0))</f>
        <v>48409</v>
      </c>
      <c r="AS89" s="49"/>
      <c r="AT89">
        <f t="shared" si="90"/>
        <v>1.2846812725109151E-2</v>
      </c>
      <c r="AV89" s="4">
        <f t="shared" si="78"/>
        <v>0.3995358757508945</v>
      </c>
      <c r="AW89" s="4">
        <f t="shared" si="79"/>
        <v>0.53376551587931742</v>
      </c>
      <c r="AX89" s="4">
        <f t="shared" si="80"/>
        <v>1.5524241117157072</v>
      </c>
      <c r="AZ89" s="4">
        <f t="shared" si="81"/>
        <v>0.40403226020468275</v>
      </c>
      <c r="BA89" s="4">
        <f t="shared" si="82"/>
        <v>0.54303235868957134</v>
      </c>
      <c r="BB89" s="4">
        <f t="shared" si="83"/>
        <v>1.6549588149102534</v>
      </c>
    </row>
    <row r="90" spans="1:54" x14ac:dyDescent="0.25">
      <c r="A90" t="s">
        <v>72</v>
      </c>
      <c r="B90" s="4">
        <f>IF(INDEX('2014'!$H$8:$H$98,MATCH('Bill Impacts'!A90,'2014'!$B$8:$B$98,0))&lt;&gt;0,INDEX('2014'!$H$8:$H$98,MATCH('Bill Impacts'!A90,'2014'!$B$8:$B$98,0)),"")</f>
        <v>25.465</v>
      </c>
      <c r="C90" s="4">
        <f>IF(INDEX('2014'!$L$8:$L$98,MATCH('Bill Impacts'!A90,'2014'!$B$8:$B$98,0))&lt;&gt;0,INDEX('2014'!$L$8:$L$98,MATCH('Bill Impacts'!A90,'2014'!$B$8:$B$98,0)),"")</f>
        <v>40.528713999999994</v>
      </c>
      <c r="D90" s="36">
        <f>IF(INDEX('2014'!$P$8:$P$98,MATCH('Bill Impacts'!A90,'2014'!$B$8:$B$98,0))&lt;&gt;0,INDEX('2014'!$P$8:$P$98,MATCH('Bill Impacts'!A90,'2014'!$B$8:$B$98,0)),"")</f>
        <v>119.876144</v>
      </c>
      <c r="F90" s="4">
        <f>IF(INDEX('2015'!$G$8:$G$94,MATCH('Bill Impacts'!A90,'2015'!$B$8:$B$94,0))&lt;&gt;0,INDEX('2015'!$G$8:$G$94,MATCH('Bill Impacts'!A90,'2015'!$B$8:$B$94,0)),"")</f>
        <v>28.019999999999996</v>
      </c>
      <c r="G90" s="4">
        <f>IF(INDEX('2015'!$K$8:$K$94,MATCH('Bill Impacts'!A90,'2015'!$B$8:$B$94,0))&lt;&gt;0,INDEX('2015'!$K$8:$K$94,MATCH('Bill Impacts'!A90,'2015'!$B$8:$B$94,0)),"")</f>
        <v>43.627925999999988</v>
      </c>
      <c r="H90" s="4">
        <f>IF(INDEX('2015'!$O$8:$O$94,MATCH('Bill Impacts'!A90,'2015'!$B$8:$B$94,0))&lt;&gt;0,INDEX('2015'!$O$8:$O$94,MATCH('Bill Impacts'!A90,'2015'!$B$8:$B$94,0)),"")</f>
        <v>130.235356</v>
      </c>
      <c r="J90" s="4">
        <f>'2016'!H92</f>
        <v>26.5</v>
      </c>
      <c r="K90" s="4">
        <f>'2016'!L92</f>
        <v>41.924070999999991</v>
      </c>
      <c r="L90" s="4" t="e">
        <f>'2016'!#REF!</f>
        <v>#REF!</v>
      </c>
      <c r="R90" s="4">
        <f t="shared" si="84"/>
        <v>2.5549999999999962</v>
      </c>
      <c r="S90" s="38">
        <f t="shared" si="85"/>
        <v>0.10033379147849986</v>
      </c>
      <c r="T90" s="4">
        <f t="shared" si="86"/>
        <v>3.0992119999999943</v>
      </c>
      <c r="U90" s="38">
        <f t="shared" si="87"/>
        <v>7.6469537128663667E-2</v>
      </c>
      <c r="V90" s="4">
        <f t="shared" si="88"/>
        <v>10.359211999999999</v>
      </c>
      <c r="W90" s="38">
        <f t="shared" si="89"/>
        <v>8.6415959458956193E-2</v>
      </c>
      <c r="Y90" s="43" t="str">
        <f>IF(INDEX('2015'!$C$8:$C$94,MATCH('Bill Impacts'!A90,'2015'!$B$8:$B$94,0))=0,"",INDEX('2015'!$C$8:$C$94,MATCH('Bill Impacts'!A90,'2015'!$B$8:$B$94,0)))</f>
        <v>IRM-DA</v>
      </c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37">
        <f>INDEX('2015'!$V$8:$V$94,MATCH('Bill Impacts'!A90,'2015'!$B$8:$B$94,0))</f>
        <v>20549</v>
      </c>
      <c r="AS90" s="49"/>
      <c r="AT90">
        <f t="shared" si="90"/>
        <v>5.4533073331047522E-3</v>
      </c>
      <c r="AV90" s="4">
        <f t="shared" si="78"/>
        <v>0.1388684712375125</v>
      </c>
      <c r="AW90" s="4">
        <f t="shared" si="79"/>
        <v>0.2210155332575052</v>
      </c>
      <c r="AX90" s="4">
        <f t="shared" si="80"/>
        <v>0.65372145513952118</v>
      </c>
      <c r="AZ90" s="4">
        <f t="shared" si="81"/>
        <v>0.15280167147359514</v>
      </c>
      <c r="BA90" s="4">
        <f t="shared" si="82"/>
        <v>0.23791648878395141</v>
      </c>
      <c r="BB90" s="4">
        <f t="shared" si="83"/>
        <v>0.71021342190430792</v>
      </c>
    </row>
    <row r="91" spans="1:54" x14ac:dyDescent="0.25">
      <c r="A91" t="s">
        <v>73</v>
      </c>
      <c r="B91" s="4">
        <f>IF(INDEX('2014'!$H$8:$H$98,MATCH('Bill Impacts'!A91,'2014'!$B$8:$B$98,0))&lt;&gt;0,INDEX('2014'!$H$8:$H$98,MATCH('Bill Impacts'!A91,'2014'!$B$8:$B$98,0)),"")</f>
        <v>35.85</v>
      </c>
      <c r="C91" s="4">
        <f>IF(INDEX('2014'!$L$8:$L$98,MATCH('Bill Impacts'!A91,'2014'!$B$8:$B$98,0))&lt;&gt;0,INDEX('2014'!$L$8:$L$98,MATCH('Bill Impacts'!A91,'2014'!$B$8:$B$98,0)),"")</f>
        <v>49.414692000000002</v>
      </c>
      <c r="D91" s="36">
        <f>IF(INDEX('2014'!$P$8:$P$98,MATCH('Bill Impacts'!A91,'2014'!$B$8:$B$98,0))&lt;&gt;0,INDEX('2014'!$P$8:$P$98,MATCH('Bill Impacts'!A91,'2014'!$B$8:$B$98,0)),"")</f>
        <v>128.84078199999999</v>
      </c>
      <c r="F91" s="4">
        <f>IF(INDEX('2015'!$G$8:$G$94,MATCH('Bill Impacts'!A91,'2015'!$B$8:$B$94,0))&lt;&gt;0,INDEX('2015'!$G$8:$G$94,MATCH('Bill Impacts'!A91,'2015'!$B$8:$B$94,0)),"")</f>
        <v>36.059999999999995</v>
      </c>
      <c r="G91" s="4">
        <f>IF(INDEX('2015'!$K$8:$K$94,MATCH('Bill Impacts'!A91,'2015'!$B$8:$B$94,0))&lt;&gt;0,INDEX('2015'!$K$8:$K$94,MATCH('Bill Impacts'!A91,'2015'!$B$8:$B$94,0)),"")</f>
        <v>50.305248000000006</v>
      </c>
      <c r="H91" s="4">
        <f>IF(INDEX('2015'!$O$8:$O$94,MATCH('Bill Impacts'!A91,'2015'!$B$8:$B$94,0))&lt;&gt;0,INDEX('2015'!$O$8:$O$94,MATCH('Bill Impacts'!A91,'2015'!$B$8:$B$94,0)),"")</f>
        <v>136.99133800000001</v>
      </c>
      <c r="J91" s="4">
        <f>'2016'!H93</f>
        <v>39.049999999999997</v>
      </c>
      <c r="K91" s="4">
        <f>'2016'!L93</f>
        <v>53.481428000000001</v>
      </c>
      <c r="L91" s="4" t="e">
        <f>'2016'!#REF!</f>
        <v>#REF!</v>
      </c>
      <c r="R91" s="4">
        <f t="shared" si="84"/>
        <v>0.20999999999999375</v>
      </c>
      <c r="S91" s="38">
        <f t="shared" si="85"/>
        <v>5.8577405857738185E-3</v>
      </c>
      <c r="T91" s="4">
        <f t="shared" si="86"/>
        <v>0.89055600000000368</v>
      </c>
      <c r="U91" s="38">
        <f t="shared" si="87"/>
        <v>1.8022089462785829E-2</v>
      </c>
      <c r="V91" s="4">
        <f t="shared" si="88"/>
        <v>8.150556000000023</v>
      </c>
      <c r="W91" s="38">
        <f t="shared" si="89"/>
        <v>6.3260684027826031E-2</v>
      </c>
      <c r="Y91" s="43" t="str">
        <f>IF(INDEX('2015'!$C$8:$C$94,MATCH('Bill Impacts'!A91,'2015'!$B$8:$B$94,0))=0,"",INDEX('2015'!$C$8:$C$94,MATCH('Bill Impacts'!A91,'2015'!$B$8:$B$94,0)))</f>
        <v>IRM-DA</v>
      </c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37">
        <f>INDEX('2015'!$V$8:$V$94,MATCH('Bill Impacts'!A91,'2015'!$B$8:$B$94,0))</f>
        <v>3213</v>
      </c>
      <c r="AS91" s="49"/>
      <c r="AT91">
        <f t="shared" si="90"/>
        <v>8.5266808415327116E-4</v>
      </c>
      <c r="AV91" s="4">
        <f t="shared" si="78"/>
        <v>3.0568150816894773E-2</v>
      </c>
      <c r="AW91" s="4">
        <f t="shared" si="79"/>
        <v>4.2134330756663979E-2</v>
      </c>
      <c r="AX91" s="4">
        <f t="shared" si="80"/>
        <v>0.10985842274874925</v>
      </c>
      <c r="AZ91" s="4">
        <f t="shared" si="81"/>
        <v>3.0747211114566953E-2</v>
      </c>
      <c r="BA91" s="4">
        <f t="shared" si="82"/>
        <v>4.2893679435015181E-2</v>
      </c>
      <c r="BB91" s="4">
        <f t="shared" si="83"/>
        <v>0.11680814171805322</v>
      </c>
    </row>
    <row r="92" spans="1:54" x14ac:dyDescent="0.25">
      <c r="A92" t="s">
        <v>74</v>
      </c>
      <c r="B92" s="4">
        <f>IF(INDEX('2014'!$H$8:$H$98,MATCH('Bill Impacts'!A92,'2014'!$B$8:$B$98,0))&lt;&gt;0,INDEX('2014'!$H$8:$H$98,MATCH('Bill Impacts'!A92,'2014'!$B$8:$B$98,0)),"")</f>
        <v>40.774999999999999</v>
      </c>
      <c r="C92" s="4">
        <f>IF(INDEX('2014'!$L$8:$L$98,MATCH('Bill Impacts'!A92,'2014'!$B$8:$B$98,0))&lt;&gt;0,INDEX('2014'!$L$8:$L$98,MATCH('Bill Impacts'!A92,'2014'!$B$8:$B$98,0)),"")</f>
        <v>53.904726499999995</v>
      </c>
      <c r="D92" s="36">
        <f>IF(INDEX('2014'!$P$8:$P$98,MATCH('Bill Impacts'!A92,'2014'!$B$8:$B$98,0))&lt;&gt;0,INDEX('2014'!$P$8:$P$98,MATCH('Bill Impacts'!A92,'2014'!$B$8:$B$98,0)),"")</f>
        <v>133.224369</v>
      </c>
      <c r="F92" s="4">
        <f>IF(INDEX('2015'!$G$8:$G$94,MATCH('Bill Impacts'!A92,'2015'!$B$8:$B$94,0))&lt;&gt;0,INDEX('2015'!$G$8:$G$94,MATCH('Bill Impacts'!A92,'2015'!$B$8:$B$94,0)),"")</f>
        <v>37.965000000000003</v>
      </c>
      <c r="G92" s="4">
        <f>IF(INDEX('2015'!$K$8:$K$94,MATCH('Bill Impacts'!A92,'2015'!$B$8:$B$94,0))&lt;&gt;0,INDEX('2015'!$K$8:$K$94,MATCH('Bill Impacts'!A92,'2015'!$B$8:$B$94,0)),"")</f>
        <v>51.669276000000004</v>
      </c>
      <c r="H92" s="4">
        <f>IF(INDEX('2015'!$O$8:$O$94,MATCH('Bill Impacts'!A92,'2015'!$B$8:$B$94,0))&lt;&gt;0,INDEX('2015'!$O$8:$O$94,MATCH('Bill Impacts'!A92,'2015'!$B$8:$B$94,0)),"")</f>
        <v>138.2489185</v>
      </c>
      <c r="J92" s="4">
        <f>'2016'!H94</f>
        <v>36.134999999999998</v>
      </c>
      <c r="K92" s="4">
        <f>'2016'!L94</f>
        <v>50.006252249999996</v>
      </c>
      <c r="L92" s="4" t="e">
        <f>'2016'!#REF!</f>
        <v>#REF!</v>
      </c>
      <c r="R92" s="4">
        <f t="shared" si="84"/>
        <v>-2.8099999999999952</v>
      </c>
      <c r="S92" s="38">
        <f t="shared" si="85"/>
        <v>-6.8914776210913464E-2</v>
      </c>
      <c r="T92" s="4">
        <f t="shared" si="86"/>
        <v>-2.2354504999999918</v>
      </c>
      <c r="U92" s="38">
        <f t="shared" si="87"/>
        <v>-4.1470398704276712E-2</v>
      </c>
      <c r="V92" s="4">
        <f t="shared" si="88"/>
        <v>5.0245495000000062</v>
      </c>
      <c r="W92" s="38">
        <f t="shared" si="89"/>
        <v>3.7714943127259204E-2</v>
      </c>
      <c r="Y92" s="43" t="str">
        <f>IF(INDEX('2015'!$C$8:$C$94,MATCH('Bill Impacts'!A92,'2015'!$B$8:$B$94,0))=0,"",INDEX('2015'!$C$8:$C$94,MATCH('Bill Impacts'!A92,'2015'!$B$8:$B$94,0)))</f>
        <v>IRM-DA</v>
      </c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37">
        <f>INDEX('2015'!$V$8:$V$94,MATCH('Bill Impacts'!A92,'2015'!$B$8:$B$94,0))</f>
        <v>3273</v>
      </c>
      <c r="AS92" s="49"/>
      <c r="AT92">
        <f t="shared" si="90"/>
        <v>8.6859092419348165E-4</v>
      </c>
      <c r="AV92" s="4">
        <f t="shared" si="78"/>
        <v>3.5416794933989214E-2</v>
      </c>
      <c r="AW92" s="4">
        <f t="shared" si="79"/>
        <v>4.6821156209031857E-2</v>
      </c>
      <c r="AX92" s="4">
        <f t="shared" si="80"/>
        <v>0.11571747779480342</v>
      </c>
      <c r="AZ92" s="4">
        <f t="shared" si="81"/>
        <v>3.2976054437005534E-2</v>
      </c>
      <c r="BA92" s="4">
        <f t="shared" si="82"/>
        <v>4.4879464193248085E-2</v>
      </c>
      <c r="BB92" s="4">
        <f t="shared" si="83"/>
        <v>0.12008175588866432</v>
      </c>
    </row>
    <row r="93" spans="1:54" x14ac:dyDescent="0.25">
      <c r="A93" t="s">
        <v>75</v>
      </c>
      <c r="B93" s="4">
        <f>IF(INDEX('2014'!$H$8:$H$98,MATCH('Bill Impacts'!A93,'2014'!$B$8:$B$98,0))&lt;&gt;0,INDEX('2014'!$H$8:$H$98,MATCH('Bill Impacts'!A93,'2014'!$B$8:$B$98,0)),"")</f>
        <v>29.464999999999996</v>
      </c>
      <c r="C93" s="4">
        <f>IF(INDEX('2014'!$L$8:$L$98,MATCH('Bill Impacts'!A93,'2014'!$B$8:$B$98,0))&lt;&gt;0,INDEX('2014'!$L$8:$L$98,MATCH('Bill Impacts'!A93,'2014'!$B$8:$B$98,0)),"")</f>
        <v>42.825649999999996</v>
      </c>
      <c r="D93" s="36">
        <f>IF(INDEX('2014'!$P$8:$P$98,MATCH('Bill Impacts'!A93,'2014'!$B$8:$B$98,0))&lt;&gt;0,INDEX('2014'!$P$8:$P$98,MATCH('Bill Impacts'!A93,'2014'!$B$8:$B$98,0)),"")</f>
        <v>122.2449</v>
      </c>
      <c r="F93" s="4">
        <f>IF(INDEX('2015'!$G$8:$G$94,MATCH('Bill Impacts'!A93,'2015'!$B$8:$B$94,0))&lt;&gt;0,INDEX('2015'!$G$8:$G$94,MATCH('Bill Impacts'!A93,'2015'!$B$8:$B$94,0)),"")</f>
        <v>31.565000000000001</v>
      </c>
      <c r="G93" s="4">
        <f>IF(INDEX('2015'!$K$8:$K$94,MATCH('Bill Impacts'!A93,'2015'!$B$8:$B$94,0))&lt;&gt;0,INDEX('2015'!$K$8:$K$94,MATCH('Bill Impacts'!A93,'2015'!$B$8:$B$94,0)),"")</f>
        <v>45.112850000000002</v>
      </c>
      <c r="H93" s="4">
        <f>IF(INDEX('2015'!$O$8:$O$94,MATCH('Bill Impacts'!A93,'2015'!$B$8:$B$94,0))&lt;&gt;0,INDEX('2015'!$O$8:$O$94,MATCH('Bill Impacts'!A93,'2015'!$B$8:$B$94,0)),"")</f>
        <v>131.7921</v>
      </c>
      <c r="J93" s="4">
        <f>'2016'!H95</f>
        <v>31.089999999999996</v>
      </c>
      <c r="K93" s="4">
        <f>'2016'!L95</f>
        <v>45.685224999999996</v>
      </c>
      <c r="L93" s="4" t="e">
        <f>'2016'!#REF!</f>
        <v>#REF!</v>
      </c>
      <c r="R93" s="4">
        <f t="shared" si="84"/>
        <v>2.100000000000005</v>
      </c>
      <c r="S93" s="38">
        <f t="shared" si="85"/>
        <v>7.1270999490921527E-2</v>
      </c>
      <c r="T93" s="4">
        <f t="shared" si="86"/>
        <v>2.2872000000000057</v>
      </c>
      <c r="U93" s="38">
        <f t="shared" si="87"/>
        <v>5.3407245424179406E-2</v>
      </c>
      <c r="V93" s="4">
        <f t="shared" si="88"/>
        <v>9.5472000000000037</v>
      </c>
      <c r="W93" s="38">
        <f t="shared" si="89"/>
        <v>7.8098963637746932E-2</v>
      </c>
      <c r="Y93" s="43" t="str">
        <f>IF(INDEX('2015'!$C$8:$C$94,MATCH('Bill Impacts'!A93,'2015'!$B$8:$B$94,0))=0,"",INDEX('2015'!$C$8:$C$94,MATCH('Bill Impacts'!A93,'2015'!$B$8:$B$94,0)))</f>
        <v>IRM-DA</v>
      </c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37">
        <f>INDEX('2015'!$V$8:$V$94,MATCH('Bill Impacts'!A93,'2015'!$B$8:$B$94,0))</f>
        <v>20060</v>
      </c>
      <c r="AS93" s="49"/>
      <c r="AT93">
        <f t="shared" si="90"/>
        <v>5.3235361867770368E-3</v>
      </c>
      <c r="AV93" s="4">
        <f t="shared" si="78"/>
        <v>0.15685799374338538</v>
      </c>
      <c r="AW93" s="4">
        <f t="shared" si="79"/>
        <v>0.22798389749724798</v>
      </c>
      <c r="AX93" s="4">
        <f t="shared" si="80"/>
        <v>0.65077514879894016</v>
      </c>
      <c r="AZ93" s="4">
        <f t="shared" si="81"/>
        <v>0.16803741973561717</v>
      </c>
      <c r="BA93" s="4">
        <f t="shared" si="82"/>
        <v>0.24015988946364444</v>
      </c>
      <c r="BB93" s="4">
        <f t="shared" si="83"/>
        <v>0.70160001348133794</v>
      </c>
    </row>
    <row r="94" spans="1:54" x14ac:dyDescent="0.25">
      <c r="A94" t="s">
        <v>76</v>
      </c>
      <c r="B94" s="4">
        <f>IF(INDEX('2014'!$H$8:$H$98,MATCH('Bill Impacts'!A94,'2014'!$B$8:$B$98,0))&lt;&gt;0,INDEX('2014'!$H$8:$H$98,MATCH('Bill Impacts'!A94,'2014'!$B$8:$B$98,0)),"")</f>
        <v>29.585000000000001</v>
      </c>
      <c r="C94" s="4">
        <f>IF(INDEX('2014'!$L$8:$L$98,MATCH('Bill Impacts'!A94,'2014'!$B$8:$B$98,0))&lt;&gt;0,INDEX('2014'!$L$8:$L$98,MATCH('Bill Impacts'!A94,'2014'!$B$8:$B$98,0)),"")</f>
        <v>43.553153000000009</v>
      </c>
      <c r="D94" s="36">
        <f>IF(INDEX('2014'!$P$8:$P$98,MATCH('Bill Impacts'!A94,'2014'!$B$8:$B$98,0))&lt;&gt;0,INDEX('2014'!$P$8:$P$98,MATCH('Bill Impacts'!A94,'2014'!$B$8:$B$98,0)),"")</f>
        <v>122.86723800000001</v>
      </c>
      <c r="F94" s="4">
        <f>IF(INDEX('2015'!$G$8:$G$94,MATCH('Bill Impacts'!A94,'2015'!$B$8:$B$94,0))&lt;&gt;0,INDEX('2015'!$G$8:$G$94,MATCH('Bill Impacts'!A94,'2015'!$B$8:$B$94,0)),"")</f>
        <v>31.239999999999995</v>
      </c>
      <c r="G94" s="4">
        <f>IF(INDEX('2015'!$K$8:$K$94,MATCH('Bill Impacts'!A94,'2015'!$B$8:$B$94,0))&lt;&gt;0,INDEX('2015'!$K$8:$K$94,MATCH('Bill Impacts'!A94,'2015'!$B$8:$B$94,0)),"")</f>
        <v>46.917969999999997</v>
      </c>
      <c r="H94" s="4">
        <f>IF(INDEX('2015'!$O$8:$O$94,MATCH('Bill Impacts'!A94,'2015'!$B$8:$B$94,0))&lt;&gt;0,INDEX('2015'!$O$8:$O$94,MATCH('Bill Impacts'!A94,'2015'!$B$8:$B$94,0)),"")</f>
        <v>133.52882</v>
      </c>
      <c r="J94" s="4">
        <f>'2016'!H96</f>
        <v>30.614999999999998</v>
      </c>
      <c r="K94" s="4">
        <f>'2016'!L96</f>
        <v>45.698149500000007</v>
      </c>
      <c r="L94" s="4" t="e">
        <f>'2016'!#REF!</f>
        <v>#REF!</v>
      </c>
      <c r="R94" s="4">
        <f t="shared" si="84"/>
        <v>1.654999999999994</v>
      </c>
      <c r="S94" s="38">
        <f t="shared" si="85"/>
        <v>5.5940510393780452E-2</v>
      </c>
      <c r="T94" s="4">
        <f t="shared" si="86"/>
        <v>3.364816999999988</v>
      </c>
      <c r="U94" s="38">
        <f t="shared" si="87"/>
        <v>7.7257713121251737E-2</v>
      </c>
      <c r="V94" s="4">
        <f t="shared" si="88"/>
        <v>10.661581999999981</v>
      </c>
      <c r="W94" s="38">
        <f t="shared" si="89"/>
        <v>8.6773188471934048E-2</v>
      </c>
      <c r="Y94" s="43" t="str">
        <f>IF(INDEX('2015'!$C$8:$C$94,MATCH('Bill Impacts'!A94,'2015'!$B$8:$B$94,0))=0,"",INDEX('2015'!$C$8:$C$94,MATCH('Bill Impacts'!A94,'2015'!$B$8:$B$94,0)))</f>
        <v>IRM-DA</v>
      </c>
      <c r="Z94" s="43"/>
      <c r="AA94" s="91">
        <f>J94-F94</f>
        <v>-0.62499999999999645</v>
      </c>
      <c r="AB94" s="92">
        <f>J94/F94-1</f>
        <v>-2.0006402048655447E-2</v>
      </c>
      <c r="AC94" s="91">
        <f>K94-G94</f>
        <v>-1.2198204999999902</v>
      </c>
      <c r="AD94" s="102">
        <f>K94/G94-1</f>
        <v>-2.5999004219491861E-2</v>
      </c>
      <c r="AE94" s="43"/>
      <c r="AF94" s="93" t="e">
        <f>AC94/L94</f>
        <v>#REF!</v>
      </c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37">
        <f>INDEX('2015'!$V$8:$V$94,MATCH('Bill Impacts'!A94,'2015'!$B$8:$B$94,0))</f>
        <v>38963</v>
      </c>
      <c r="AS94" s="49"/>
      <c r="AT94">
        <f t="shared" si="90"/>
        <v>1.0340026941445347E-2</v>
      </c>
      <c r="AV94" s="4">
        <f t="shared" si="78"/>
        <v>0.30590969706266063</v>
      </c>
      <c r="AW94" s="4">
        <f t="shared" si="79"/>
        <v>0.45034077540489137</v>
      </c>
      <c r="AX94" s="4">
        <f t="shared" si="80"/>
        <v>1.2704505511409778</v>
      </c>
      <c r="AZ94" s="4">
        <f t="shared" si="81"/>
        <v>0.32302244165075261</v>
      </c>
      <c r="BA94" s="4">
        <f t="shared" si="82"/>
        <v>0.48513307383792453</v>
      </c>
      <c r="BB94" s="4">
        <f t="shared" si="83"/>
        <v>1.3806915962594064</v>
      </c>
    </row>
    <row r="95" spans="1:54" x14ac:dyDescent="0.25">
      <c r="A95" t="s">
        <v>77</v>
      </c>
      <c r="B95" s="4">
        <f>IF(INDEX('2014'!$H$8:$H$98,MATCH('Bill Impacts'!A95,'2014'!$B$8:$B$98,0))&lt;&gt;0,INDEX('2014'!$H$8:$H$98,MATCH('Bill Impacts'!A95,'2014'!$B$8:$B$98,0)),"")</f>
        <v>30.76</v>
      </c>
      <c r="C95" s="4">
        <f>IF(INDEX('2014'!$L$8:$L$98,MATCH('Bill Impacts'!A95,'2014'!$B$8:$B$98,0))&lt;&gt;0,INDEX('2014'!$L$8:$L$98,MATCH('Bill Impacts'!A95,'2014'!$B$8:$B$98,0)),"")</f>
        <v>43.840761999999998</v>
      </c>
      <c r="D95" s="36">
        <f>IF(INDEX('2014'!$P$8:$P$98,MATCH('Bill Impacts'!A95,'2014'!$B$8:$B$98,0))&lt;&gt;0,INDEX('2014'!$P$8:$P$98,MATCH('Bill Impacts'!A95,'2014'!$B$8:$B$98,0)),"")</f>
        <v>123.1450145</v>
      </c>
      <c r="F95" s="4">
        <f>IF(INDEX('2015'!$G$8:$G$94,MATCH('Bill Impacts'!A95,'2015'!$B$8:$B$94,0))&lt;&gt;0,INDEX('2015'!$G$8:$G$94,MATCH('Bill Impacts'!A95,'2015'!$B$8:$B$94,0)),"")</f>
        <v>31.364999999999998</v>
      </c>
      <c r="G95" s="4">
        <f>IF(INDEX('2015'!$K$8:$K$94,MATCH('Bill Impacts'!A95,'2015'!$B$8:$B$94,0))&lt;&gt;0,INDEX('2015'!$K$8:$K$94,MATCH('Bill Impacts'!A95,'2015'!$B$8:$B$94,0)),"")</f>
        <v>44.758667999999993</v>
      </c>
      <c r="H95" s="4">
        <f>IF(INDEX('2015'!$O$8:$O$94,MATCH('Bill Impacts'!A95,'2015'!$B$8:$B$94,0))&lt;&gt;0,INDEX('2015'!$O$8:$O$94,MATCH('Bill Impacts'!A95,'2015'!$B$8:$B$94,0)),"")</f>
        <v>131.32292050000001</v>
      </c>
      <c r="J95" s="4">
        <f>'2016'!H97</f>
        <v>31.449999999999996</v>
      </c>
      <c r="K95" s="4">
        <f>'2016'!L97</f>
        <v>45.142674249999985</v>
      </c>
      <c r="L95" s="4" t="e">
        <f>'2016'!#REF!</f>
        <v>#REF!</v>
      </c>
      <c r="R95" s="4">
        <f t="shared" si="84"/>
        <v>0.60499999999999687</v>
      </c>
      <c r="S95" s="38">
        <f t="shared" si="85"/>
        <v>1.9668400520155949E-2</v>
      </c>
      <c r="T95" s="4">
        <f t="shared" si="86"/>
        <v>0.917905999999995</v>
      </c>
      <c r="U95" s="38">
        <f t="shared" si="87"/>
        <v>2.0937272942472829E-2</v>
      </c>
      <c r="V95" s="4">
        <f t="shared" si="88"/>
        <v>8.1779060000000072</v>
      </c>
      <c r="W95" s="38">
        <f t="shared" si="89"/>
        <v>6.6408746088539417E-2</v>
      </c>
      <c r="Y95" s="43" t="str">
        <f>IF(INDEX('2015'!$C$8:$C$94,MATCH('Bill Impacts'!A95,'2015'!$B$8:$B$94,0))=0,"",INDEX('2015'!$C$8:$C$94,MATCH('Bill Impacts'!A95,'2015'!$B$8:$B$94,0)))</f>
        <v/>
      </c>
      <c r="Z95" s="43"/>
      <c r="AA95" s="91">
        <f>J95-F95</f>
        <v>8.49999999999973E-2</v>
      </c>
      <c r="AB95" s="92">
        <f>J95/F95-1</f>
        <v>2.7100271002709064E-3</v>
      </c>
      <c r="AC95" s="91">
        <f>K95-G95</f>
        <v>0.38400624999999167</v>
      </c>
      <c r="AD95" s="102">
        <f>K95/G95-1</f>
        <v>8.5794834198371639E-3</v>
      </c>
      <c r="AE95" s="43"/>
      <c r="AF95" s="93" t="e">
        <f>AC95/L95</f>
        <v>#REF!</v>
      </c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37">
        <f>INDEX('2015'!$V$8:$V$94,MATCH('Bill Impacts'!A95,'2015'!$B$8:$B$94,0))</f>
        <v>14299</v>
      </c>
      <c r="AS95" s="49"/>
      <c r="AT95">
        <f t="shared" si="90"/>
        <v>3.7946781622494939E-3</v>
      </c>
      <c r="AV95" s="4">
        <f t="shared" si="78"/>
        <v>0.11672430027079443</v>
      </c>
      <c r="AW95" s="4">
        <f t="shared" si="79"/>
        <v>0.16636158217777744</v>
      </c>
      <c r="AX95" s="4">
        <f t="shared" si="80"/>
        <v>0.46729569731304726</v>
      </c>
      <c r="AZ95" s="4">
        <f t="shared" si="81"/>
        <v>0.11902008055895537</v>
      </c>
      <c r="BA95" s="4">
        <f t="shared" si="82"/>
        <v>0.16984474003097522</v>
      </c>
      <c r="BB95" s="4">
        <f t="shared" si="83"/>
        <v>0.49832821862417642</v>
      </c>
    </row>
    <row r="96" spans="1:54" x14ac:dyDescent="0.25">
      <c r="B96" s="4"/>
      <c r="C96" s="4"/>
      <c r="D96" s="36"/>
      <c r="F96" s="4"/>
      <c r="G96" s="4"/>
      <c r="H96" s="4"/>
      <c r="R96" s="4"/>
      <c r="S96" s="38"/>
      <c r="T96" s="4"/>
      <c r="U96" s="38"/>
      <c r="V96" s="4"/>
      <c r="W96" s="38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37"/>
      <c r="AS96" s="49"/>
      <c r="AV96" s="4"/>
      <c r="AW96" s="4"/>
      <c r="AX96" s="4"/>
      <c r="AZ96" s="4"/>
      <c r="BA96" s="4"/>
      <c r="BB96" s="4"/>
    </row>
    <row r="97" spans="1:46" x14ac:dyDescent="0.25">
      <c r="A97" s="62" t="s">
        <v>238</v>
      </c>
      <c r="B97" s="60">
        <f>AVERAGE(B62:B95,B53:B60,B50:B51,B34:B48,B7:B32,B4:B5)</f>
        <v>30.00885057471265</v>
      </c>
      <c r="C97" s="60">
        <f t="shared" ref="C97:D97" si="91">AVERAGE(C62:C95,C53:C60,C50:C51,C34:C48,C7:C32,C4:C5)</f>
        <v>42.831371609195401</v>
      </c>
      <c r="D97" s="60">
        <f t="shared" si="91"/>
        <v>121.7938731810457</v>
      </c>
      <c r="E97" s="62"/>
      <c r="F97" s="60">
        <f>AVERAGE(F4:F48,F50:F95)</f>
        <v>31.099303797468345</v>
      </c>
      <c r="G97" s="60">
        <f t="shared" ref="G97:L97" si="92">AVERAGE(G4:G48,G50:G95)</f>
        <v>44.372863037974675</v>
      </c>
      <c r="H97" s="60">
        <f t="shared" si="92"/>
        <v>130.58051844936708</v>
      </c>
      <c r="J97" s="60">
        <f t="shared" si="92"/>
        <v>31.579286144578315</v>
      </c>
      <c r="K97" s="60">
        <f t="shared" si="92"/>
        <v>45.026482439759036</v>
      </c>
      <c r="L97" s="60" t="e">
        <f t="shared" si="92"/>
        <v>#REF!</v>
      </c>
      <c r="R97" s="65">
        <f>AVERAGE(R88:R95,R86,R74:R84,R64:R71,R53:R60,R50:R51,R41:R48,R34:R39,R29:R31,R7:R26,R4:R5)</f>
        <v>0.74749999999999972</v>
      </c>
      <c r="S97" s="57">
        <f>AVERAGE(S88:S95,S86,S74:S84,S64:S71,S53:S60,S50:S51,S41:S48,S34:S39,S29:S31,S7:S26,S4:S5)</f>
        <v>5.1159809807010626E-2</v>
      </c>
      <c r="T97" s="65">
        <f t="shared" ref="T97:W97" si="93">AVERAGE(T88:T95,T86,T74:T84,T64:T71,T53:T60,T50:T51,T41:T48,T34:T39,T29:T31,T7:T26,T4:T5)</f>
        <v>1.1409393051948047</v>
      </c>
      <c r="U97" s="57">
        <f t="shared" si="93"/>
        <v>3.4749274253529111E-2</v>
      </c>
      <c r="V97" s="65">
        <f t="shared" si="93"/>
        <v>8.4002786233766269</v>
      </c>
      <c r="W97" s="57">
        <f t="shared" si="93"/>
        <v>6.9917383041676592E-2</v>
      </c>
      <c r="AA97" s="94"/>
      <c r="AB97" s="95"/>
      <c r="AC97" s="94"/>
      <c r="AD97" s="97"/>
      <c r="AE97" s="96"/>
      <c r="AF97" s="95"/>
    </row>
    <row r="98" spans="1:46" x14ac:dyDescent="0.25">
      <c r="A98" s="48" t="s">
        <v>226</v>
      </c>
      <c r="B98" s="42">
        <f>AVERAGE(B4:B48,B50:B95)</f>
        <v>30.008850574712653</v>
      </c>
      <c r="C98" s="42">
        <f t="shared" ref="C98:D98" si="94">AVERAGE(C4:C48,C50:C95)</f>
        <v>42.831371609195401</v>
      </c>
      <c r="D98" s="42">
        <f t="shared" si="94"/>
        <v>121.79387318104564</v>
      </c>
      <c r="E98" s="41"/>
      <c r="F98" s="42">
        <f>AVERAGE(F4:F48,F50:F95)</f>
        <v>31.099303797468345</v>
      </c>
      <c r="G98" s="42">
        <f t="shared" ref="G98:H98" si="95">AVERAGE(G4:G48,G50:G95)</f>
        <v>44.372863037974675</v>
      </c>
      <c r="H98" s="42">
        <f t="shared" si="95"/>
        <v>130.58051844936708</v>
      </c>
      <c r="I98" s="41"/>
      <c r="J98" s="41"/>
      <c r="K98" s="41"/>
      <c r="L98" s="41"/>
      <c r="M98" s="41"/>
      <c r="N98" s="41"/>
      <c r="O98" s="41"/>
      <c r="P98" s="41"/>
      <c r="Q98" s="41"/>
      <c r="R98" s="77">
        <f>F98-B98</f>
        <v>1.0904532227556913</v>
      </c>
      <c r="S98" s="78">
        <f>F98/B98-1</f>
        <v>3.6337720434869825E-2</v>
      </c>
      <c r="T98" s="77">
        <f>G98-C98</f>
        <v>1.541491428779274</v>
      </c>
      <c r="U98" s="78">
        <f>G98/C98-1</f>
        <v>3.5989775037891469E-2</v>
      </c>
      <c r="V98" s="77">
        <f>H98-D98</f>
        <v>8.7866452683214362</v>
      </c>
      <c r="W98" s="78">
        <f>H98/D98-1</f>
        <v>7.2143573718689069E-2</v>
      </c>
      <c r="AB98" t="s">
        <v>89</v>
      </c>
      <c r="AC98" s="4">
        <f>AVERAGE(AC4:AC95)</f>
        <v>1.2330106293103442</v>
      </c>
      <c r="AD98" s="107">
        <f>AVERAGE(AD4:AD95)</f>
        <v>2.7080026125548974E-2</v>
      </c>
      <c r="AF98" s="108" t="e">
        <f>AVERAGE(AF4:AF95)</f>
        <v>#REF!</v>
      </c>
    </row>
    <row r="99" spans="1:46" x14ac:dyDescent="0.25">
      <c r="A99" s="122" t="s">
        <v>227</v>
      </c>
      <c r="B99" s="123">
        <f>SUM(AV4:AV95)</f>
        <v>35.236954737622618</v>
      </c>
      <c r="C99" s="123">
        <f t="shared" ref="C99:D99" si="96">SUM(AW4:AW95)</f>
        <v>48.481753703246092</v>
      </c>
      <c r="D99" s="123">
        <f t="shared" si="96"/>
        <v>127.74778217643384</v>
      </c>
      <c r="E99" s="124"/>
      <c r="F99" s="123">
        <f t="shared" ref="F99:H99" si="97">SUM(AZ4:AZ95)</f>
        <v>36.983466138651998</v>
      </c>
      <c r="G99" s="123">
        <f t="shared" si="97"/>
        <v>50.542929781711351</v>
      </c>
      <c r="H99" s="123">
        <f t="shared" si="97"/>
        <v>137.06545929569094</v>
      </c>
      <c r="I99" s="53"/>
      <c r="J99" s="53"/>
      <c r="K99" s="53"/>
      <c r="L99" s="53"/>
      <c r="M99" s="53"/>
      <c r="N99" s="53"/>
      <c r="O99" s="53"/>
      <c r="P99" s="53"/>
      <c r="Q99" s="53"/>
      <c r="R99" s="77">
        <f>F99-B99</f>
        <v>1.7465114010293803</v>
      </c>
      <c r="S99" s="78">
        <f>F99/B99-1</f>
        <v>4.9564765571657787E-2</v>
      </c>
      <c r="T99" s="77">
        <f>G99-C99</f>
        <v>2.0611760784652589</v>
      </c>
      <c r="U99" s="78">
        <f>G99/C99-1</f>
        <v>4.2514470311482366E-2</v>
      </c>
      <c r="V99" s="77">
        <f>H99-D99</f>
        <v>9.3176771192570982</v>
      </c>
      <c r="W99" s="78">
        <f>H99/D99-1</f>
        <v>7.2938073448416851E-2</v>
      </c>
      <c r="AB99" t="s">
        <v>300</v>
      </c>
      <c r="AC99" s="4">
        <f>MIN(AC4:AC95)</f>
        <v>-3.6770992500000048</v>
      </c>
      <c r="AD99" s="107">
        <f>MIN(AD4:AD95)</f>
        <v>-9.2459930250332723E-2</v>
      </c>
      <c r="AF99" s="108" t="e">
        <f>MIN(AF4:AF95)</f>
        <v>#REF!</v>
      </c>
      <c r="AR99" s="37">
        <f>SUM(AR4:AR95)-AR85-AR73-AR72-AR61-AR49-AR40</f>
        <v>3768172</v>
      </c>
      <c r="AS99" s="37"/>
      <c r="AT99" s="36">
        <f>SUM(AT4:AT95)</f>
        <v>1</v>
      </c>
    </row>
    <row r="100" spans="1:46" x14ac:dyDescent="0.25">
      <c r="A100" s="12"/>
      <c r="B100" s="54"/>
      <c r="C100" s="54"/>
      <c r="D100" s="54"/>
      <c r="E100" s="55"/>
      <c r="F100" s="54"/>
      <c r="G100" s="54"/>
      <c r="H100" s="54"/>
      <c r="I100" s="12"/>
      <c r="J100" s="12"/>
      <c r="K100" s="12"/>
      <c r="L100" s="12"/>
      <c r="M100" s="12"/>
      <c r="N100" s="12"/>
      <c r="O100" s="12"/>
      <c r="P100" s="12"/>
      <c r="Q100" s="12"/>
      <c r="R100" s="54"/>
      <c r="S100" s="56"/>
      <c r="T100" s="54"/>
      <c r="U100" s="56"/>
      <c r="V100" s="54"/>
      <c r="W100" s="56"/>
      <c r="AB100" t="s">
        <v>301</v>
      </c>
      <c r="AC100" s="4">
        <f>MAX(AC4:AC95)</f>
        <v>11.121900749999988</v>
      </c>
      <c r="AD100" s="107">
        <f>MAX(AD4:AD95)</f>
        <v>0.21112427911538578</v>
      </c>
      <c r="AF100" s="108" t="e">
        <f>MAX(AF4:AF95)</f>
        <v>#REF!</v>
      </c>
      <c r="AR100" s="37"/>
      <c r="AS100" s="37"/>
      <c r="AT100" s="36"/>
    </row>
    <row r="102" spans="1:46" x14ac:dyDescent="0.25">
      <c r="B102" s="126">
        <v>2015</v>
      </c>
      <c r="C102" s="126"/>
      <c r="D102" s="126"/>
    </row>
    <row r="103" spans="1:46" x14ac:dyDescent="0.25">
      <c r="A103" t="s">
        <v>239</v>
      </c>
      <c r="B103" s="60">
        <f>MAX(R5:R95)</f>
        <v>11.729999999999999</v>
      </c>
      <c r="C103" s="58" t="str">
        <f>INDEX($A$4:$A$95,MATCH(B103,R4:R95,0))</f>
        <v>Wasaga Distribution</v>
      </c>
    </row>
    <row r="104" spans="1:46" x14ac:dyDescent="0.25">
      <c r="A104" t="s">
        <v>242</v>
      </c>
      <c r="B104" s="61">
        <f>MAX(S4:S95)</f>
        <v>1.3436426116838489</v>
      </c>
      <c r="C104" s="59" t="str">
        <f>INDEX($A$4:$A$95,MATCH(B104,S4:S95,0))</f>
        <v>Wasaga Distribution</v>
      </c>
    </row>
    <row r="105" spans="1:46" x14ac:dyDescent="0.25">
      <c r="A105" t="s">
        <v>241</v>
      </c>
      <c r="B105" s="60">
        <f>MAX(T4:T95)</f>
        <v>11.790604999999985</v>
      </c>
      <c r="C105" s="59" t="str">
        <f>INDEX($A$4:$A$95,MATCH(B105,T4:T95,0))</f>
        <v>Hydro One Networks (R2)</v>
      </c>
    </row>
    <row r="106" spans="1:46" x14ac:dyDescent="0.25">
      <c r="A106" t="s">
        <v>243</v>
      </c>
      <c r="B106" s="61">
        <f>MAX(U5:U95)</f>
        <v>0.42089283692596857</v>
      </c>
      <c r="C106" s="62" t="str">
        <f>INDEX($A$4:$A$95,MATCH(B106,U4:U95,0))</f>
        <v>Wasaga Distribution</v>
      </c>
    </row>
    <row r="107" spans="1:46" x14ac:dyDescent="0.25">
      <c r="A107" t="s">
        <v>240</v>
      </c>
      <c r="B107" s="60">
        <f>MAX(V4:V95)</f>
        <v>19.106179999999995</v>
      </c>
      <c r="C107" s="62" t="str">
        <f>INDEX($A$4:$A$95,MATCH(B107,V4:V95,0))</f>
        <v>Hydro One Networks (R2)</v>
      </c>
    </row>
    <row r="108" spans="1:46" x14ac:dyDescent="0.25">
      <c r="A108" t="s">
        <v>244</v>
      </c>
      <c r="B108" s="61">
        <f>MAX(W4:W95)</f>
        <v>0.16936224365932318</v>
      </c>
      <c r="C108" s="62" t="str">
        <f>INDEX($A$4:$A$95,MATCH(B108,W4:W95,0))</f>
        <v>Wasaga Distribution</v>
      </c>
    </row>
    <row r="110" spans="1:46" x14ac:dyDescent="0.25">
      <c r="A110" t="s">
        <v>245</v>
      </c>
      <c r="B110" s="60">
        <f>MIN(R5:R95)</f>
        <v>-13.045000000000002</v>
      </c>
      <c r="C110" s="62" t="str">
        <f>INDEX($A$4:$A$95,MATCH(B110,R4:R95,0))</f>
        <v>Essex Powerlines</v>
      </c>
    </row>
    <row r="111" spans="1:46" x14ac:dyDescent="0.25">
      <c r="A111" t="s">
        <v>246</v>
      </c>
      <c r="B111" s="61">
        <f>MIN(S4:S95)</f>
        <v>-0.39256695756846227</v>
      </c>
      <c r="C111" s="62" t="str">
        <f>INDEX($A$4:$A$95,MATCH(B111,S4:S95,0))</f>
        <v>Essex Powerlines</v>
      </c>
    </row>
    <row r="112" spans="1:46" x14ac:dyDescent="0.25">
      <c r="A112" t="s">
        <v>247</v>
      </c>
      <c r="B112" s="60">
        <f>MIN(T4:T95)</f>
        <v>-13.403098</v>
      </c>
      <c r="C112" s="62" t="str">
        <f>INDEX($A$4:$A$95,MATCH(B112,T4:T95,0))</f>
        <v>Essex Powerlines</v>
      </c>
    </row>
    <row r="113" spans="1:3" x14ac:dyDescent="0.25">
      <c r="A113" t="s">
        <v>248</v>
      </c>
      <c r="B113" s="61">
        <f>MIN(U5:U95)</f>
        <v>-0.28793652527281377</v>
      </c>
      <c r="C113" s="62" t="str">
        <f>INDEX($A$4:$A$95,MATCH(B113,U4:U95,0))</f>
        <v>Essex Powerlines</v>
      </c>
    </row>
    <row r="114" spans="1:3" x14ac:dyDescent="0.25">
      <c r="A114" t="s">
        <v>249</v>
      </c>
      <c r="B114" s="60">
        <f>MIN(V4:V95)</f>
        <v>-6.1430980000000091</v>
      </c>
      <c r="C114" s="62" t="str">
        <f>INDEX($A$4:$A$95,MATCH(B114,V4:V95,0))</f>
        <v>Essex Powerlines</v>
      </c>
    </row>
    <row r="115" spans="1:3" x14ac:dyDescent="0.25">
      <c r="A115" t="s">
        <v>250</v>
      </c>
      <c r="B115" s="61">
        <f>MIN(W4:W95)</f>
        <v>-4.8783338875867721E-2</v>
      </c>
      <c r="C115" s="62" t="str">
        <f>INDEX($A$4:$A$95,MATCH(B115,W4:W95,0))</f>
        <v>Essex Powerlines</v>
      </c>
    </row>
    <row r="117" spans="1:3" x14ac:dyDescent="0.25">
      <c r="A117" s="63" t="s">
        <v>258</v>
      </c>
      <c r="B117" s="64" t="s">
        <v>254</v>
      </c>
      <c r="C117" s="64" t="s">
        <v>255</v>
      </c>
    </row>
    <row r="118" spans="1:3" x14ac:dyDescent="0.25">
      <c r="A118" t="s">
        <v>251</v>
      </c>
      <c r="B118" s="66">
        <f>AVERAGEIFS($S$4:$S$95,$Y$4:$Y$95,"COS")</f>
        <v>-2.4333709373156598E-3</v>
      </c>
      <c r="C118" s="62">
        <f>COUNTIFS($Y$4:$Y$95,"COS",$S$4:$S$95,"&lt;&gt;")</f>
        <v>6</v>
      </c>
    </row>
    <row r="119" spans="1:3" x14ac:dyDescent="0.25">
      <c r="A119" t="s">
        <v>252</v>
      </c>
      <c r="B119" s="66">
        <f>AVERAGEIFS($S$4:$S$95,$Y$4:$Y$95,"IRM")</f>
        <v>3.0947052642671412E-2</v>
      </c>
      <c r="C119" s="62">
        <f>COUNTIFS($Y$4:$Y$95,"IRM",$S$4:$S$95,"&lt;&gt;")</f>
        <v>26</v>
      </c>
    </row>
    <row r="120" spans="1:3" x14ac:dyDescent="0.25">
      <c r="A120" t="s">
        <v>253</v>
      </c>
      <c r="B120" s="66">
        <f>AVERAGEIFS($S$4:$S$95,$Y$4:$Y$95,"IRM-DA")</f>
        <v>9.5293009522250685E-2</v>
      </c>
      <c r="C120" s="62">
        <f>COUNTIFS($Y$4:$Y$95,"IRM-DA",$S$4:$S$95,"&lt;&gt;")</f>
        <v>33</v>
      </c>
    </row>
    <row r="121" spans="1:3" x14ac:dyDescent="0.25">
      <c r="A121" t="s">
        <v>256</v>
      </c>
      <c r="B121" s="66">
        <f>AVERAGEIFS($S$4:$S$95,$Y$4:$Y$95,"CIR")</f>
        <v>4.653892843407785E-2</v>
      </c>
      <c r="C121" s="62">
        <f>COUNTIFS($Y$4:$Y$95,"CIR",$S$4:$S$95,"&lt;&gt;")</f>
        <v>5</v>
      </c>
    </row>
    <row r="122" spans="1:3" x14ac:dyDescent="0.25">
      <c r="A122" t="s">
        <v>257</v>
      </c>
      <c r="B122" s="66">
        <f>AVERAGEIFS($S$4:$S$95,$Y$4:$Y$95,"AIRI")</f>
        <v>-5.1830304877669237E-2</v>
      </c>
      <c r="C122" s="62">
        <f>COUNTIFS($Y$4:$Y$95,"AIRI",$S$4:$S$95,"&lt;&gt;")</f>
        <v>4</v>
      </c>
    </row>
  </sheetData>
  <mergeCells count="9">
    <mergeCell ref="B102:D102"/>
    <mergeCell ref="AA1:AF1"/>
    <mergeCell ref="AA2:AB2"/>
    <mergeCell ref="AC2:AD2"/>
    <mergeCell ref="AE2:AF2"/>
    <mergeCell ref="R2:S2"/>
    <mergeCell ref="T2:U2"/>
    <mergeCell ref="V2:W2"/>
    <mergeCell ref="R1:W1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97"/>
  <sheetViews>
    <sheetView topLeftCell="A73" workbookViewId="0">
      <selection activeCell="L50" sqref="L50"/>
    </sheetView>
  </sheetViews>
  <sheetFormatPr defaultRowHeight="15" x14ac:dyDescent="0.25"/>
  <sheetData>
    <row r="1" spans="1:17" ht="14.45" x14ac:dyDescent="0.3">
      <c r="N1" s="40" t="s">
        <v>320</v>
      </c>
      <c r="O1" s="11"/>
      <c r="P1" s="11"/>
      <c r="Q1" s="11"/>
    </row>
    <row r="2" spans="1:17" ht="14.45" x14ac:dyDescent="0.3">
      <c r="N2" t="s">
        <v>86</v>
      </c>
      <c r="O2" s="8">
        <v>8.6999999999999994E-2</v>
      </c>
      <c r="P2" s="9">
        <v>0.65</v>
      </c>
      <c r="Q2" s="8"/>
    </row>
    <row r="3" spans="1:17" ht="14.45" x14ac:dyDescent="0.3">
      <c r="B3" s="31" t="s">
        <v>305</v>
      </c>
      <c r="N3" t="s">
        <v>87</v>
      </c>
      <c r="O3" s="8">
        <v>0.13200000000000001</v>
      </c>
      <c r="P3" s="9">
        <v>0.17</v>
      </c>
      <c r="Q3" s="8"/>
    </row>
    <row r="4" spans="1:17" ht="21" x14ac:dyDescent="0.35">
      <c r="B4" s="1" t="s">
        <v>200</v>
      </c>
      <c r="I4" s="14" t="s">
        <v>102</v>
      </c>
      <c r="J4" s="87" t="s">
        <v>312</v>
      </c>
      <c r="K4" s="87"/>
      <c r="N4" t="s">
        <v>88</v>
      </c>
      <c r="O4" s="8">
        <v>0.18</v>
      </c>
      <c r="P4" s="9">
        <v>0.18</v>
      </c>
      <c r="Q4" s="8"/>
    </row>
    <row r="5" spans="1:17" ht="14.45" x14ac:dyDescent="0.3">
      <c r="B5" t="str">
        <f>CONCATENATE("Residential @ ",F5,"kWh/month")</f>
        <v>Residential @ 300kWh/month</v>
      </c>
      <c r="F5" s="3">
        <v>300</v>
      </c>
      <c r="G5" t="s">
        <v>81</v>
      </c>
      <c r="N5" t="s">
        <v>89</v>
      </c>
      <c r="O5" s="8">
        <f>P2*O2+P3*O3+P4*O4</f>
        <v>0.11139</v>
      </c>
      <c r="P5" s="8"/>
      <c r="Q5" s="8"/>
    </row>
    <row r="6" spans="1:17" ht="18.600000000000001" thickBot="1" x14ac:dyDescent="0.4">
      <c r="B6" s="2" t="s">
        <v>1</v>
      </c>
      <c r="F6" s="128"/>
      <c r="G6" s="128"/>
      <c r="H6" s="128"/>
      <c r="O6" t="s">
        <v>302</v>
      </c>
    </row>
    <row r="7" spans="1:17" ht="18" x14ac:dyDescent="0.35">
      <c r="B7" s="2"/>
      <c r="D7" s="3" t="s">
        <v>277</v>
      </c>
      <c r="E7" s="3" t="s">
        <v>283</v>
      </c>
      <c r="F7" s="7" t="s">
        <v>78</v>
      </c>
      <c r="G7" s="7" t="s">
        <v>79</v>
      </c>
      <c r="H7" s="7" t="s">
        <v>80</v>
      </c>
      <c r="J7" s="3" t="s">
        <v>82</v>
      </c>
      <c r="K7" s="3" t="s">
        <v>90</v>
      </c>
      <c r="L7" s="3" t="s">
        <v>91</v>
      </c>
      <c r="M7" s="5" t="s">
        <v>83</v>
      </c>
      <c r="N7">
        <v>500</v>
      </c>
      <c r="O7" s="125">
        <v>1000</v>
      </c>
    </row>
    <row r="8" spans="1:17" ht="18" x14ac:dyDescent="0.25">
      <c r="A8" s="13">
        <v>1</v>
      </c>
      <c r="B8" s="13" t="s">
        <v>2</v>
      </c>
      <c r="C8" s="13" t="s">
        <v>98</v>
      </c>
      <c r="D8" s="82" t="s">
        <v>261</v>
      </c>
      <c r="E8" s="83" t="s">
        <v>278</v>
      </c>
      <c r="F8" s="30">
        <f>27.76+0.79</f>
        <v>28.55</v>
      </c>
      <c r="G8" s="30">
        <f>$F$5*(0.0288-0.0019)</f>
        <v>8.07</v>
      </c>
      <c r="H8" s="30">
        <f t="shared" ref="H8:H58" si="0">F8+G8</f>
        <v>36.620000000000005</v>
      </c>
      <c r="I8" s="14" t="s">
        <v>102</v>
      </c>
      <c r="J8" s="30">
        <f>(0.007+0.0051)*$F$5*M8</f>
        <v>3.9628709999999994</v>
      </c>
      <c r="K8" s="30">
        <f>(M8*$F$5-$F$5)*$O$5</f>
        <v>3.0643388999999992</v>
      </c>
      <c r="L8" s="30">
        <f t="shared" ref="L8:L9" si="1">H8+J8+K8</f>
        <v>43.647209900000007</v>
      </c>
      <c r="M8" s="88">
        <v>1.0916999999999999</v>
      </c>
    </row>
    <row r="9" spans="1:17" ht="18" x14ac:dyDescent="0.25">
      <c r="A9" s="13">
        <v>2</v>
      </c>
      <c r="B9" s="13" t="s">
        <v>3</v>
      </c>
      <c r="C9" s="13" t="s">
        <v>210</v>
      </c>
      <c r="D9" s="84" t="s">
        <v>264</v>
      </c>
      <c r="E9" s="83" t="s">
        <v>278</v>
      </c>
      <c r="F9" s="30">
        <f>36.95+1.06+0.79</f>
        <v>38.800000000000004</v>
      </c>
      <c r="G9" s="30">
        <f>$F$5*(0.0104+0.0008)</f>
        <v>3.36</v>
      </c>
      <c r="H9" s="30">
        <f t="shared" si="0"/>
        <v>42.160000000000004</v>
      </c>
      <c r="I9" s="14" t="s">
        <v>102</v>
      </c>
      <c r="J9" s="30">
        <f>(0.0046+0.0035)*$F$5*M9</f>
        <v>2.6190539999999998</v>
      </c>
      <c r="K9" s="30">
        <f>(M9*$F$5-$F$5)*$O$5</f>
        <v>2.5998426000000037</v>
      </c>
      <c r="L9" s="30">
        <f t="shared" si="1"/>
        <v>47.378896600000004</v>
      </c>
      <c r="M9" s="88">
        <v>1.0778000000000001</v>
      </c>
    </row>
    <row r="10" spans="1:17" ht="17.45" x14ac:dyDescent="0.3">
      <c r="A10" s="19">
        <v>3</v>
      </c>
      <c r="B10" s="19" t="s">
        <v>4</v>
      </c>
      <c r="C10" s="19"/>
      <c r="D10" s="86"/>
      <c r="E10" s="86"/>
      <c r="F10" s="22"/>
      <c r="G10" s="22"/>
      <c r="H10" s="22"/>
      <c r="I10" s="23"/>
      <c r="J10" s="12"/>
      <c r="K10" s="12"/>
      <c r="L10" s="12"/>
      <c r="M10" s="12"/>
    </row>
    <row r="11" spans="1:17" ht="18" x14ac:dyDescent="0.25">
      <c r="A11" s="13">
        <v>4</v>
      </c>
      <c r="B11" s="13" t="s">
        <v>5</v>
      </c>
      <c r="C11" s="13" t="s">
        <v>98</v>
      </c>
      <c r="D11" s="84" t="s">
        <v>264</v>
      </c>
      <c r="E11" s="83" t="s">
        <v>278</v>
      </c>
      <c r="F11" s="30">
        <f>19.87+0.79</f>
        <v>20.66</v>
      </c>
      <c r="G11" s="30">
        <f>$F$5*(0.0166+0.0002+0.0002-0.0002)</f>
        <v>5.04</v>
      </c>
      <c r="H11" s="30">
        <f t="shared" si="0"/>
        <v>25.7</v>
      </c>
      <c r="I11" s="14" t="s">
        <v>102</v>
      </c>
      <c r="J11" s="30">
        <f>(0.0066+0.0058)*$F$5*M11</f>
        <v>3.8766119999999997</v>
      </c>
      <c r="K11" s="30">
        <f t="shared" ref="K11:K19" si="2">(M11*$F$5-$F$5)*$O$5</f>
        <v>1.4068556999999995</v>
      </c>
      <c r="L11" s="30">
        <f t="shared" ref="L11:L19" si="3">H11+J11+K11</f>
        <v>30.983467699999999</v>
      </c>
      <c r="M11" s="88">
        <v>1.0421</v>
      </c>
    </row>
    <row r="12" spans="1:17" ht="18" x14ac:dyDescent="0.25">
      <c r="A12" s="13">
        <v>5</v>
      </c>
      <c r="B12" s="13" t="s">
        <v>307</v>
      </c>
      <c r="C12" s="13" t="s">
        <v>210</v>
      </c>
      <c r="D12" s="84" t="s">
        <v>264</v>
      </c>
      <c r="E12" s="83" t="s">
        <v>278</v>
      </c>
      <c r="F12" s="30">
        <f>15.59-0.04+1.75+0.79</f>
        <v>18.09</v>
      </c>
      <c r="G12" s="30">
        <f>$F$5*(0.0158+0.0021+0.0024)</f>
        <v>6.0900000000000007</v>
      </c>
      <c r="H12" s="30">
        <f t="shared" si="0"/>
        <v>24.18</v>
      </c>
      <c r="I12" s="14" t="s">
        <v>102</v>
      </c>
      <c r="J12" s="30">
        <f>(0.0061+0.0031)*$F$5*M12</f>
        <v>2.89662</v>
      </c>
      <c r="K12" s="30">
        <f t="shared" si="2"/>
        <v>1.6541415000000026</v>
      </c>
      <c r="L12" s="30">
        <f t="shared" si="3"/>
        <v>28.7307615</v>
      </c>
      <c r="M12" s="88">
        <v>1.0495000000000001</v>
      </c>
    </row>
    <row r="13" spans="1:17" ht="18" x14ac:dyDescent="0.25">
      <c r="A13" s="13">
        <v>6</v>
      </c>
      <c r="B13" s="13" t="s">
        <v>7</v>
      </c>
      <c r="C13" s="13" t="s">
        <v>100</v>
      </c>
      <c r="D13" s="84" t="s">
        <v>261</v>
      </c>
      <c r="E13" s="83" t="s">
        <v>278</v>
      </c>
      <c r="F13" s="30">
        <f>14.64+0.04-0.48+1.47+0.79</f>
        <v>16.46</v>
      </c>
      <c r="G13" s="30">
        <f>$F$5*(0.011+0.0005-0.0017)</f>
        <v>2.94</v>
      </c>
      <c r="H13" s="30">
        <f t="shared" si="0"/>
        <v>19.400000000000002</v>
      </c>
      <c r="I13" s="14" t="s">
        <v>102</v>
      </c>
      <c r="J13" s="30">
        <f>(0.0082+0.0056)*$F$5*M13</f>
        <v>4.2844859999999994</v>
      </c>
      <c r="K13" s="30">
        <f t="shared" si="2"/>
        <v>1.1662532999999968</v>
      </c>
      <c r="L13" s="30">
        <f t="shared" si="3"/>
        <v>24.850739299999997</v>
      </c>
      <c r="M13" s="88">
        <v>1.0348999999999999</v>
      </c>
    </row>
    <row r="14" spans="1:17" ht="18" x14ac:dyDescent="0.25">
      <c r="A14" s="13">
        <v>7</v>
      </c>
      <c r="B14" s="13" t="s">
        <v>103</v>
      </c>
      <c r="C14" s="13" t="s">
        <v>100</v>
      </c>
      <c r="D14" s="84" t="s">
        <v>264</v>
      </c>
      <c r="E14" s="83" t="s">
        <v>278</v>
      </c>
      <c r="F14" s="30">
        <f>15.46+0.79+0.02</f>
        <v>16.27</v>
      </c>
      <c r="G14" s="30">
        <f>$F$5*(0.0125+0.001)</f>
        <v>4.0500000000000007</v>
      </c>
      <c r="H14" s="30">
        <f t="shared" si="0"/>
        <v>20.32</v>
      </c>
      <c r="I14" s="14" t="s">
        <v>102</v>
      </c>
      <c r="J14" s="30">
        <f>(0.007+0.0061)*$F$5*M14</f>
        <v>4.0777680000000007</v>
      </c>
      <c r="K14" s="30">
        <f t="shared" si="2"/>
        <v>1.2564792000000033</v>
      </c>
      <c r="L14" s="30">
        <f t="shared" si="3"/>
        <v>25.654247200000004</v>
      </c>
      <c r="M14" s="88">
        <v>1.0376000000000001</v>
      </c>
    </row>
    <row r="15" spans="1:17" ht="18" x14ac:dyDescent="0.25">
      <c r="A15" s="13">
        <v>8</v>
      </c>
      <c r="B15" s="13" t="s">
        <v>308</v>
      </c>
      <c r="C15" s="13" t="s">
        <v>100</v>
      </c>
      <c r="D15" s="84" t="s">
        <v>264</v>
      </c>
      <c r="E15" s="83" t="s">
        <v>278</v>
      </c>
      <c r="F15" s="30">
        <f>14.52+0.79</f>
        <v>15.309999999999999</v>
      </c>
      <c r="G15" s="30">
        <f>$F$5*(0.0137+0.0001+0.0003-0.0015)</f>
        <v>3.7800000000000002</v>
      </c>
      <c r="H15" s="30">
        <f t="shared" si="0"/>
        <v>19.09</v>
      </c>
      <c r="I15" s="14" t="s">
        <v>102</v>
      </c>
      <c r="J15" s="30">
        <f>(0.0061+0.0041)*$F$5*M15</f>
        <v>3.1625100000000002</v>
      </c>
      <c r="K15" s="30">
        <f t="shared" si="2"/>
        <v>1.1194695000000012</v>
      </c>
      <c r="L15" s="30">
        <f t="shared" si="3"/>
        <v>23.371979500000002</v>
      </c>
      <c r="M15" s="88">
        <v>1.0335000000000001</v>
      </c>
    </row>
    <row r="16" spans="1:17" ht="18" x14ac:dyDescent="0.25">
      <c r="A16" s="13">
        <v>9</v>
      </c>
      <c r="B16" s="13" t="s">
        <v>8</v>
      </c>
      <c r="C16" s="13" t="s">
        <v>100</v>
      </c>
      <c r="D16" s="84" t="s">
        <v>261</v>
      </c>
      <c r="E16" s="83" t="s">
        <v>278</v>
      </c>
      <c r="F16" s="30">
        <f>23.44+0.79</f>
        <v>24.23</v>
      </c>
      <c r="G16" s="30">
        <f>$F$5*(0.0152+0.0002+0.0003-0.0027)</f>
        <v>3.9000000000000004</v>
      </c>
      <c r="H16" s="30">
        <f t="shared" si="0"/>
        <v>28.130000000000003</v>
      </c>
      <c r="I16" s="14" t="s">
        <v>102</v>
      </c>
      <c r="J16" s="30">
        <f>(0.0072+0.0058)*$F$5*M16</f>
        <v>4.1113799999999996</v>
      </c>
      <c r="K16" s="30">
        <f t="shared" si="2"/>
        <v>1.811201399999999</v>
      </c>
      <c r="L16" s="30">
        <f t="shared" si="3"/>
        <v>34.052581400000001</v>
      </c>
      <c r="M16" s="88">
        <v>1.0542</v>
      </c>
    </row>
    <row r="17" spans="1:17" ht="18" x14ac:dyDescent="0.25">
      <c r="A17" s="13">
        <v>9</v>
      </c>
      <c r="B17" s="13" t="s">
        <v>9</v>
      </c>
      <c r="C17" s="13" t="s">
        <v>100</v>
      </c>
      <c r="D17" s="84" t="s">
        <v>261</v>
      </c>
      <c r="E17" s="83" t="s">
        <v>278</v>
      </c>
      <c r="F17" s="30">
        <f>23.44+0.79</f>
        <v>24.23</v>
      </c>
      <c r="G17" s="30">
        <f>$F$5*(0.0152+0.0002+0.0008-0.0004)</f>
        <v>4.7399999999999993</v>
      </c>
      <c r="H17" s="30">
        <f t="shared" si="0"/>
        <v>28.97</v>
      </c>
      <c r="I17" s="14" t="s">
        <v>102</v>
      </c>
      <c r="J17" s="30">
        <f>(0.0072+0.0058)*$F$5*M17</f>
        <v>4.1113799999999996</v>
      </c>
      <c r="K17" s="30">
        <f t="shared" si="2"/>
        <v>1.811201399999999</v>
      </c>
      <c r="L17" s="30">
        <f t="shared" si="3"/>
        <v>34.892581399999997</v>
      </c>
      <c r="M17" s="88">
        <v>1.0542</v>
      </c>
    </row>
    <row r="18" spans="1:17" ht="18" x14ac:dyDescent="0.25">
      <c r="A18" s="13">
        <v>9</v>
      </c>
      <c r="B18" s="13" t="s">
        <v>10</v>
      </c>
      <c r="C18" s="13" t="s">
        <v>100</v>
      </c>
      <c r="D18" s="84" t="s">
        <v>261</v>
      </c>
      <c r="E18" s="83" t="s">
        <v>278</v>
      </c>
      <c r="F18" s="30">
        <f>23.44+0.79</f>
        <v>24.23</v>
      </c>
      <c r="G18" s="30">
        <f>$F$5*(0.0152+0.0002-0.0007-0.0013+0.0007)</f>
        <v>4.2300000000000004</v>
      </c>
      <c r="H18" s="30">
        <f t="shared" si="0"/>
        <v>28.46</v>
      </c>
      <c r="I18" s="14" t="s">
        <v>102</v>
      </c>
      <c r="J18" s="30">
        <f>(0.0072+0.0058)*$F$5*M18</f>
        <v>4.1113799999999996</v>
      </c>
      <c r="K18" s="30">
        <f t="shared" si="2"/>
        <v>1.811201399999999</v>
      </c>
      <c r="L18" s="30">
        <f t="shared" si="3"/>
        <v>34.382581399999999</v>
      </c>
      <c r="M18" s="88">
        <v>1.0542</v>
      </c>
    </row>
    <row r="19" spans="1:17" ht="18" x14ac:dyDescent="0.25">
      <c r="A19" s="13">
        <v>10</v>
      </c>
      <c r="B19" s="13" t="s">
        <v>11</v>
      </c>
      <c r="C19" s="13" t="s">
        <v>98</v>
      </c>
      <c r="D19" s="82" t="s">
        <v>264</v>
      </c>
      <c r="E19" s="83" t="s">
        <v>278</v>
      </c>
      <c r="F19" s="30">
        <f>18.3+0.79</f>
        <v>19.09</v>
      </c>
      <c r="G19" s="30">
        <f>$F$5*(0.011+0.0018)</f>
        <v>3.84</v>
      </c>
      <c r="H19" s="30">
        <f t="shared" si="0"/>
        <v>22.93</v>
      </c>
      <c r="I19" s="14" t="s">
        <v>102</v>
      </c>
      <c r="J19" s="30">
        <f>(0.0067+0.0053)*$F$5*M19</f>
        <v>3.7789200000000003</v>
      </c>
      <c r="K19" s="30">
        <f t="shared" si="2"/>
        <v>1.6608249000000028</v>
      </c>
      <c r="L19" s="30">
        <f t="shared" si="3"/>
        <v>28.369744900000001</v>
      </c>
      <c r="M19" s="88">
        <v>1.0497000000000001</v>
      </c>
    </row>
    <row r="20" spans="1:17" ht="17.45" x14ac:dyDescent="0.3">
      <c r="A20">
        <v>11</v>
      </c>
      <c r="B20" t="s">
        <v>12</v>
      </c>
      <c r="C20" s="11" t="s">
        <v>92</v>
      </c>
      <c r="D20" s="81" t="s">
        <v>264</v>
      </c>
      <c r="E20" s="79" t="s">
        <v>309</v>
      </c>
      <c r="F20" s="22"/>
      <c r="G20" s="22"/>
      <c r="H20" s="22"/>
      <c r="I20" s="23"/>
      <c r="J20" s="22"/>
      <c r="K20" s="22"/>
      <c r="L20" s="22"/>
      <c r="M20" s="24"/>
    </row>
    <row r="21" spans="1:17" ht="18" x14ac:dyDescent="0.25">
      <c r="A21" s="13">
        <v>12</v>
      </c>
      <c r="B21" s="13" t="s">
        <v>13</v>
      </c>
      <c r="C21" s="13" t="s">
        <v>100</v>
      </c>
      <c r="D21" s="82" t="s">
        <v>264</v>
      </c>
      <c r="E21" s="83" t="s">
        <v>278</v>
      </c>
      <c r="F21" s="30">
        <f>13.83+0.79+0.12</f>
        <v>14.74</v>
      </c>
      <c r="G21" s="30">
        <f>$F$5*(0.0152+0.0016)</f>
        <v>5.04</v>
      </c>
      <c r="H21" s="30">
        <f t="shared" si="0"/>
        <v>19.78</v>
      </c>
      <c r="I21" s="14" t="s">
        <v>102</v>
      </c>
      <c r="J21" s="30">
        <f>(0.0066+0.0038)*$F$5*M21</f>
        <v>3.3415199999999996</v>
      </c>
      <c r="K21" s="30">
        <f>(M21*$F$5-$F$5)*$O$5</f>
        <v>2.3726070000000012</v>
      </c>
      <c r="L21" s="30">
        <f t="shared" ref="L21:L22" si="4">H21+J21+K21</f>
        <v>25.494127000000002</v>
      </c>
      <c r="M21" s="88">
        <v>1.071</v>
      </c>
    </row>
    <row r="22" spans="1:17" ht="18" x14ac:dyDescent="0.25">
      <c r="A22" s="13">
        <v>13</v>
      </c>
      <c r="B22" s="13" t="s">
        <v>105</v>
      </c>
      <c r="C22" s="13" t="s">
        <v>100</v>
      </c>
      <c r="D22" s="84" t="s">
        <v>261</v>
      </c>
      <c r="E22" s="83" t="s">
        <v>278</v>
      </c>
      <c r="F22" s="30">
        <f>18.25+0.79</f>
        <v>19.04</v>
      </c>
      <c r="G22" s="30">
        <f>$F$5*(0.0106+0.0018)</f>
        <v>3.7199999999999998</v>
      </c>
      <c r="H22" s="30">
        <f t="shared" si="0"/>
        <v>22.759999999999998</v>
      </c>
      <c r="I22" s="14" t="s">
        <v>102</v>
      </c>
      <c r="J22" s="30">
        <f>(0.0068+0.0053)*$F$5*M22</f>
        <v>3.8706689999999999</v>
      </c>
      <c r="K22" s="30">
        <f>(M22*$F$5-$F$5)*$O$5</f>
        <v>2.2155470999999984</v>
      </c>
      <c r="L22" s="30">
        <f t="shared" si="4"/>
        <v>28.846216099999996</v>
      </c>
      <c r="M22" s="88">
        <v>1.0663</v>
      </c>
    </row>
    <row r="23" spans="1:17" ht="17.45" x14ac:dyDescent="0.3">
      <c r="A23" s="11"/>
      <c r="B23" s="11" t="s">
        <v>316</v>
      </c>
      <c r="C23" s="11"/>
      <c r="D23" s="81" t="s">
        <v>295</v>
      </c>
      <c r="E23" s="104"/>
      <c r="F23" s="17">
        <v>9.2799999999999994</v>
      </c>
      <c r="G23" s="17">
        <f>IF($F$5&lt;250,0.1514*$F$5,250*0.1514+($F$5-250)*0.1193)</f>
        <v>43.814999999999998</v>
      </c>
      <c r="H23" s="17"/>
      <c r="I23" s="15"/>
      <c r="J23" s="17"/>
      <c r="K23" s="17"/>
      <c r="L23" s="17"/>
      <c r="M23" s="98"/>
      <c r="N23" s="12"/>
      <c r="O23" s="12"/>
      <c r="P23" s="12"/>
      <c r="Q23" s="12"/>
    </row>
    <row r="24" spans="1:17" ht="17.45" x14ac:dyDescent="0.3">
      <c r="A24" s="11"/>
      <c r="B24" s="11" t="s">
        <v>317</v>
      </c>
      <c r="C24" s="11"/>
      <c r="D24" s="81" t="s">
        <v>295</v>
      </c>
      <c r="E24" s="104"/>
      <c r="F24" s="17">
        <v>12.19</v>
      </c>
      <c r="G24" s="17">
        <f>IF($F$5&lt;250,0.1666*$F$5,250*0.1239+($F$5-250)*0.1193)</f>
        <v>36.94</v>
      </c>
      <c r="H24" s="17"/>
      <c r="I24" s="15"/>
      <c r="J24" s="17"/>
      <c r="K24" s="17"/>
      <c r="L24" s="17"/>
      <c r="M24" s="98"/>
      <c r="N24" s="12"/>
      <c r="O24" s="12"/>
      <c r="P24" s="12"/>
      <c r="Q24" s="12"/>
    </row>
    <row r="25" spans="1:17" ht="18" x14ac:dyDescent="0.25">
      <c r="A25" s="13">
        <v>14</v>
      </c>
      <c r="B25" s="13" t="s">
        <v>14</v>
      </c>
      <c r="C25" s="13" t="s">
        <v>98</v>
      </c>
      <c r="D25" s="84" t="s">
        <v>264</v>
      </c>
      <c r="E25" s="83" t="s">
        <v>278</v>
      </c>
      <c r="F25" s="30">
        <f>13.33+0.79</f>
        <v>14.120000000000001</v>
      </c>
      <c r="G25" s="30">
        <f>$F$5*(0.0062-0.0055+0.0012)</f>
        <v>0.56999999999999995</v>
      </c>
      <c r="H25" s="30">
        <f t="shared" si="0"/>
        <v>14.690000000000001</v>
      </c>
      <c r="I25" s="14" t="s">
        <v>102</v>
      </c>
      <c r="J25" s="30">
        <f>(0.006+0.0042)*$F$5*M25</f>
        <v>3.3078599999999998</v>
      </c>
      <c r="K25" s="30">
        <f t="shared" ref="K25:K33" si="5">(M25*$F$5-$F$5)*$O$5</f>
        <v>2.7067770000000015</v>
      </c>
      <c r="L25" s="30">
        <f t="shared" ref="L25:L33" si="6">H25+J25+K25</f>
        <v>20.704637000000005</v>
      </c>
      <c r="M25" s="88">
        <v>1.081</v>
      </c>
    </row>
    <row r="26" spans="1:17" ht="18" x14ac:dyDescent="0.25">
      <c r="A26" s="13">
        <v>15</v>
      </c>
      <c r="B26" s="13" t="s">
        <v>15</v>
      </c>
      <c r="C26" s="13" t="s">
        <v>98</v>
      </c>
      <c r="D26" s="84" t="s">
        <v>264</v>
      </c>
      <c r="E26" s="83" t="s">
        <v>278</v>
      </c>
      <c r="F26" s="30">
        <f>15.75+0.79+0.01+0.06+0.6</f>
        <v>17.21</v>
      </c>
      <c r="G26" s="30">
        <f>$F$5*(0.0102+0.0002+0.0003)</f>
        <v>3.2100000000000004</v>
      </c>
      <c r="H26" s="30">
        <f t="shared" si="0"/>
        <v>20.420000000000002</v>
      </c>
      <c r="I26" s="14" t="s">
        <v>102</v>
      </c>
      <c r="J26" s="30">
        <f>(0.0077+0.0064)*$F$5*M26</f>
        <v>4.3822800000000006</v>
      </c>
      <c r="K26" s="30">
        <f t="shared" si="5"/>
        <v>1.2030120000000013</v>
      </c>
      <c r="L26" s="30">
        <f t="shared" si="6"/>
        <v>26.005292000000004</v>
      </c>
      <c r="M26" s="88">
        <v>1.036</v>
      </c>
    </row>
    <row r="27" spans="1:17" ht="18" x14ac:dyDescent="0.25">
      <c r="A27" s="13">
        <v>16</v>
      </c>
      <c r="B27" s="13" t="s">
        <v>16</v>
      </c>
      <c r="C27" s="13" t="s">
        <v>92</v>
      </c>
      <c r="D27" s="84" t="s">
        <v>264</v>
      </c>
      <c r="E27" s="83" t="s">
        <v>278</v>
      </c>
      <c r="F27" s="30">
        <f>18.98+0.22+0.79+0.25-1.4</f>
        <v>18.84</v>
      </c>
      <c r="G27" s="30">
        <f>$F$5*(0.0077+0.0017+0.0002+0.0015)</f>
        <v>3.33</v>
      </c>
      <c r="H27" s="30">
        <f t="shared" si="0"/>
        <v>22.17</v>
      </c>
      <c r="I27" s="14" t="s">
        <v>102</v>
      </c>
      <c r="J27" s="30">
        <f>(0.007+0.0053)*$F$5*M27</f>
        <v>3.8494079999999995</v>
      </c>
      <c r="K27" s="30">
        <f t="shared" si="5"/>
        <v>1.4436143999999977</v>
      </c>
      <c r="L27" s="30">
        <f t="shared" si="6"/>
        <v>27.4630224</v>
      </c>
      <c r="M27" s="88">
        <v>1.0431999999999999</v>
      </c>
    </row>
    <row r="28" spans="1:17" ht="18" x14ac:dyDescent="0.25">
      <c r="A28" s="19">
        <v>16</v>
      </c>
      <c r="B28" s="19" t="s">
        <v>17</v>
      </c>
      <c r="C28" s="12"/>
      <c r="D28" s="79"/>
      <c r="E28" s="79"/>
      <c r="F28" s="30">
        <f t="shared" ref="F28:F30" si="7">18.98+0.22+0.79+0.25-1.4</f>
        <v>18.84</v>
      </c>
      <c r="G28" s="30">
        <f>$F$5*(0.0077+0.0017+0.0002+0.0015)</f>
        <v>3.33</v>
      </c>
      <c r="H28" s="30">
        <f t="shared" si="0"/>
        <v>22.17</v>
      </c>
      <c r="I28" s="14" t="s">
        <v>102</v>
      </c>
      <c r="J28" s="30">
        <f>(0.007+0.0053)*$F$5*M28</f>
        <v>3.8494079999999995</v>
      </c>
      <c r="K28" s="30">
        <f t="shared" si="5"/>
        <v>1.4436143999999977</v>
      </c>
      <c r="L28" s="30">
        <f t="shared" si="6"/>
        <v>27.4630224</v>
      </c>
      <c r="M28" s="88">
        <v>1.0431999999999999</v>
      </c>
    </row>
    <row r="29" spans="1:17" ht="18" x14ac:dyDescent="0.25">
      <c r="A29" s="19">
        <v>16</v>
      </c>
      <c r="B29" s="19" t="s">
        <v>18</v>
      </c>
      <c r="C29" s="12"/>
      <c r="D29" s="79"/>
      <c r="E29" s="79"/>
      <c r="F29" s="30">
        <f t="shared" si="7"/>
        <v>18.84</v>
      </c>
      <c r="G29" s="30">
        <f>$F$5*(0.0077+0.0017+0.0002+0.0015+0.0004)</f>
        <v>3.4499999999999997</v>
      </c>
      <c r="H29" s="30">
        <f t="shared" si="0"/>
        <v>22.29</v>
      </c>
      <c r="I29" s="14" t="s">
        <v>102</v>
      </c>
      <c r="J29" s="30">
        <f>(0.007+0.0053)*$F$5*M29</f>
        <v>3.8494079999999995</v>
      </c>
      <c r="K29" s="30">
        <f t="shared" si="5"/>
        <v>1.4436143999999977</v>
      </c>
      <c r="L29" s="30">
        <f t="shared" si="6"/>
        <v>27.583022399999997</v>
      </c>
      <c r="M29" s="88">
        <v>1.0431999999999999</v>
      </c>
    </row>
    <row r="30" spans="1:17" ht="18" x14ac:dyDescent="0.25">
      <c r="A30" s="19">
        <v>16</v>
      </c>
      <c r="B30" s="19" t="s">
        <v>19</v>
      </c>
      <c r="C30" s="12"/>
      <c r="D30" s="79"/>
      <c r="E30" s="79"/>
      <c r="F30" s="30">
        <f t="shared" si="7"/>
        <v>18.84</v>
      </c>
      <c r="G30" s="30">
        <f>$F$5*(0.0077+0.0017+0.0002+0.0015+0.0023+0.0052)</f>
        <v>5.5799999999999992</v>
      </c>
      <c r="H30" s="30">
        <f t="shared" si="0"/>
        <v>24.419999999999998</v>
      </c>
      <c r="I30" s="14" t="s">
        <v>102</v>
      </c>
      <c r="J30" s="30">
        <f>(0.007+0.0053)*$F$5*M30</f>
        <v>3.8494079999999995</v>
      </c>
      <c r="K30" s="30">
        <f t="shared" si="5"/>
        <v>1.4436143999999977</v>
      </c>
      <c r="L30" s="30">
        <f t="shared" si="6"/>
        <v>29.713022399999996</v>
      </c>
      <c r="M30" s="88">
        <v>1.0431999999999999</v>
      </c>
    </row>
    <row r="31" spans="1:17" ht="18" x14ac:dyDescent="0.25">
      <c r="A31" s="13">
        <v>17</v>
      </c>
      <c r="B31" s="13" t="s">
        <v>20</v>
      </c>
      <c r="C31" s="13" t="s">
        <v>310</v>
      </c>
      <c r="D31" s="84" t="s">
        <v>264</v>
      </c>
      <c r="E31" s="83" t="s">
        <v>278</v>
      </c>
      <c r="F31" s="30">
        <f>14.88+0.69-0.16+0.79</f>
        <v>16.2</v>
      </c>
      <c r="G31" s="30">
        <f>$F$5*(0.0157)</f>
        <v>4.71</v>
      </c>
      <c r="H31" s="30">
        <f t="shared" si="0"/>
        <v>20.91</v>
      </c>
      <c r="I31" s="14" t="s">
        <v>102</v>
      </c>
      <c r="J31" s="30">
        <f>(0.0078+0.0049)*$F$5*M31</f>
        <v>3.9536370000000005</v>
      </c>
      <c r="K31" s="30">
        <f t="shared" si="5"/>
        <v>1.2598209000000002</v>
      </c>
      <c r="L31" s="30">
        <f t="shared" si="6"/>
        <v>26.123457900000002</v>
      </c>
      <c r="M31" s="88">
        <v>1.0377000000000001</v>
      </c>
    </row>
    <row r="32" spans="1:17" ht="18" x14ac:dyDescent="0.25">
      <c r="A32" s="13">
        <v>18</v>
      </c>
      <c r="B32" s="13" t="s">
        <v>21</v>
      </c>
      <c r="C32" s="13" t="s">
        <v>100</v>
      </c>
      <c r="D32" s="84" t="s">
        <v>264</v>
      </c>
      <c r="E32" s="83" t="s">
        <v>278</v>
      </c>
      <c r="F32" s="30">
        <f>19.38+0.79+0.09</f>
        <v>20.259999999999998</v>
      </c>
      <c r="G32" s="30">
        <f>$F$5*(0.0139+0.0021+0.0009)</f>
        <v>5.07</v>
      </c>
      <c r="H32" s="30">
        <f t="shared" si="0"/>
        <v>25.33</v>
      </c>
      <c r="I32" s="10" t="s">
        <v>101</v>
      </c>
      <c r="J32" s="30">
        <f>(0.0062+0.0053)*$F$5*M32</f>
        <v>3.6055949999999992</v>
      </c>
      <c r="K32" s="30">
        <f t="shared" si="5"/>
        <v>1.5071066999999969</v>
      </c>
      <c r="L32" s="30">
        <f t="shared" si="6"/>
        <v>30.442701699999997</v>
      </c>
      <c r="M32" s="88">
        <v>1.0450999999999999</v>
      </c>
    </row>
    <row r="33" spans="1:13" ht="18" x14ac:dyDescent="0.35">
      <c r="A33" s="19">
        <v>18</v>
      </c>
      <c r="B33" s="19" t="s">
        <v>311</v>
      </c>
      <c r="D33" s="3"/>
      <c r="E33" s="79"/>
      <c r="F33" s="30">
        <f>19.38+0.79+0.09</f>
        <v>20.259999999999998</v>
      </c>
      <c r="G33" s="30">
        <f>$F$5*(0.0139+0.0021+0.0009+0.0073)</f>
        <v>7.2600000000000007</v>
      </c>
      <c r="H33" s="30">
        <f t="shared" si="0"/>
        <v>27.52</v>
      </c>
      <c r="I33" s="16" t="s">
        <v>120</v>
      </c>
      <c r="J33" s="30">
        <f>(0.0062+0.0053)*$F$5*M33</f>
        <v>3.6055949999999992</v>
      </c>
      <c r="K33" s="30">
        <f t="shared" si="5"/>
        <v>1.5071066999999969</v>
      </c>
      <c r="L33" s="30">
        <f t="shared" si="6"/>
        <v>32.632701699999991</v>
      </c>
      <c r="M33" s="88">
        <v>1.0450999999999999</v>
      </c>
    </row>
    <row r="34" spans="1:13" ht="17.45" x14ac:dyDescent="0.3">
      <c r="A34">
        <v>19</v>
      </c>
      <c r="B34" t="s">
        <v>24</v>
      </c>
      <c r="C34" s="11" t="s">
        <v>92</v>
      </c>
      <c r="D34" s="81" t="s">
        <v>264</v>
      </c>
      <c r="E34" s="79" t="s">
        <v>309</v>
      </c>
      <c r="F34" s="22"/>
      <c r="G34" s="22"/>
      <c r="H34" s="22"/>
      <c r="I34" s="23"/>
      <c r="J34" s="22"/>
      <c r="K34" s="22"/>
      <c r="L34" s="22"/>
      <c r="M34" s="24"/>
    </row>
    <row r="35" spans="1:13" ht="18" x14ac:dyDescent="0.25">
      <c r="A35" s="13">
        <v>20</v>
      </c>
      <c r="B35" s="13" t="s">
        <v>25</v>
      </c>
      <c r="C35" s="13" t="s">
        <v>100</v>
      </c>
      <c r="D35" s="84" t="s">
        <v>264</v>
      </c>
      <c r="E35" s="83" t="s">
        <v>278</v>
      </c>
      <c r="F35" s="30">
        <f>16.58+0.79-0.11</f>
        <v>17.259999999999998</v>
      </c>
      <c r="G35" s="30">
        <f>$F$5*(0.0116+0.001-0.0023)</f>
        <v>3.09</v>
      </c>
      <c r="H35" s="30">
        <f t="shared" si="0"/>
        <v>20.349999999999998</v>
      </c>
      <c r="I35" s="14" t="s">
        <v>102</v>
      </c>
      <c r="J35" s="30">
        <f>(0.0052+0.0034)*$F$5*M35</f>
        <v>2.7353160000000001</v>
      </c>
      <c r="K35" s="30">
        <f>(M35*$F$5-$F$5)*$O$5</f>
        <v>2.0117034000000005</v>
      </c>
      <c r="L35" s="30">
        <f t="shared" ref="L35:L52" si="8">H35+J35+K35</f>
        <v>25.097019400000001</v>
      </c>
      <c r="M35" s="88">
        <v>1.0602</v>
      </c>
    </row>
    <row r="36" spans="1:13" ht="18" x14ac:dyDescent="0.25">
      <c r="A36" s="13">
        <v>21</v>
      </c>
      <c r="B36" s="13" t="s">
        <v>26</v>
      </c>
      <c r="C36" s="13" t="s">
        <v>98</v>
      </c>
      <c r="D36" s="84" t="s">
        <v>261</v>
      </c>
      <c r="E36" s="83" t="s">
        <v>278</v>
      </c>
      <c r="F36" s="30">
        <f>19.21+0.79</f>
        <v>20</v>
      </c>
      <c r="G36" s="30">
        <f>$F$5*(0.0125-0.0001+0.0003+0.0004+0.0008+0.0002)</f>
        <v>4.2300000000000004</v>
      </c>
      <c r="H36" s="30">
        <f t="shared" si="0"/>
        <v>24.23</v>
      </c>
      <c r="I36" s="14" t="s">
        <v>102</v>
      </c>
      <c r="J36" s="30">
        <f>(0.0071+0.0046)*$F$5*M36</f>
        <v>3.6121409999999998</v>
      </c>
      <c r="K36" s="30">
        <f>(M36*$F$5-$F$5)*$O$5</f>
        <v>0.97243469999999577</v>
      </c>
      <c r="L36" s="30">
        <f t="shared" si="8"/>
        <v>28.814575699999999</v>
      </c>
      <c r="M36" s="88">
        <v>1.0290999999999999</v>
      </c>
    </row>
    <row r="37" spans="1:13" ht="14.45" x14ac:dyDescent="0.3">
      <c r="A37" s="19">
        <v>22</v>
      </c>
      <c r="B37" s="19" t="s">
        <v>28</v>
      </c>
      <c r="C37" s="19"/>
      <c r="D37" s="86"/>
      <c r="E37" s="86"/>
      <c r="F37" s="22"/>
      <c r="G37" s="22"/>
      <c r="H37" s="22"/>
      <c r="I37" s="12"/>
      <c r="J37" s="12"/>
      <c r="K37" s="12"/>
      <c r="L37" s="12"/>
      <c r="M37" s="12"/>
    </row>
    <row r="38" spans="1:13" ht="18" x14ac:dyDescent="0.25">
      <c r="A38" s="13">
        <v>23</v>
      </c>
      <c r="B38" s="13" t="s">
        <v>106</v>
      </c>
      <c r="C38" s="13" t="s">
        <v>100</v>
      </c>
      <c r="D38" s="84" t="s">
        <v>264</v>
      </c>
      <c r="E38" s="83" t="s">
        <v>278</v>
      </c>
      <c r="F38" s="30">
        <f>22.58+0.79</f>
        <v>23.369999999999997</v>
      </c>
      <c r="G38" s="30">
        <f>$F$5*(0.0106+0.0006+0.0001-0.0004)</f>
        <v>3.27</v>
      </c>
      <c r="H38" s="30">
        <f t="shared" si="0"/>
        <v>26.639999999999997</v>
      </c>
      <c r="I38" s="14" t="s">
        <v>102</v>
      </c>
      <c r="J38" s="30">
        <f>(0.0067+0.0018)*$F$5*M38</f>
        <v>2.6698500000000003</v>
      </c>
      <c r="K38" s="30">
        <f t="shared" ref="K38:K52" si="9">(M38*$F$5-$F$5)*$O$5</f>
        <v>1.5705989999999963</v>
      </c>
      <c r="L38" s="30">
        <f t="shared" si="8"/>
        <v>30.880448999999995</v>
      </c>
      <c r="M38" s="88">
        <v>1.0469999999999999</v>
      </c>
    </row>
    <row r="39" spans="1:13" ht="18" x14ac:dyDescent="0.25">
      <c r="A39" s="13">
        <v>24</v>
      </c>
      <c r="B39" s="13" t="s">
        <v>29</v>
      </c>
      <c r="C39" s="13" t="s">
        <v>100</v>
      </c>
      <c r="D39" s="84" t="s">
        <v>264</v>
      </c>
      <c r="E39" s="83" t="s">
        <v>278</v>
      </c>
      <c r="F39" s="30">
        <f>18.63+0.41+0.79+0.04</f>
        <v>19.869999999999997</v>
      </c>
      <c r="G39" s="30">
        <f>$F$5*(0.0093+0.0002-0.0003-0.0014)</f>
        <v>2.34</v>
      </c>
      <c r="H39" s="30">
        <f t="shared" si="0"/>
        <v>22.209999999999997</v>
      </c>
      <c r="I39" s="14" t="s">
        <v>102</v>
      </c>
      <c r="J39" s="30">
        <f>(0.0059+0.0043)*$F$5*M39</f>
        <v>3.2252400000000003</v>
      </c>
      <c r="K39" s="30">
        <f t="shared" si="9"/>
        <v>1.8045179999999987</v>
      </c>
      <c r="L39" s="30">
        <f t="shared" si="8"/>
        <v>27.239757999999995</v>
      </c>
      <c r="M39" s="88">
        <v>1.054</v>
      </c>
    </row>
    <row r="40" spans="1:13" ht="18" x14ac:dyDescent="0.25">
      <c r="A40" s="13">
        <v>25</v>
      </c>
      <c r="B40" s="13" t="s">
        <v>30</v>
      </c>
      <c r="C40" s="13" t="s">
        <v>92</v>
      </c>
      <c r="D40" s="84" t="s">
        <v>318</v>
      </c>
      <c r="E40" s="83" t="s">
        <v>278</v>
      </c>
      <c r="F40" s="30">
        <f>19.55+0.79+0.32</f>
        <v>20.66</v>
      </c>
      <c r="G40" s="30">
        <f>$F$5*(0.0099+0.001+0.0001)</f>
        <v>3.3</v>
      </c>
      <c r="H40" s="30">
        <f t="shared" si="0"/>
        <v>23.96</v>
      </c>
      <c r="I40" s="14" t="s">
        <v>102</v>
      </c>
      <c r="J40" s="30">
        <f>(0.0057+0.0033)*$F$5*M40</f>
        <v>2.8233900000000003</v>
      </c>
      <c r="K40" s="30">
        <f t="shared" si="9"/>
        <v>1.527156900000004</v>
      </c>
      <c r="L40" s="30">
        <f t="shared" si="8"/>
        <v>28.310546900000006</v>
      </c>
      <c r="M40" s="88">
        <v>1.0457000000000001</v>
      </c>
    </row>
    <row r="41" spans="1:13" ht="18" x14ac:dyDescent="0.25">
      <c r="A41" s="13">
        <v>26</v>
      </c>
      <c r="B41" s="13" t="s">
        <v>31</v>
      </c>
      <c r="C41" s="13" t="s">
        <v>92</v>
      </c>
      <c r="D41" s="84" t="s">
        <v>261</v>
      </c>
      <c r="E41" s="83" t="s">
        <v>278</v>
      </c>
      <c r="F41" s="30">
        <f>18.93+0.73-0.18+0.79-0.29</f>
        <v>19.98</v>
      </c>
      <c r="G41" s="30">
        <f>$F$5*(0.0144+0.0007+0.0003)</f>
        <v>4.6199999999999992</v>
      </c>
      <c r="H41" s="30">
        <f t="shared" si="0"/>
        <v>24.6</v>
      </c>
      <c r="I41" s="14" t="s">
        <v>102</v>
      </c>
      <c r="J41" s="30">
        <f>(0.0074+0.0058)*$F$5*M41</f>
        <v>4.0629600000000003</v>
      </c>
      <c r="K41" s="30">
        <f t="shared" si="9"/>
        <v>0.86884200000000134</v>
      </c>
      <c r="L41" s="30">
        <f t="shared" si="8"/>
        <v>29.531802000000003</v>
      </c>
      <c r="M41" s="88">
        <v>1.026</v>
      </c>
    </row>
    <row r="42" spans="1:13" ht="18" x14ac:dyDescent="0.25">
      <c r="A42" s="13">
        <v>27</v>
      </c>
      <c r="B42" s="13" t="s">
        <v>107</v>
      </c>
      <c r="C42" s="13" t="s">
        <v>280</v>
      </c>
      <c r="D42" s="103" t="s">
        <v>261</v>
      </c>
      <c r="E42" s="83" t="s">
        <v>278</v>
      </c>
      <c r="F42" s="30">
        <f>20.74-0.21+0.79</f>
        <v>21.319999999999997</v>
      </c>
      <c r="G42" s="30">
        <f>$F$5*(0.0198+0.0004-0.0002-0.0015+0.0002)</f>
        <v>5.61</v>
      </c>
      <c r="H42" s="30">
        <f t="shared" si="0"/>
        <v>26.929999999999996</v>
      </c>
      <c r="I42" s="14" t="s">
        <v>102</v>
      </c>
      <c r="J42" s="30">
        <f>(0.0068+0.0052)*$F$5*M42</f>
        <v>3.8357999999999999</v>
      </c>
      <c r="K42" s="30">
        <f t="shared" si="9"/>
        <v>2.1888134999999975</v>
      </c>
      <c r="L42" s="30">
        <f t="shared" si="8"/>
        <v>32.954613499999994</v>
      </c>
      <c r="M42" s="88">
        <v>1.0654999999999999</v>
      </c>
    </row>
    <row r="43" spans="1:13" ht="18" x14ac:dyDescent="0.25">
      <c r="A43" s="13">
        <v>28</v>
      </c>
      <c r="B43" s="13" t="s">
        <v>32</v>
      </c>
      <c r="C43" s="13" t="s">
        <v>92</v>
      </c>
      <c r="D43" s="84" t="s">
        <v>264</v>
      </c>
      <c r="E43" s="83" t="s">
        <v>278</v>
      </c>
      <c r="F43" s="109">
        <f>17.04+0.79+2.23+0.37</f>
        <v>20.43</v>
      </c>
      <c r="G43" s="30">
        <f>$F$5*(0.01+0.0026-0.0006)</f>
        <v>3.6</v>
      </c>
      <c r="H43" s="30">
        <f t="shared" si="0"/>
        <v>24.03</v>
      </c>
      <c r="I43" s="14" t="s">
        <v>102</v>
      </c>
      <c r="J43" s="30">
        <f>(0.0067+0.0052)*$F$5*M43</f>
        <v>3.7699200000000004</v>
      </c>
      <c r="K43" s="30">
        <f t="shared" si="9"/>
        <v>1.8713520000000012</v>
      </c>
      <c r="L43" s="30">
        <f t="shared" si="8"/>
        <v>29.671272000000002</v>
      </c>
      <c r="M43" s="88">
        <v>1.056</v>
      </c>
    </row>
    <row r="44" spans="1:13" ht="18" x14ac:dyDescent="0.25">
      <c r="A44" s="13">
        <v>29</v>
      </c>
      <c r="B44" s="13" t="s">
        <v>33</v>
      </c>
      <c r="C44" s="27" t="s">
        <v>92</v>
      </c>
      <c r="D44" s="84" t="s">
        <v>264</v>
      </c>
      <c r="E44" s="83" t="s">
        <v>278</v>
      </c>
      <c r="F44" s="30">
        <f>11.93-0.15+3.48+0.24+0.79</f>
        <v>16.29</v>
      </c>
      <c r="G44" s="30">
        <f>$F$5*(0.0126+0.0013-0.0005+0.0002+0.0007)</f>
        <v>4.2899999999999991</v>
      </c>
      <c r="H44" s="30">
        <f t="shared" si="0"/>
        <v>20.58</v>
      </c>
      <c r="I44" s="10" t="s">
        <v>101</v>
      </c>
      <c r="J44" s="30">
        <f>(0.0063+0.0051)*$F$5*M44</f>
        <v>3.5615880000000004</v>
      </c>
      <c r="K44" s="30">
        <f t="shared" si="9"/>
        <v>1.3834638000000019</v>
      </c>
      <c r="L44" s="30">
        <f t="shared" si="8"/>
        <v>25.5250518</v>
      </c>
      <c r="M44" s="13">
        <v>1.0414000000000001</v>
      </c>
    </row>
    <row r="45" spans="1:13" ht="18" x14ac:dyDescent="0.25">
      <c r="A45" s="13">
        <v>30</v>
      </c>
      <c r="B45" s="13" t="s">
        <v>34</v>
      </c>
      <c r="C45" s="13" t="s">
        <v>201</v>
      </c>
      <c r="D45" s="84" t="s">
        <v>261</v>
      </c>
      <c r="E45" s="83" t="s">
        <v>278</v>
      </c>
      <c r="F45" s="30">
        <f>18.8+0.79+0.79</f>
        <v>20.38</v>
      </c>
      <c r="G45" s="30">
        <f>$F$5*(0.0121+0.00006+0.0003)</f>
        <v>3.7379999999999995</v>
      </c>
      <c r="H45" s="30">
        <f t="shared" si="0"/>
        <v>24.117999999999999</v>
      </c>
      <c r="I45" s="14" t="s">
        <v>102</v>
      </c>
      <c r="J45" s="30">
        <f>(0.0078+0.0059)*$F$5*M45</f>
        <v>4.2657690000000006</v>
      </c>
      <c r="K45" s="30">
        <f t="shared" si="9"/>
        <v>1.2665043000000005</v>
      </c>
      <c r="L45" s="30">
        <f t="shared" si="8"/>
        <v>29.650273300000002</v>
      </c>
      <c r="M45" s="88">
        <v>1.0379</v>
      </c>
    </row>
    <row r="46" spans="1:13" ht="18" x14ac:dyDescent="0.25">
      <c r="A46" s="13">
        <v>31</v>
      </c>
      <c r="B46" s="13" t="s">
        <v>35</v>
      </c>
      <c r="C46" s="13" t="s">
        <v>100</v>
      </c>
      <c r="D46" s="84" t="s">
        <v>264</v>
      </c>
      <c r="E46" s="83" t="s">
        <v>278</v>
      </c>
      <c r="F46" s="109">
        <f>18.31+0.79</f>
        <v>19.099999999999998</v>
      </c>
      <c r="G46" s="30">
        <f>$F$5*(0.012+0.0054+0.0027)</f>
        <v>6.03</v>
      </c>
      <c r="H46" s="30">
        <f t="shared" si="0"/>
        <v>25.13</v>
      </c>
      <c r="I46" s="110" t="s">
        <v>102</v>
      </c>
      <c r="J46" s="30">
        <f>(0.0068+0.0051)*$F$5*M46</f>
        <v>3.8456040000000002</v>
      </c>
      <c r="K46" s="30">
        <f t="shared" si="9"/>
        <v>2.5797923999999965</v>
      </c>
      <c r="L46" s="30">
        <f t="shared" si="8"/>
        <v>31.555396399999996</v>
      </c>
      <c r="M46" s="88">
        <v>1.0771999999999999</v>
      </c>
    </row>
    <row r="47" spans="1:13" ht="18" x14ac:dyDescent="0.25">
      <c r="A47" s="13">
        <v>32</v>
      </c>
      <c r="B47" s="13" t="s">
        <v>108</v>
      </c>
      <c r="C47" s="13" t="s">
        <v>100</v>
      </c>
      <c r="D47" s="84" t="s">
        <v>261</v>
      </c>
      <c r="E47" s="83" t="s">
        <v>278</v>
      </c>
      <c r="F47" s="30">
        <f>9.6+0.79</f>
        <v>10.39</v>
      </c>
      <c r="G47" s="30">
        <f>$F$5*(0.0076+0.0007)</f>
        <v>2.4900000000000002</v>
      </c>
      <c r="H47" s="30">
        <f t="shared" si="0"/>
        <v>12.88</v>
      </c>
      <c r="I47" s="14" t="s">
        <v>102</v>
      </c>
      <c r="J47" s="30">
        <f>(0.0071+0.0034)*$F$5*M47</f>
        <v>3.3204150000000006</v>
      </c>
      <c r="K47" s="30">
        <f t="shared" si="9"/>
        <v>1.8078597000000021</v>
      </c>
      <c r="L47" s="30">
        <f t="shared" si="8"/>
        <v>18.008274700000001</v>
      </c>
      <c r="M47" s="88">
        <v>1.0541</v>
      </c>
    </row>
    <row r="48" spans="1:13" ht="18" x14ac:dyDescent="0.25">
      <c r="A48" s="13">
        <v>33</v>
      </c>
      <c r="B48" s="13" t="s">
        <v>36</v>
      </c>
      <c r="C48" s="13" t="s">
        <v>100</v>
      </c>
      <c r="D48" s="84" t="s">
        <v>261</v>
      </c>
      <c r="E48" s="83" t="s">
        <v>278</v>
      </c>
      <c r="F48" s="30">
        <f>14.32+0.79</f>
        <v>15.11</v>
      </c>
      <c r="G48" s="30">
        <f>$F$5*(0.0118+0.0005)</f>
        <v>3.69</v>
      </c>
      <c r="H48" s="30">
        <f t="shared" si="0"/>
        <v>18.8</v>
      </c>
      <c r="I48" s="14" t="s">
        <v>102</v>
      </c>
      <c r="J48" s="30">
        <f>(0.0078+0.0057)*$F$5*M48</f>
        <v>4.1881050000000002</v>
      </c>
      <c r="K48" s="30">
        <f t="shared" si="9"/>
        <v>1.1395197000000021</v>
      </c>
      <c r="L48" s="30">
        <f t="shared" si="8"/>
        <v>24.127624700000002</v>
      </c>
      <c r="M48" s="88">
        <v>1.0341</v>
      </c>
    </row>
    <row r="49" spans="1:13" ht="18" x14ac:dyDescent="0.25">
      <c r="A49" s="13">
        <v>34</v>
      </c>
      <c r="B49" s="13" t="s">
        <v>37</v>
      </c>
      <c r="C49" s="13" t="s">
        <v>201</v>
      </c>
      <c r="D49" s="83"/>
      <c r="E49" s="83" t="s">
        <v>278</v>
      </c>
      <c r="F49" s="30">
        <f>30.11+0.78-0.01+0.79</f>
        <v>31.669999999999998</v>
      </c>
      <c r="G49" s="30">
        <f>$F$5*(0.0299-0.0001)</f>
        <v>8.94</v>
      </c>
      <c r="H49" s="30">
        <f t="shared" si="0"/>
        <v>40.61</v>
      </c>
      <c r="I49" s="14" t="s">
        <v>102</v>
      </c>
      <c r="J49" s="30">
        <f>(0.0068+0.0048)*$F$5*M49</f>
        <v>3.7444799999999998</v>
      </c>
      <c r="K49" s="30">
        <f t="shared" si="9"/>
        <v>2.5396920000000014</v>
      </c>
      <c r="L49" s="30">
        <f t="shared" si="8"/>
        <v>46.894172000000005</v>
      </c>
      <c r="M49" s="88">
        <v>1.0760000000000001</v>
      </c>
    </row>
    <row r="50" spans="1:13" ht="18" x14ac:dyDescent="0.25">
      <c r="A50" s="13">
        <v>34</v>
      </c>
      <c r="B50" s="13" t="s">
        <v>38</v>
      </c>
      <c r="C50" s="13" t="s">
        <v>201</v>
      </c>
      <c r="D50" s="83"/>
      <c r="E50" s="83" t="s">
        <v>278</v>
      </c>
      <c r="F50" s="30">
        <f>72.86+1.27+0.69+0.79-31.5</f>
        <v>44.11</v>
      </c>
      <c r="G50" s="30">
        <f>$F$5*(0.0426+0.0001)</f>
        <v>12.81</v>
      </c>
      <c r="H50" s="30">
        <f t="shared" si="0"/>
        <v>56.92</v>
      </c>
      <c r="I50" s="14" t="s">
        <v>102</v>
      </c>
      <c r="J50" s="30">
        <f>(0.0065+0.0046)*$F$5*M50</f>
        <v>3.6796499999999996</v>
      </c>
      <c r="K50" s="30">
        <f t="shared" si="9"/>
        <v>3.508785</v>
      </c>
      <c r="L50" s="30">
        <f t="shared" si="8"/>
        <v>64.108435</v>
      </c>
      <c r="M50" s="88">
        <v>1.105</v>
      </c>
    </row>
    <row r="51" spans="1:13" ht="18" x14ac:dyDescent="0.25">
      <c r="A51" s="13">
        <v>34</v>
      </c>
      <c r="B51" s="13" t="s">
        <v>121</v>
      </c>
      <c r="C51" s="13" t="s">
        <v>201</v>
      </c>
      <c r="D51" s="83"/>
      <c r="E51" s="83" t="s">
        <v>278</v>
      </c>
      <c r="F51" s="30">
        <f>32.47+0.8+0.3+0.79</f>
        <v>34.359999999999992</v>
      </c>
      <c r="G51" s="30">
        <f>$F$5*(0.0748+0.0005)</f>
        <v>22.590000000000003</v>
      </c>
      <c r="H51" s="30">
        <f t="shared" si="0"/>
        <v>56.949999999999996</v>
      </c>
      <c r="I51" s="14" t="s">
        <v>102</v>
      </c>
      <c r="J51" s="30">
        <f>(0.0056+0.0042)*$F$5*M51</f>
        <v>3.2457600000000002</v>
      </c>
      <c r="K51" s="30">
        <f t="shared" si="9"/>
        <v>3.4753680000000053</v>
      </c>
      <c r="L51" s="30">
        <f t="shared" si="8"/>
        <v>63.671127999999996</v>
      </c>
      <c r="M51" s="88">
        <v>1.1040000000000001</v>
      </c>
    </row>
    <row r="52" spans="1:13" ht="18" x14ac:dyDescent="0.25">
      <c r="A52" s="13">
        <v>34</v>
      </c>
      <c r="B52" s="13" t="s">
        <v>39</v>
      </c>
      <c r="C52" s="13" t="s">
        <v>201</v>
      </c>
      <c r="D52" s="83"/>
      <c r="E52" s="83" t="s">
        <v>278</v>
      </c>
      <c r="F52" s="30">
        <f>22.29+0.69-0.12+0.79</f>
        <v>23.65</v>
      </c>
      <c r="G52" s="30">
        <f>$F$5*(0.0162-0.0002)</f>
        <v>4.8</v>
      </c>
      <c r="H52" s="30">
        <f t="shared" si="0"/>
        <v>28.45</v>
      </c>
      <c r="I52" s="14" t="s">
        <v>102</v>
      </c>
      <c r="J52" s="30">
        <f>(0.0069+0.0049)*$F$5*M52</f>
        <v>3.7417799999999999</v>
      </c>
      <c r="K52" s="30">
        <f t="shared" si="9"/>
        <v>1.9047689999999962</v>
      </c>
      <c r="L52" s="30">
        <f t="shared" si="8"/>
        <v>34.096548999999996</v>
      </c>
      <c r="M52" s="88">
        <v>1.0569999999999999</v>
      </c>
    </row>
    <row r="53" spans="1:13" ht="14.45" x14ac:dyDescent="0.3">
      <c r="A53" s="11">
        <v>34</v>
      </c>
      <c r="B53" s="11" t="s">
        <v>40</v>
      </c>
      <c r="C53" s="13" t="s">
        <v>98</v>
      </c>
      <c r="D53" s="84" t="s">
        <v>264</v>
      </c>
      <c r="E53" s="83" t="s">
        <v>278</v>
      </c>
      <c r="F53" s="30">
        <f>19.09</f>
        <v>19.09</v>
      </c>
      <c r="G53" s="30">
        <f>IF(F5&lt;=1000,F5*0.0898,IF(F5&lt;=2500,1000*0.0898+(F5-1000)*0.1198,1000*0.0898+1500*0.1198+(F5-2500)*0.1806))</f>
        <v>26.94</v>
      </c>
      <c r="H53" s="18"/>
      <c r="I53" s="19"/>
      <c r="J53" s="19"/>
      <c r="K53" s="19"/>
      <c r="L53" s="19"/>
      <c r="M53" s="19"/>
    </row>
    <row r="54" spans="1:13" ht="14.45" x14ac:dyDescent="0.3">
      <c r="A54" s="11"/>
      <c r="B54" s="11" t="s">
        <v>306</v>
      </c>
      <c r="C54" s="13" t="s">
        <v>98</v>
      </c>
      <c r="D54" s="84" t="s">
        <v>264</v>
      </c>
      <c r="E54" s="83" t="s">
        <v>278</v>
      </c>
      <c r="F54" s="30">
        <v>0</v>
      </c>
      <c r="G54" s="30">
        <f>IF(F5&lt;=250,F5*0.8926,IF(F5&gt;250,250*0.8926+(F5-250)*0.9769))</f>
        <v>271.995</v>
      </c>
      <c r="H54" s="18"/>
      <c r="I54" s="19"/>
      <c r="J54" s="19"/>
      <c r="K54" s="19"/>
      <c r="L54" s="19"/>
      <c r="M54" s="19"/>
    </row>
    <row r="55" spans="1:13" ht="18" x14ac:dyDescent="0.25">
      <c r="A55" s="13">
        <v>35</v>
      </c>
      <c r="B55" s="13" t="s">
        <v>41</v>
      </c>
      <c r="C55" s="13" t="s">
        <v>118</v>
      </c>
      <c r="D55" s="84" t="s">
        <v>261</v>
      </c>
      <c r="E55" s="83" t="s">
        <v>278</v>
      </c>
      <c r="F55" s="30">
        <f>12.96+0.79</f>
        <v>13.75</v>
      </c>
      <c r="G55" s="30">
        <f>$F$5*(0.0193+0.00007-0.00002-0.000826-0.001509)</f>
        <v>5.1045000000000007</v>
      </c>
      <c r="H55" s="30">
        <f t="shared" si="0"/>
        <v>18.854500000000002</v>
      </c>
      <c r="I55" s="10" t="s">
        <v>101</v>
      </c>
      <c r="J55" s="30">
        <f>(0.0076+0.0047)*$F$5*M55</f>
        <v>3.8136150000000004</v>
      </c>
      <c r="K55" s="30">
        <f>(M55*$F$5-$F$5)*$O$5</f>
        <v>1.1194695000000012</v>
      </c>
      <c r="L55" s="30">
        <f t="shared" ref="L55:L56" si="10">H55+J55+K55</f>
        <v>23.787584500000001</v>
      </c>
      <c r="M55" s="88">
        <v>1.0335000000000001</v>
      </c>
    </row>
    <row r="56" spans="1:13" ht="18" x14ac:dyDescent="0.25">
      <c r="A56" s="13">
        <v>36</v>
      </c>
      <c r="B56" s="13" t="s">
        <v>279</v>
      </c>
      <c r="C56" s="13" t="s">
        <v>100</v>
      </c>
      <c r="D56" s="84" t="s">
        <v>261</v>
      </c>
      <c r="E56" s="83" t="s">
        <v>278</v>
      </c>
      <c r="F56" s="30">
        <f>24.85+0.79+2.21</f>
        <v>27.85</v>
      </c>
      <c r="G56" s="30">
        <f>$F$5*(0.0139+0.0022+0.0002+0.002-0.0007)</f>
        <v>5.2799999999999994</v>
      </c>
      <c r="H56" s="30">
        <f t="shared" si="0"/>
        <v>33.130000000000003</v>
      </c>
      <c r="I56" s="14" t="s">
        <v>102</v>
      </c>
      <c r="J56" s="30">
        <f>(0.0057+0.0041)*$F$5*M56</f>
        <v>3.1525620000000001</v>
      </c>
      <c r="K56" s="30">
        <f>(M56*$F$5-$F$5)*$O$5</f>
        <v>2.4160490999999999</v>
      </c>
      <c r="L56" s="30">
        <f t="shared" si="10"/>
        <v>38.698611100000008</v>
      </c>
      <c r="M56" s="88">
        <v>1.0723</v>
      </c>
    </row>
    <row r="57" spans="1:13" ht="14.45" x14ac:dyDescent="0.3">
      <c r="A57" s="19">
        <v>37</v>
      </c>
      <c r="B57" s="19" t="s">
        <v>43</v>
      </c>
      <c r="C57" s="19"/>
      <c r="D57" s="86"/>
      <c r="E57" s="86"/>
      <c r="F57" s="22"/>
      <c r="G57" s="22"/>
      <c r="H57" s="22"/>
      <c r="I57" s="12"/>
      <c r="J57" s="12"/>
      <c r="K57" s="12"/>
      <c r="L57" s="12"/>
      <c r="M57" s="12"/>
    </row>
    <row r="58" spans="1:13" ht="18" x14ac:dyDescent="0.25">
      <c r="A58" s="13">
        <v>38</v>
      </c>
      <c r="B58" s="13" t="s">
        <v>44</v>
      </c>
      <c r="C58" s="13" t="s">
        <v>98</v>
      </c>
      <c r="D58" s="84" t="s">
        <v>264</v>
      </c>
      <c r="E58" s="83" t="s">
        <v>100</v>
      </c>
      <c r="F58" s="30">
        <f>22.24+0.79</f>
        <v>23.029999999999998</v>
      </c>
      <c r="G58" s="30">
        <f>$F$5*(0.0109)</f>
        <v>3.27</v>
      </c>
      <c r="H58" s="30">
        <f t="shared" si="0"/>
        <v>26.299999999999997</v>
      </c>
      <c r="I58" s="14" t="s">
        <v>102</v>
      </c>
      <c r="J58" s="30">
        <f>(0.0068+0.0019)*$F$5*M58</f>
        <v>2.7222299999999997</v>
      </c>
      <c r="K58" s="30">
        <f t="shared" ref="K58:K78" si="11">(M58*$F$5-$F$5)*$O$5</f>
        <v>1.4369309999999975</v>
      </c>
      <c r="L58" s="30">
        <f t="shared" ref="L58:L78" si="12">H58+J58+K58</f>
        <v>30.459160999999995</v>
      </c>
      <c r="M58" s="88">
        <v>1.0429999999999999</v>
      </c>
    </row>
    <row r="59" spans="1:13" ht="18" x14ac:dyDescent="0.25">
      <c r="A59" s="13">
        <v>39</v>
      </c>
      <c r="B59" s="13" t="s">
        <v>314</v>
      </c>
      <c r="C59" s="13" t="s">
        <v>313</v>
      </c>
      <c r="D59" s="82" t="s">
        <v>261</v>
      </c>
      <c r="E59" s="83" t="s">
        <v>278</v>
      </c>
      <c r="F59" s="30">
        <f>13.98+0.79+0.25+3.69</f>
        <v>18.71</v>
      </c>
      <c r="G59" s="30">
        <f>$F$5*(0.0139+0.0012-0.0001+0.0007+0.0004-0.0108+0.0003)</f>
        <v>1.6799999999999997</v>
      </c>
      <c r="H59" s="30">
        <f>F59+G59</f>
        <v>20.39</v>
      </c>
      <c r="I59" s="14" t="s">
        <v>102</v>
      </c>
      <c r="J59" s="30">
        <f>(0.0071+0.0056)*$F$5*M59</f>
        <v>3.9597329999999995</v>
      </c>
      <c r="K59" s="30">
        <f t="shared" si="11"/>
        <v>1.3132880999999961</v>
      </c>
      <c r="L59" s="30">
        <f t="shared" si="12"/>
        <v>25.663021099999998</v>
      </c>
      <c r="M59" s="88">
        <v>1.0392999999999999</v>
      </c>
    </row>
    <row r="60" spans="1:13" ht="18" x14ac:dyDescent="0.25">
      <c r="A60" s="13">
        <v>40</v>
      </c>
      <c r="B60" s="13" t="s">
        <v>109</v>
      </c>
      <c r="C60" s="13" t="s">
        <v>100</v>
      </c>
      <c r="D60" s="84" t="s">
        <v>261</v>
      </c>
      <c r="E60" s="83" t="s">
        <v>278</v>
      </c>
      <c r="F60" s="30">
        <f>13.61+0.79</f>
        <v>14.399999999999999</v>
      </c>
      <c r="G60" s="30">
        <f>$F$5*(0.0125+0.0003)</f>
        <v>3.8400000000000003</v>
      </c>
      <c r="H60" s="30">
        <f t="shared" ref="H60:H78" si="13">F60+G60</f>
        <v>18.239999999999998</v>
      </c>
      <c r="I60" s="14" t="s">
        <v>102</v>
      </c>
      <c r="J60" s="30">
        <f>(0.007+0.0016)*$F$5*M60</f>
        <v>2.6705579999999998</v>
      </c>
      <c r="K60" s="30">
        <f t="shared" si="11"/>
        <v>1.1729366999999971</v>
      </c>
      <c r="L60" s="30">
        <f t="shared" si="12"/>
        <v>22.083494699999996</v>
      </c>
      <c r="M60" s="88">
        <v>1.0350999999999999</v>
      </c>
    </row>
    <row r="61" spans="1:13" ht="18" x14ac:dyDescent="0.25">
      <c r="A61" s="13">
        <v>41</v>
      </c>
      <c r="B61" s="13" t="s">
        <v>46</v>
      </c>
      <c r="C61" s="13" t="s">
        <v>100</v>
      </c>
      <c r="D61" s="84" t="s">
        <v>264</v>
      </c>
      <c r="E61" s="83" t="s">
        <v>278</v>
      </c>
      <c r="F61" s="30">
        <f>13.14+0.79+0.09</f>
        <v>14.02</v>
      </c>
      <c r="G61" s="30">
        <f>$F$5*(0.0113+0.0013+0.0008+0.0022)</f>
        <v>4.6800000000000006</v>
      </c>
      <c r="H61" s="30">
        <f t="shared" si="13"/>
        <v>18.7</v>
      </c>
      <c r="I61" s="14" t="s">
        <v>102</v>
      </c>
      <c r="J61" s="30">
        <f>(0.0059+0.0045)*$F$5*M61</f>
        <v>3.2962799999999994</v>
      </c>
      <c r="K61" s="30">
        <f t="shared" si="11"/>
        <v>1.8880604999999988</v>
      </c>
      <c r="L61" s="30">
        <f t="shared" si="12"/>
        <v>23.884340499999997</v>
      </c>
      <c r="M61" s="88">
        <v>1.0565</v>
      </c>
    </row>
    <row r="62" spans="1:13" ht="18" x14ac:dyDescent="0.25">
      <c r="A62" s="13">
        <v>42</v>
      </c>
      <c r="B62" s="13" t="s">
        <v>47</v>
      </c>
      <c r="C62" s="13" t="s">
        <v>98</v>
      </c>
      <c r="D62" s="89" t="s">
        <v>264</v>
      </c>
      <c r="E62" s="83" t="s">
        <v>278</v>
      </c>
      <c r="F62" s="30">
        <f>23.66+0.17+0.79</f>
        <v>24.62</v>
      </c>
      <c r="G62" s="30">
        <f>$F$5*(0.0113+0.0034-0.0036+0.00004)</f>
        <v>3.3419999999999996</v>
      </c>
      <c r="H62" s="30">
        <f t="shared" si="13"/>
        <v>27.962</v>
      </c>
      <c r="I62" s="14" t="s">
        <v>102</v>
      </c>
      <c r="J62" s="30">
        <f>(0.0057+0.0045)*$F$5*M62</f>
        <v>3.2873580000000002</v>
      </c>
      <c r="K62" s="30">
        <f t="shared" si="11"/>
        <v>2.4828831000000022</v>
      </c>
      <c r="L62" s="30">
        <f t="shared" si="12"/>
        <v>33.732241100000003</v>
      </c>
      <c r="M62" s="88">
        <v>1.0743</v>
      </c>
    </row>
    <row r="63" spans="1:13" ht="18" x14ac:dyDescent="0.25">
      <c r="A63" s="13">
        <v>43</v>
      </c>
      <c r="B63" s="13" t="s">
        <v>48</v>
      </c>
      <c r="C63" s="13" t="s">
        <v>100</v>
      </c>
      <c r="D63" s="84" t="s">
        <v>264</v>
      </c>
      <c r="E63" s="83" t="s">
        <v>278</v>
      </c>
      <c r="F63" s="30">
        <f>16.42+0.01+0.79</f>
        <v>17.220000000000002</v>
      </c>
      <c r="G63" s="30">
        <f>$F$5*(0.0121+0.0012-0.0025)</f>
        <v>3.2399999999999998</v>
      </c>
      <c r="H63" s="30">
        <f t="shared" si="13"/>
        <v>20.46</v>
      </c>
      <c r="I63" s="14" t="s">
        <v>102</v>
      </c>
      <c r="J63" s="30">
        <f>(0.0069+0.0058)*$F$5*M63</f>
        <v>3.9433499999999997</v>
      </c>
      <c r="K63" s="30">
        <f t="shared" si="11"/>
        <v>1.1695949999999999</v>
      </c>
      <c r="L63" s="30">
        <f t="shared" si="12"/>
        <v>25.572945000000001</v>
      </c>
      <c r="M63" s="88">
        <v>1.0349999999999999</v>
      </c>
    </row>
    <row r="64" spans="1:13" ht="18" x14ac:dyDescent="0.25">
      <c r="A64" s="13">
        <v>44</v>
      </c>
      <c r="B64" s="13" t="s">
        <v>49</v>
      </c>
      <c r="C64" s="13" t="s">
        <v>100</v>
      </c>
      <c r="D64" s="84" t="s">
        <v>264</v>
      </c>
      <c r="E64" s="83" t="s">
        <v>278</v>
      </c>
      <c r="F64" s="30">
        <f>19.35+0.79</f>
        <v>20.14</v>
      </c>
      <c r="G64" s="30">
        <f>$F$5*(0.0157+0.002+0.0005-0.00001)</f>
        <v>5.4570000000000007</v>
      </c>
      <c r="H64" s="30">
        <f t="shared" si="13"/>
        <v>25.597000000000001</v>
      </c>
      <c r="I64" s="14" t="s">
        <v>102</v>
      </c>
      <c r="J64" s="30">
        <f>(0.0069+0.0053)*$F$5*M64</f>
        <v>3.9096119999999996</v>
      </c>
      <c r="K64" s="30">
        <f t="shared" si="11"/>
        <v>2.2790394000000043</v>
      </c>
      <c r="L64" s="30">
        <f t="shared" si="12"/>
        <v>31.785651400000006</v>
      </c>
      <c r="M64" s="88">
        <v>1.0682</v>
      </c>
    </row>
    <row r="65" spans="1:13" ht="18" x14ac:dyDescent="0.25">
      <c r="A65" s="13">
        <v>45</v>
      </c>
      <c r="B65" s="27" t="s">
        <v>50</v>
      </c>
      <c r="C65" s="13" t="s">
        <v>92</v>
      </c>
      <c r="D65" s="111" t="s">
        <v>281</v>
      </c>
      <c r="E65" s="83" t="s">
        <v>278</v>
      </c>
      <c r="F65" s="30">
        <f>18.61+0.79+0.98-1.423+1.51</f>
        <v>20.467000000000002</v>
      </c>
      <c r="G65" s="30">
        <f>$F$5*(-0.0018+0.011+0.0006+0.0036-0.0032)</f>
        <v>3.0599999999999996</v>
      </c>
      <c r="H65" s="30">
        <f t="shared" si="13"/>
        <v>23.527000000000001</v>
      </c>
      <c r="I65" s="14" t="s">
        <v>102</v>
      </c>
      <c r="J65" s="30">
        <f>(0.0073+0.006)*$F$5*M65</f>
        <v>4.1396250000000006</v>
      </c>
      <c r="K65" s="30">
        <f t="shared" si="11"/>
        <v>1.2531375</v>
      </c>
      <c r="L65" s="30">
        <f t="shared" si="12"/>
        <v>28.919762500000004</v>
      </c>
      <c r="M65" s="88">
        <v>1.0375000000000001</v>
      </c>
    </row>
    <row r="66" spans="1:13" ht="18" x14ac:dyDescent="0.25">
      <c r="A66" s="13">
        <v>46</v>
      </c>
      <c r="B66" s="13" t="s">
        <v>51</v>
      </c>
      <c r="C66" s="13" t="s">
        <v>210</v>
      </c>
      <c r="D66" s="84" t="s">
        <v>261</v>
      </c>
      <c r="E66" s="83" t="s">
        <v>278</v>
      </c>
      <c r="F66" s="30">
        <f>18.06+0.79-0.11</f>
        <v>18.739999999999998</v>
      </c>
      <c r="G66" s="30">
        <f>$F$5*(0.0111)</f>
        <v>3.33</v>
      </c>
      <c r="H66" s="30">
        <f t="shared" si="13"/>
        <v>22.07</v>
      </c>
      <c r="I66" s="14" t="s">
        <v>102</v>
      </c>
      <c r="J66" s="30">
        <f>(0.0084+0.0068)*$F$5*M66</f>
        <v>4.734648</v>
      </c>
      <c r="K66" s="30">
        <f t="shared" si="11"/>
        <v>1.2798711000000011</v>
      </c>
      <c r="L66" s="30">
        <f t="shared" si="12"/>
        <v>28.084519100000001</v>
      </c>
      <c r="M66" s="88">
        <v>1.0383</v>
      </c>
    </row>
    <row r="67" spans="1:13" ht="18" x14ac:dyDescent="0.25">
      <c r="A67" s="13">
        <v>47</v>
      </c>
      <c r="B67" s="13" t="s">
        <v>110</v>
      </c>
      <c r="C67" s="13" t="s">
        <v>98</v>
      </c>
      <c r="D67" s="84" t="s">
        <v>264</v>
      </c>
      <c r="E67" s="83" t="s">
        <v>278</v>
      </c>
      <c r="F67" s="30">
        <f>21.06+0.79-0.28+0.13</f>
        <v>21.699999999999996</v>
      </c>
      <c r="G67" s="30">
        <f>$F$5*(0.0098-0.0036-0.001+0.0007)</f>
        <v>1.77</v>
      </c>
      <c r="H67" s="30">
        <f t="shared" si="13"/>
        <v>23.469999999999995</v>
      </c>
      <c r="I67" s="14" t="s">
        <v>102</v>
      </c>
      <c r="J67" s="30">
        <f>(0.0072+0.0015)*$F$5*M67</f>
        <v>2.7089189999999999</v>
      </c>
      <c r="K67" s="30">
        <f t="shared" si="11"/>
        <v>1.2665043000000005</v>
      </c>
      <c r="L67" s="30">
        <f t="shared" si="12"/>
        <v>27.445423299999995</v>
      </c>
      <c r="M67" s="88">
        <v>1.0379</v>
      </c>
    </row>
    <row r="68" spans="1:13" ht="18" x14ac:dyDescent="0.25">
      <c r="A68" s="13">
        <v>48</v>
      </c>
      <c r="B68" s="13" t="s">
        <v>124</v>
      </c>
      <c r="C68" s="13" t="s">
        <v>98</v>
      </c>
      <c r="D68" s="84" t="s">
        <v>264</v>
      </c>
      <c r="E68" s="83"/>
      <c r="F68" s="30">
        <f>21.94-0.14+0.79+0.93</f>
        <v>23.52</v>
      </c>
      <c r="G68" s="30">
        <f>$F$5*(0.0139+0.0005-0.003-0.0001)</f>
        <v>3.39</v>
      </c>
      <c r="H68" s="30">
        <f t="shared" si="13"/>
        <v>26.91</v>
      </c>
      <c r="I68" s="14" t="s">
        <v>102</v>
      </c>
      <c r="J68" s="30">
        <f>(0.0071+0.0053)*$F$5*M68</f>
        <v>3.8981880000000002</v>
      </c>
      <c r="K68" s="30">
        <f t="shared" si="11"/>
        <v>1.6006743000000005</v>
      </c>
      <c r="L68" s="30">
        <f t="shared" si="12"/>
        <v>32.408862300000003</v>
      </c>
      <c r="M68" s="88">
        <v>1.0479000000000001</v>
      </c>
    </row>
    <row r="69" spans="1:13" ht="18" x14ac:dyDescent="0.25">
      <c r="A69" s="13">
        <v>49</v>
      </c>
      <c r="B69" s="13" t="s">
        <v>52</v>
      </c>
      <c r="C69" s="13" t="s">
        <v>280</v>
      </c>
      <c r="D69" s="84" t="s">
        <v>298</v>
      </c>
      <c r="E69" s="83" t="s">
        <v>278</v>
      </c>
      <c r="F69" s="30">
        <f>24.85+0.1+0.93+0.79-0.37</f>
        <v>26.3</v>
      </c>
      <c r="G69" s="30">
        <f>$F$5*(0.0164+0.0009-0.0002+0.0002)</f>
        <v>5.1900000000000013</v>
      </c>
      <c r="H69" s="30">
        <f t="shared" si="13"/>
        <v>31.490000000000002</v>
      </c>
      <c r="I69" s="14" t="s">
        <v>102</v>
      </c>
      <c r="J69" s="30">
        <f>(0.0067+0.0032)*$F$5*M69</f>
        <v>3.1375080000000004</v>
      </c>
      <c r="K69" s="30">
        <f t="shared" si="11"/>
        <v>1.8847188000000019</v>
      </c>
      <c r="L69" s="30">
        <f t="shared" si="12"/>
        <v>36.512226800000008</v>
      </c>
      <c r="M69" s="88">
        <v>1.0564</v>
      </c>
    </row>
    <row r="70" spans="1:13" ht="18" x14ac:dyDescent="0.25">
      <c r="A70" s="13">
        <v>50</v>
      </c>
      <c r="B70" s="13" t="s">
        <v>53</v>
      </c>
      <c r="C70" s="13" t="s">
        <v>98</v>
      </c>
      <c r="D70" s="84" t="s">
        <v>264</v>
      </c>
      <c r="E70" s="83" t="s">
        <v>278</v>
      </c>
      <c r="F70" s="30">
        <f>18.9+0.79</f>
        <v>19.689999999999998</v>
      </c>
      <c r="G70" s="30">
        <f>$F$5*(0.0108+0.00007-0.0038-0.0036)</f>
        <v>1.0410000000000006</v>
      </c>
      <c r="H70" s="30">
        <f t="shared" si="13"/>
        <v>20.730999999999998</v>
      </c>
      <c r="I70" s="10" t="s">
        <v>101</v>
      </c>
      <c r="J70" s="30">
        <f>(0.0067+0.0058)*$F$5*M70</f>
        <v>3.9266249999999996</v>
      </c>
      <c r="K70" s="30">
        <f t="shared" si="11"/>
        <v>1.5739406999999996</v>
      </c>
      <c r="L70" s="30">
        <f t="shared" si="12"/>
        <v>26.231565699999997</v>
      </c>
      <c r="M70" s="88">
        <v>1.0470999999999999</v>
      </c>
    </row>
    <row r="71" spans="1:13" ht="18" x14ac:dyDescent="0.25">
      <c r="A71" s="13">
        <v>51</v>
      </c>
      <c r="B71" s="13" t="s">
        <v>54</v>
      </c>
      <c r="C71" s="13" t="s">
        <v>100</v>
      </c>
      <c r="D71" s="84" t="s">
        <v>264</v>
      </c>
      <c r="E71" s="83" t="s">
        <v>278</v>
      </c>
      <c r="F71" s="30">
        <f>24.25+0.79</f>
        <v>25.04</v>
      </c>
      <c r="G71" s="30">
        <f>$F$5*(0.0123+0.0013+0.0039)</f>
        <v>5.2500000000000009</v>
      </c>
      <c r="H71" s="30">
        <f t="shared" si="13"/>
        <v>30.29</v>
      </c>
      <c r="I71" s="14" t="s">
        <v>102</v>
      </c>
      <c r="J71" s="30">
        <f>(0.0059+0.0027)*$F$5*M71</f>
        <v>2.763954</v>
      </c>
      <c r="K71" s="30">
        <f t="shared" si="11"/>
        <v>2.3826320999999986</v>
      </c>
      <c r="L71" s="30">
        <f t="shared" si="12"/>
        <v>35.4365861</v>
      </c>
      <c r="M71" s="88">
        <v>1.0712999999999999</v>
      </c>
    </row>
    <row r="72" spans="1:13" ht="18" x14ac:dyDescent="0.25">
      <c r="A72" s="11">
        <v>52</v>
      </c>
      <c r="B72" s="11" t="s">
        <v>111</v>
      </c>
      <c r="C72" s="11" t="s">
        <v>98</v>
      </c>
      <c r="D72" s="103" t="s">
        <v>264</v>
      </c>
      <c r="E72" s="104" t="s">
        <v>299</v>
      </c>
      <c r="F72" s="17">
        <f>18.22+0.77+0.79</f>
        <v>19.779999999999998</v>
      </c>
      <c r="G72" s="17">
        <f>$F$5*(0.0121+0.0004)</f>
        <v>3.7499999999999996</v>
      </c>
      <c r="H72" s="17">
        <f t="shared" si="13"/>
        <v>23.529999999999998</v>
      </c>
      <c r="I72" s="14" t="s">
        <v>102</v>
      </c>
      <c r="J72" s="17">
        <f>(0.0081+0.0055)*$F$5*M72</f>
        <v>4.2334080000000007</v>
      </c>
      <c r="K72" s="17">
        <f t="shared" si="11"/>
        <v>1.2564792000000033</v>
      </c>
      <c r="L72" s="17">
        <f t="shared" si="12"/>
        <v>29.019887200000003</v>
      </c>
      <c r="M72" s="98">
        <v>1.0376000000000001</v>
      </c>
    </row>
    <row r="73" spans="1:13" ht="18" x14ac:dyDescent="0.25">
      <c r="A73" s="13">
        <v>53</v>
      </c>
      <c r="B73" s="13" t="s">
        <v>112</v>
      </c>
      <c r="C73" s="13" t="s">
        <v>100</v>
      </c>
      <c r="D73" s="84" t="s">
        <v>264</v>
      </c>
      <c r="E73" s="83" t="s">
        <v>278</v>
      </c>
      <c r="F73" s="30">
        <f>18.19+0.17+0.79</f>
        <v>19.150000000000002</v>
      </c>
      <c r="G73" s="30">
        <f>$F$5*(0.0102+0.0017+0.0007-0.0007-0.0014)</f>
        <v>3.1500000000000004</v>
      </c>
      <c r="H73" s="30">
        <f t="shared" si="13"/>
        <v>22.300000000000004</v>
      </c>
      <c r="I73" s="14" t="s">
        <v>102</v>
      </c>
      <c r="J73" s="30">
        <f>(0.0068+0.0037)*$F$5*M73</f>
        <v>3.3015149999999998</v>
      </c>
      <c r="K73" s="30">
        <f t="shared" si="11"/>
        <v>1.6073577000000008</v>
      </c>
      <c r="L73" s="30">
        <f t="shared" si="12"/>
        <v>27.208872700000004</v>
      </c>
      <c r="M73" s="88">
        <v>1.0481</v>
      </c>
    </row>
    <row r="74" spans="1:13" ht="18" x14ac:dyDescent="0.25">
      <c r="A74" s="13">
        <v>54</v>
      </c>
      <c r="B74" s="13" t="s">
        <v>55</v>
      </c>
      <c r="C74" s="13" t="s">
        <v>100</v>
      </c>
      <c r="D74" s="84" t="s">
        <v>264</v>
      </c>
      <c r="E74" s="83" t="s">
        <v>278</v>
      </c>
      <c r="F74" s="30">
        <f>17.68+2.56-3.63-0.08+0.79</f>
        <v>17.32</v>
      </c>
      <c r="G74" s="30">
        <f>$F$5*(0.0127+0.0006+0.0013-0.0028)</f>
        <v>3.5399999999999996</v>
      </c>
      <c r="H74" s="30">
        <f t="shared" si="13"/>
        <v>20.86</v>
      </c>
      <c r="I74" s="14" t="s">
        <v>102</v>
      </c>
      <c r="J74" s="30">
        <f>(0.0054+0.0041)*$F$5*M74</f>
        <v>3.0098850000000006</v>
      </c>
      <c r="K74" s="30">
        <f t="shared" si="11"/>
        <v>1.8746936999999984</v>
      </c>
      <c r="L74" s="30">
        <f t="shared" si="12"/>
        <v>25.744578699999998</v>
      </c>
      <c r="M74" s="88">
        <v>1.0561</v>
      </c>
    </row>
    <row r="75" spans="1:13" ht="18" x14ac:dyDescent="0.25">
      <c r="A75" s="13">
        <v>55</v>
      </c>
      <c r="B75" s="13" t="s">
        <v>56</v>
      </c>
      <c r="C75" s="27" t="s">
        <v>201</v>
      </c>
      <c r="D75" s="82" t="s">
        <v>261</v>
      </c>
      <c r="E75" s="83" t="s">
        <v>278</v>
      </c>
      <c r="F75" s="30">
        <f>11.21+0.79+0.06+0.6</f>
        <v>12.66</v>
      </c>
      <c r="G75" s="30">
        <f>$F$5*(0.0142+0.0013+0.0006)</f>
        <v>4.83</v>
      </c>
      <c r="H75" s="30">
        <f t="shared" si="13"/>
        <v>17.490000000000002</v>
      </c>
      <c r="I75" s="10" t="s">
        <v>101</v>
      </c>
      <c r="J75" s="30">
        <f>(0.0078+0.0062)*$F$5*M75</f>
        <v>4.4041199999999989</v>
      </c>
      <c r="K75" s="30">
        <f t="shared" si="11"/>
        <v>1.6240661999999984</v>
      </c>
      <c r="L75" s="30">
        <f t="shared" si="12"/>
        <v>23.518186199999999</v>
      </c>
      <c r="M75" s="88">
        <v>1.0486</v>
      </c>
    </row>
    <row r="76" spans="1:13" ht="18" x14ac:dyDescent="0.25">
      <c r="A76" s="13">
        <v>56</v>
      </c>
      <c r="B76" s="13" t="s">
        <v>57</v>
      </c>
      <c r="C76" s="13" t="s">
        <v>92</v>
      </c>
      <c r="D76" s="84" t="s">
        <v>264</v>
      </c>
      <c r="E76" s="83" t="s">
        <v>278</v>
      </c>
      <c r="F76" s="30">
        <f>14.02+0.32+1.68+0.07+0.79+0.11</f>
        <v>16.989999999999998</v>
      </c>
      <c r="G76" s="30">
        <f>$F$5*(0.0129+0.0008-0.0008-0.0027-0.0004+0.0003)</f>
        <v>3.0300000000000002</v>
      </c>
      <c r="H76" s="30">
        <f t="shared" si="13"/>
        <v>20.02</v>
      </c>
      <c r="I76" s="14" t="s">
        <v>102</v>
      </c>
      <c r="J76" s="30">
        <f>(0.0059+0.0045)*$F$5*M76</f>
        <v>3.2625839999999999</v>
      </c>
      <c r="K76" s="30">
        <f t="shared" si="11"/>
        <v>1.527156900000004</v>
      </c>
      <c r="L76" s="30">
        <f t="shared" si="12"/>
        <v>24.809740900000005</v>
      </c>
      <c r="M76" s="88">
        <v>1.0457000000000001</v>
      </c>
    </row>
    <row r="77" spans="1:13" ht="18" x14ac:dyDescent="0.25">
      <c r="A77" s="13">
        <v>57</v>
      </c>
      <c r="B77" s="27" t="s">
        <v>58</v>
      </c>
      <c r="C77" s="13" t="s">
        <v>98</v>
      </c>
      <c r="D77" s="84" t="s">
        <v>261</v>
      </c>
      <c r="E77" s="83" t="s">
        <v>278</v>
      </c>
      <c r="F77" s="30">
        <f>26.52+4.11+0.79</f>
        <v>31.419999999999998</v>
      </c>
      <c r="G77" s="30">
        <f>$F$5*(0.0146+0.0011)</f>
        <v>4.71</v>
      </c>
      <c r="H77" s="30">
        <f t="shared" si="13"/>
        <v>36.129999999999995</v>
      </c>
      <c r="I77" s="14" t="s">
        <v>102</v>
      </c>
      <c r="J77" s="30">
        <f>(0.0043+0.0033)*$F$5*M77</f>
        <v>2.4644519999999996</v>
      </c>
      <c r="K77" s="30">
        <f t="shared" si="11"/>
        <v>2.703435299999998</v>
      </c>
      <c r="L77" s="30">
        <f t="shared" si="12"/>
        <v>41.297887299999992</v>
      </c>
      <c r="M77" s="88">
        <v>1.0809</v>
      </c>
    </row>
    <row r="78" spans="1:13" ht="18" x14ac:dyDescent="0.25">
      <c r="A78" s="13">
        <v>58</v>
      </c>
      <c r="B78" s="13" t="s">
        <v>59</v>
      </c>
      <c r="C78" s="13" t="s">
        <v>100</v>
      </c>
      <c r="D78" s="84" t="s">
        <v>264</v>
      </c>
      <c r="E78" s="83" t="s">
        <v>278</v>
      </c>
      <c r="F78" s="30">
        <f>15.2+0.79+0.05</f>
        <v>16.04</v>
      </c>
      <c r="G78" s="30">
        <f>$F$5*(0.0094+0.001+0.0016-0.0002)</f>
        <v>3.54</v>
      </c>
      <c r="H78" s="30">
        <f t="shared" si="13"/>
        <v>19.579999999999998</v>
      </c>
      <c r="I78" s="10" t="s">
        <v>101</v>
      </c>
      <c r="J78" s="30">
        <f>(0.007+0.0052)*$F$5*M78</f>
        <v>3.8605679999999993</v>
      </c>
      <c r="K78" s="30">
        <f t="shared" si="11"/>
        <v>1.8312515999999999</v>
      </c>
      <c r="L78" s="30">
        <f t="shared" si="12"/>
        <v>25.271819600000001</v>
      </c>
      <c r="M78" s="88">
        <v>1.0548</v>
      </c>
    </row>
    <row r="79" spans="1:13" ht="17.45" x14ac:dyDescent="0.3">
      <c r="A79" s="19">
        <v>59</v>
      </c>
      <c r="B79" s="19" t="s">
        <v>60</v>
      </c>
      <c r="C79" s="19" t="s">
        <v>118</v>
      </c>
      <c r="D79" s="114" t="s">
        <v>261</v>
      </c>
      <c r="E79" s="86"/>
      <c r="F79" s="18"/>
      <c r="G79" s="18"/>
      <c r="H79" s="18"/>
      <c r="I79" s="115"/>
      <c r="J79" s="18"/>
      <c r="K79" s="18"/>
      <c r="L79" s="18"/>
      <c r="M79" s="116"/>
    </row>
    <row r="80" spans="1:13" ht="18" x14ac:dyDescent="0.25">
      <c r="A80" s="13">
        <v>60</v>
      </c>
      <c r="B80" s="13" t="s">
        <v>61</v>
      </c>
      <c r="C80" s="13" t="s">
        <v>319</v>
      </c>
      <c r="D80" s="83"/>
      <c r="E80" s="83" t="s">
        <v>278</v>
      </c>
      <c r="F80" s="30">
        <f>12.9+0.2+1.33-0.04-0.1+0.06+0.12+0.79+0.07</f>
        <v>15.330000000000002</v>
      </c>
      <c r="G80" s="30">
        <f>$F$5*(0.0143+0.0003+0.0003-0.0003+0.0001)</f>
        <v>4.41</v>
      </c>
      <c r="H80" s="30">
        <f t="shared" ref="H80:H81" si="14">F80+G80</f>
        <v>19.740000000000002</v>
      </c>
      <c r="I80" s="14" t="s">
        <v>102</v>
      </c>
      <c r="J80" s="30">
        <f>(0.008+0.0035)*$F$5*M80</f>
        <v>3.5690249999999994</v>
      </c>
      <c r="K80" s="30">
        <f>(M80*$F$5-$F$5)*$O$5</f>
        <v>1.1528864999999962</v>
      </c>
      <c r="L80" s="30">
        <f t="shared" ref="L80:L81" si="15">H80+J80+K80</f>
        <v>24.461911499999999</v>
      </c>
      <c r="M80" s="88">
        <v>1.0345</v>
      </c>
    </row>
    <row r="81" spans="1:13" ht="18" x14ac:dyDescent="0.25">
      <c r="A81" s="13">
        <v>61</v>
      </c>
      <c r="B81" s="13" t="s">
        <v>62</v>
      </c>
      <c r="C81" s="13" t="s">
        <v>100</v>
      </c>
      <c r="D81" s="84" t="s">
        <v>264</v>
      </c>
      <c r="E81" s="83" t="s">
        <v>278</v>
      </c>
      <c r="F81" s="30">
        <f>13.23+0.79+0.05</f>
        <v>14.07</v>
      </c>
      <c r="G81" s="30">
        <f>$F$5*(0.0137+0.0002)</f>
        <v>4.17</v>
      </c>
      <c r="H81" s="30">
        <f t="shared" si="14"/>
        <v>18.240000000000002</v>
      </c>
      <c r="I81" s="14" t="s">
        <v>102</v>
      </c>
      <c r="J81" s="30">
        <f>(0.0061+0)*$F$5*M81</f>
        <v>1.9194869999999999</v>
      </c>
      <c r="K81" s="30">
        <f>(M81*$F$5-$F$5)*$O$5</f>
        <v>1.6340912999999955</v>
      </c>
      <c r="L81" s="30">
        <f t="shared" si="15"/>
        <v>21.793578299999997</v>
      </c>
      <c r="M81" s="88">
        <v>1.0488999999999999</v>
      </c>
    </row>
    <row r="82" spans="1:13" ht="17.45" x14ac:dyDescent="0.3">
      <c r="A82">
        <v>62</v>
      </c>
      <c r="B82" t="s">
        <v>63</v>
      </c>
      <c r="C82" s="12" t="s">
        <v>92</v>
      </c>
      <c r="D82" s="80" t="s">
        <v>264</v>
      </c>
      <c r="E82" s="79"/>
      <c r="F82" s="22"/>
      <c r="G82" s="22"/>
      <c r="H82" s="22"/>
      <c r="I82" s="23"/>
      <c r="J82" s="22"/>
      <c r="K82" s="22"/>
      <c r="L82" s="22"/>
      <c r="M82" s="24"/>
    </row>
    <row r="83" spans="1:13" ht="17.45" x14ac:dyDescent="0.3">
      <c r="A83">
        <v>63</v>
      </c>
      <c r="B83" t="s">
        <v>64</v>
      </c>
      <c r="C83" s="12" t="s">
        <v>92</v>
      </c>
      <c r="D83" s="80" t="s">
        <v>264</v>
      </c>
      <c r="E83" s="79"/>
      <c r="F83" s="22"/>
      <c r="G83" s="22"/>
      <c r="H83" s="22"/>
      <c r="I83" s="23"/>
      <c r="J83" s="22"/>
      <c r="K83" s="22"/>
      <c r="L83" s="22"/>
      <c r="M83" s="24"/>
    </row>
    <row r="84" spans="1:13" ht="18" x14ac:dyDescent="0.25">
      <c r="A84" s="13">
        <v>64</v>
      </c>
      <c r="B84" s="13" t="s">
        <v>65</v>
      </c>
      <c r="C84" s="13" t="s">
        <v>100</v>
      </c>
      <c r="D84" s="84" t="s">
        <v>264</v>
      </c>
      <c r="E84" s="83" t="s">
        <v>278</v>
      </c>
      <c r="F84" s="30">
        <f>31.23+0.79</f>
        <v>32.020000000000003</v>
      </c>
      <c r="G84" s="30">
        <f>$F$5*(0.0089+0.0037-0.0032)</f>
        <v>2.8200000000000003</v>
      </c>
      <c r="H84" s="30">
        <f t="shared" ref="H84:H97" si="16">F84+G84</f>
        <v>34.840000000000003</v>
      </c>
      <c r="I84" s="14" t="s">
        <v>102</v>
      </c>
      <c r="J84" s="30">
        <f>(0.0068+0.0017)*$F$5*M84</f>
        <v>2.7787349999999997</v>
      </c>
      <c r="K84" s="30">
        <f t="shared" ref="K84:K97" si="17">(M84*$F$5-$F$5)*$O$5</f>
        <v>2.9975048999999965</v>
      </c>
      <c r="L84" s="30">
        <f t="shared" ref="L84:L97" si="18">H84+J84+K84</f>
        <v>40.616239899999997</v>
      </c>
      <c r="M84" s="88">
        <v>1.0896999999999999</v>
      </c>
    </row>
    <row r="85" spans="1:13" ht="18" x14ac:dyDescent="0.25">
      <c r="A85" s="13">
        <v>65</v>
      </c>
      <c r="B85" s="13" t="s">
        <v>66</v>
      </c>
      <c r="C85" s="13" t="s">
        <v>100</v>
      </c>
      <c r="D85" s="84" t="s">
        <v>261</v>
      </c>
      <c r="E85" s="83" t="s">
        <v>278</v>
      </c>
      <c r="F85" s="30">
        <f>17.31+0.79+0.37</f>
        <v>18.47</v>
      </c>
      <c r="G85" s="30">
        <f>$F$5*(0.0128-0.0037)</f>
        <v>2.73</v>
      </c>
      <c r="H85" s="30">
        <f t="shared" si="16"/>
        <v>21.2</v>
      </c>
      <c r="I85" s="14" t="s">
        <v>102</v>
      </c>
      <c r="J85" s="30">
        <f>(0.0074+0.0058)*$F$5*M85</f>
        <v>4.1156279999999992</v>
      </c>
      <c r="K85" s="30">
        <f t="shared" si="17"/>
        <v>1.3132880999999961</v>
      </c>
      <c r="L85" s="30">
        <f t="shared" si="18"/>
        <v>26.628916099999994</v>
      </c>
      <c r="M85" s="88">
        <v>1.0392999999999999</v>
      </c>
    </row>
    <row r="86" spans="1:13" ht="18" x14ac:dyDescent="0.25">
      <c r="A86" s="13">
        <v>66</v>
      </c>
      <c r="B86" s="13" t="s">
        <v>67</v>
      </c>
      <c r="C86" s="13" t="s">
        <v>100</v>
      </c>
      <c r="D86" s="84" t="s">
        <v>264</v>
      </c>
      <c r="E86" s="83" t="s">
        <v>278</v>
      </c>
      <c r="F86" s="30">
        <f>15.24+0.79</f>
        <v>16.03</v>
      </c>
      <c r="G86" s="30">
        <f>$F$5*(0.0097-0.001)</f>
        <v>2.61</v>
      </c>
      <c r="H86" s="30">
        <f t="shared" si="16"/>
        <v>18.64</v>
      </c>
      <c r="I86" s="10" t="s">
        <v>101</v>
      </c>
      <c r="J86" s="30">
        <f>(0.0061+0.0046)*$F$5*M86</f>
        <v>3.3197820000000005</v>
      </c>
      <c r="K86" s="30">
        <f t="shared" si="17"/>
        <v>1.142861399999999</v>
      </c>
      <c r="L86" s="30">
        <f t="shared" si="18"/>
        <v>23.102643399999998</v>
      </c>
      <c r="M86" s="88">
        <v>1.0342</v>
      </c>
    </row>
    <row r="87" spans="1:13" ht="18" x14ac:dyDescent="0.25">
      <c r="A87" s="13">
        <v>67</v>
      </c>
      <c r="B87" s="13" t="s">
        <v>68</v>
      </c>
      <c r="C87" s="13" t="s">
        <v>98</v>
      </c>
      <c r="D87" s="84" t="s">
        <v>264</v>
      </c>
      <c r="E87" s="83" t="s">
        <v>278</v>
      </c>
      <c r="F87" s="30">
        <f>13.8+0.79</f>
        <v>14.59</v>
      </c>
      <c r="G87" s="30">
        <f>$F$5*(0.0197+0.0014)</f>
        <v>6.3299999999999992</v>
      </c>
      <c r="H87" s="30">
        <f t="shared" si="16"/>
        <v>20.919999999999998</v>
      </c>
      <c r="I87" s="14" t="s">
        <v>102</v>
      </c>
      <c r="J87" s="30">
        <f>(0.0069+0.0056)*$F$5*M87</f>
        <v>3.8748750000000003</v>
      </c>
      <c r="K87" s="30">
        <f t="shared" si="17"/>
        <v>1.112786100000001</v>
      </c>
      <c r="L87" s="30">
        <f t="shared" si="18"/>
        <v>25.907661099999999</v>
      </c>
      <c r="M87" s="88">
        <v>1.0333000000000001</v>
      </c>
    </row>
    <row r="88" spans="1:13" ht="18" x14ac:dyDescent="0.25">
      <c r="A88" s="13">
        <v>68</v>
      </c>
      <c r="B88" s="13" t="s">
        <v>69</v>
      </c>
      <c r="C88" s="13" t="s">
        <v>118</v>
      </c>
      <c r="D88" s="84" t="s">
        <v>261</v>
      </c>
      <c r="E88" s="83" t="s">
        <v>278</v>
      </c>
      <c r="F88" s="30">
        <f>22.78+0.08+0.78+0.06+0.28-0.17-0.08-0.03-0.48-1.48+0.1+0.03+0.46+0.88+0.28</f>
        <v>23.490000000000002</v>
      </c>
      <c r="G88" s="30">
        <f>$F$5*(0.0188+0.00006-0.00009)</f>
        <v>5.6310000000000002</v>
      </c>
      <c r="H88" s="30">
        <f t="shared" si="16"/>
        <v>29.121000000000002</v>
      </c>
      <c r="I88" s="14" t="s">
        <v>102</v>
      </c>
      <c r="J88" s="30">
        <f>(0.00914+0.00786)*$F$5*M88</f>
        <v>5.2917600000000009</v>
      </c>
      <c r="K88" s="30">
        <f t="shared" si="17"/>
        <v>1.2564792000000033</v>
      </c>
      <c r="L88" s="30">
        <f t="shared" si="18"/>
        <v>35.669239200000007</v>
      </c>
      <c r="M88" s="88">
        <v>1.0376000000000001</v>
      </c>
    </row>
    <row r="89" spans="1:13" ht="18" x14ac:dyDescent="0.25">
      <c r="A89" s="13">
        <v>69</v>
      </c>
      <c r="B89" s="13" t="s">
        <v>113</v>
      </c>
      <c r="C89" s="13" t="s">
        <v>100</v>
      </c>
      <c r="D89" s="84" t="s">
        <v>264</v>
      </c>
      <c r="E89" s="83" t="s">
        <v>278</v>
      </c>
      <c r="F89" s="30">
        <f>16.3+0.79</f>
        <v>17.09</v>
      </c>
      <c r="G89" s="30">
        <f>$F$5*(0.0123+0.001)</f>
        <v>3.9899999999999998</v>
      </c>
      <c r="H89" s="30">
        <f t="shared" si="16"/>
        <v>21.08</v>
      </c>
      <c r="I89" s="14" t="s">
        <v>102</v>
      </c>
      <c r="J89" s="30">
        <f>(0.0068+0.0047)*$F$5*M89</f>
        <v>3.6162899999999998</v>
      </c>
      <c r="K89" s="30">
        <f t="shared" si="17"/>
        <v>1.6106993999999977</v>
      </c>
      <c r="L89" s="30">
        <f t="shared" si="18"/>
        <v>26.306989399999996</v>
      </c>
      <c r="M89" s="88">
        <v>1.0482</v>
      </c>
    </row>
    <row r="90" spans="1:13" ht="18" x14ac:dyDescent="0.25">
      <c r="A90" s="13">
        <v>70</v>
      </c>
      <c r="B90" s="13" t="s">
        <v>70</v>
      </c>
      <c r="C90" s="13" t="s">
        <v>92</v>
      </c>
      <c r="D90" s="84" t="s">
        <v>264</v>
      </c>
      <c r="E90" s="83" t="s">
        <v>278</v>
      </c>
      <c r="F90" s="30">
        <f>14.91+0.79</f>
        <v>15.7</v>
      </c>
      <c r="G90" s="30">
        <f>$F$5*(0.0118+0.0024+0.0013-0.0023)</f>
        <v>3.96</v>
      </c>
      <c r="H90" s="30">
        <f t="shared" si="16"/>
        <v>19.66</v>
      </c>
      <c r="I90" s="14" t="s">
        <v>102</v>
      </c>
      <c r="J90" s="30">
        <f>(0.007+0.0054)*$F$5*M90</f>
        <v>4.0183440000000008</v>
      </c>
      <c r="K90" s="30">
        <f t="shared" si="17"/>
        <v>2.6800434000000002</v>
      </c>
      <c r="L90" s="30">
        <f t="shared" si="18"/>
        <v>26.358387400000002</v>
      </c>
      <c r="M90" s="88">
        <v>1.0802</v>
      </c>
    </row>
    <row r="91" spans="1:13" ht="18" x14ac:dyDescent="0.25">
      <c r="A91" s="13">
        <v>71</v>
      </c>
      <c r="B91" s="13" t="s">
        <v>71</v>
      </c>
      <c r="C91" s="13" t="s">
        <v>92</v>
      </c>
      <c r="D91" s="84" t="s">
        <v>261</v>
      </c>
      <c r="E91" s="83" t="s">
        <v>278</v>
      </c>
      <c r="F91" s="30">
        <f>19.71+0.79+0.58</f>
        <v>21.08</v>
      </c>
      <c r="G91" s="30">
        <f>$F$5*(0.0154+0.0002-0.0014+0.0016-0.0016+0.0002-0.0001)</f>
        <v>4.2900000000000009</v>
      </c>
      <c r="H91" s="30">
        <f t="shared" si="16"/>
        <v>25.369999999999997</v>
      </c>
      <c r="I91" s="14" t="s">
        <v>102</v>
      </c>
      <c r="J91" s="30">
        <f>(0.0074+0.0023)*$F$5*M91</f>
        <v>3.015342</v>
      </c>
      <c r="K91" s="30">
        <f t="shared" si="17"/>
        <v>1.2096954000000015</v>
      </c>
      <c r="L91" s="30">
        <f t="shared" si="18"/>
        <v>29.595037399999999</v>
      </c>
      <c r="M91" s="88">
        <v>1.0362</v>
      </c>
    </row>
    <row r="92" spans="1:13" ht="18" x14ac:dyDescent="0.25">
      <c r="A92" s="13">
        <v>72</v>
      </c>
      <c r="B92" s="13" t="s">
        <v>72</v>
      </c>
      <c r="C92" s="13" t="s">
        <v>100</v>
      </c>
      <c r="D92" s="84" t="s">
        <v>264</v>
      </c>
      <c r="E92" s="83" t="s">
        <v>278</v>
      </c>
      <c r="F92" s="30">
        <f>18.76+0.45+0.05+0.79</f>
        <v>20.05</v>
      </c>
      <c r="G92" s="30">
        <f>$F$5*(0.0105-0.0019)</f>
        <v>2.58</v>
      </c>
      <c r="H92" s="30">
        <f t="shared" si="16"/>
        <v>22.630000000000003</v>
      </c>
      <c r="I92" s="14" t="s">
        <v>102</v>
      </c>
      <c r="J92" s="30">
        <f>(0.0078+0.0061)*$F$5*M92</f>
        <v>4.3918439999999999</v>
      </c>
      <c r="K92" s="30">
        <f t="shared" si="17"/>
        <v>1.7777843999999978</v>
      </c>
      <c r="L92" s="30">
        <f t="shared" si="18"/>
        <v>28.7996284</v>
      </c>
      <c r="M92" s="88">
        <v>1.0531999999999999</v>
      </c>
    </row>
    <row r="93" spans="1:13" ht="18" x14ac:dyDescent="0.25">
      <c r="A93" s="13">
        <v>73</v>
      </c>
      <c r="B93" s="13" t="s">
        <v>73</v>
      </c>
      <c r="C93" s="13" t="s">
        <v>92</v>
      </c>
      <c r="D93" s="84" t="s">
        <v>264</v>
      </c>
      <c r="E93" s="83" t="s">
        <v>278</v>
      </c>
      <c r="F93" s="30">
        <f>23.97+0.79+0.34</f>
        <v>25.099999999999998</v>
      </c>
      <c r="G93" s="30">
        <f>$F$5*(0.0153+0.0029+0.0003+0.0001)</f>
        <v>5.580000000000001</v>
      </c>
      <c r="H93" s="30">
        <f t="shared" si="16"/>
        <v>30.68</v>
      </c>
      <c r="I93" s="14" t="s">
        <v>102</v>
      </c>
      <c r="J93" s="30">
        <f>(0.0067+0.0045)*$F$5*M93</f>
        <v>3.580416</v>
      </c>
      <c r="K93" s="30">
        <f t="shared" si="17"/>
        <v>2.1921552000000006</v>
      </c>
      <c r="L93" s="30">
        <f t="shared" si="18"/>
        <v>36.452571200000001</v>
      </c>
      <c r="M93" s="88">
        <v>1.0656000000000001</v>
      </c>
    </row>
    <row r="94" spans="1:13" ht="18" x14ac:dyDescent="0.25">
      <c r="A94" s="13">
        <v>74</v>
      </c>
      <c r="B94" s="13" t="s">
        <v>74</v>
      </c>
      <c r="C94" s="13" t="s">
        <v>100</v>
      </c>
      <c r="D94" s="84" t="s">
        <v>264</v>
      </c>
      <c r="E94" s="83" t="s">
        <v>278</v>
      </c>
      <c r="F94" s="30">
        <f>21.6+0.8+1.17+0.79</f>
        <v>24.36</v>
      </c>
      <c r="G94" s="30">
        <f>$F$5*(0.0173+0.0004-0.002)</f>
        <v>4.71</v>
      </c>
      <c r="H94" s="30">
        <f t="shared" si="16"/>
        <v>29.07</v>
      </c>
      <c r="I94" s="14" t="s">
        <v>102</v>
      </c>
      <c r="J94" s="30">
        <f>(0.0069+0.0058)*$F$5*M94</f>
        <v>3.987927</v>
      </c>
      <c r="K94" s="30">
        <f t="shared" si="17"/>
        <v>1.560573899999999</v>
      </c>
      <c r="L94" s="30">
        <f t="shared" si="18"/>
        <v>34.618500900000001</v>
      </c>
      <c r="M94" s="88">
        <v>1.0467</v>
      </c>
    </row>
    <row r="95" spans="1:13" ht="18" x14ac:dyDescent="0.25">
      <c r="A95" s="13">
        <v>75</v>
      </c>
      <c r="B95" s="13" t="s">
        <v>75</v>
      </c>
      <c r="C95" s="13" t="s">
        <v>100</v>
      </c>
      <c r="D95" s="84" t="s">
        <v>264</v>
      </c>
      <c r="E95" s="83" t="s">
        <v>278</v>
      </c>
      <c r="F95" s="30">
        <f>16.31+0.19+0.79</f>
        <v>17.29</v>
      </c>
      <c r="G95" s="30">
        <f>$F$5*(0.0121+0.0018+0.0045)</f>
        <v>5.52</v>
      </c>
      <c r="H95" s="30">
        <f t="shared" si="16"/>
        <v>22.81</v>
      </c>
      <c r="I95" s="14" t="s">
        <v>102</v>
      </c>
      <c r="J95" s="30">
        <f>(0.0064+0.0045)*$F$5*M95</f>
        <v>3.4989000000000003</v>
      </c>
      <c r="K95" s="30">
        <f t="shared" si="17"/>
        <v>2.3391899999999999</v>
      </c>
      <c r="L95" s="30">
        <f t="shared" si="18"/>
        <v>28.648089999999996</v>
      </c>
      <c r="M95" s="88">
        <v>1.07</v>
      </c>
    </row>
    <row r="96" spans="1:13" ht="18" x14ac:dyDescent="0.25">
      <c r="A96" s="13">
        <v>76</v>
      </c>
      <c r="B96" s="13" t="s">
        <v>76</v>
      </c>
      <c r="C96" s="13" t="s">
        <v>98</v>
      </c>
      <c r="D96" s="84" t="s">
        <v>261</v>
      </c>
      <c r="E96" s="83" t="s">
        <v>278</v>
      </c>
      <c r="F96" s="30">
        <f>21.2-1.9+2.2+0.79</f>
        <v>22.29</v>
      </c>
      <c r="G96" s="30">
        <f>$F$5*(0.0113+0.0006-0.0008)</f>
        <v>3.3299999999999996</v>
      </c>
      <c r="H96" s="30">
        <f t="shared" si="16"/>
        <v>25.619999999999997</v>
      </c>
      <c r="I96" s="14" t="s">
        <v>102</v>
      </c>
      <c r="J96" s="30">
        <f>(0.0081+0.0063)*$F$5*M96</f>
        <v>4.516128000000001</v>
      </c>
      <c r="K96" s="30">
        <f t="shared" si="17"/>
        <v>1.5171318000000005</v>
      </c>
      <c r="L96" s="30">
        <f t="shared" si="18"/>
        <v>31.653259800000001</v>
      </c>
      <c r="M96" s="88">
        <v>1.0454000000000001</v>
      </c>
    </row>
    <row r="97" spans="1:13" ht="18" x14ac:dyDescent="0.25">
      <c r="A97" s="13">
        <v>77</v>
      </c>
      <c r="B97" s="13" t="s">
        <v>77</v>
      </c>
      <c r="C97" s="19" t="s">
        <v>280</v>
      </c>
      <c r="D97" s="84" t="s">
        <v>261</v>
      </c>
      <c r="E97" s="83" t="s">
        <v>278</v>
      </c>
      <c r="F97" s="30">
        <f>16.38-0.16+0.79+0.64</f>
        <v>17.649999999999999</v>
      </c>
      <c r="G97" s="30">
        <f>$F$5*(0.0178-0.0002+0.0008)</f>
        <v>5.52</v>
      </c>
      <c r="H97" s="30">
        <f t="shared" si="16"/>
        <v>23.169999999999998</v>
      </c>
      <c r="I97" s="10" t="s">
        <v>101</v>
      </c>
      <c r="J97" s="30">
        <f>(0.0075+0.0054)*$F$5*M97</f>
        <v>4.036797</v>
      </c>
      <c r="K97" s="30">
        <f t="shared" si="17"/>
        <v>1.4402726999999944</v>
      </c>
      <c r="L97" s="30">
        <f t="shared" si="18"/>
        <v>28.647069699999992</v>
      </c>
      <c r="M97" s="88">
        <v>1.0430999999999999</v>
      </c>
    </row>
  </sheetData>
  <mergeCells count="1">
    <mergeCell ref="F6:H6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08"/>
  <sheetViews>
    <sheetView zoomScale="90" zoomScaleNormal="90" workbookViewId="0">
      <pane xSplit="5" ySplit="7" topLeftCell="F92" activePane="bottomRight" state="frozen"/>
      <selection pane="topRight" activeCell="D1" sqref="D1"/>
      <selection pane="bottomLeft" activeCell="A8" sqref="A8"/>
      <selection pane="bottomRight" activeCell="D98" sqref="D98:D108"/>
    </sheetView>
  </sheetViews>
  <sheetFormatPr defaultRowHeight="15" x14ac:dyDescent="0.25"/>
  <cols>
    <col min="1" max="1" width="3.140625" customWidth="1"/>
    <col min="2" max="2" width="39.7109375" customWidth="1"/>
    <col min="3" max="3" width="7.7109375" bestFit="1" customWidth="1"/>
    <col min="4" max="4" width="7.7109375" customWidth="1"/>
    <col min="5" max="5" width="9" bestFit="1" customWidth="1"/>
    <col min="6" max="6" width="13.85546875" bestFit="1" customWidth="1"/>
    <col min="7" max="7" width="8.42578125" bestFit="1" customWidth="1"/>
    <col min="8" max="8" width="9.5703125" bestFit="1" customWidth="1"/>
    <col min="9" max="9" width="4" customWidth="1"/>
    <col min="11" max="11" width="17.42578125" bestFit="1" customWidth="1"/>
    <col min="12" max="12" width="17.42578125" customWidth="1"/>
    <col min="13" max="13" width="17.42578125" bestFit="1" customWidth="1"/>
    <col min="15" max="15" width="9.7109375" bestFit="1" customWidth="1"/>
    <col min="16" max="16" width="9.7109375" customWidth="1"/>
    <col min="17" max="17" width="4" customWidth="1"/>
    <col min="19" max="19" width="9.140625" customWidth="1"/>
    <col min="24" max="24" width="46.28515625" bestFit="1" customWidth="1"/>
    <col min="25" max="25" width="13.28515625" bestFit="1" customWidth="1"/>
  </cols>
  <sheetData>
    <row r="1" spans="1:25" x14ac:dyDescent="0.25">
      <c r="S1" s="40" t="s">
        <v>321</v>
      </c>
      <c r="T1" s="11"/>
      <c r="U1" s="11"/>
      <c r="V1" s="11"/>
    </row>
    <row r="2" spans="1:25" x14ac:dyDescent="0.25">
      <c r="S2" t="s">
        <v>86</v>
      </c>
      <c r="T2" s="8">
        <v>8.6999999999999994E-2</v>
      </c>
      <c r="U2" s="9">
        <v>0.65</v>
      </c>
      <c r="V2" s="8"/>
    </row>
    <row r="3" spans="1:25" x14ac:dyDescent="0.25">
      <c r="B3" s="31" t="s">
        <v>305</v>
      </c>
      <c r="S3" t="s">
        <v>87</v>
      </c>
      <c r="T3" s="8">
        <v>0.13200000000000001</v>
      </c>
      <c r="U3" s="9">
        <v>0.17</v>
      </c>
      <c r="V3" s="8"/>
    </row>
    <row r="4" spans="1:25" ht="21" x14ac:dyDescent="0.35">
      <c r="B4" s="1" t="s">
        <v>326</v>
      </c>
      <c r="I4" s="14" t="s">
        <v>102</v>
      </c>
      <c r="J4" s="87" t="s">
        <v>312</v>
      </c>
      <c r="K4" s="87"/>
      <c r="S4" t="s">
        <v>88</v>
      </c>
      <c r="T4" s="8">
        <v>0.18</v>
      </c>
      <c r="U4" s="9">
        <v>0.18</v>
      </c>
      <c r="V4" s="8"/>
    </row>
    <row r="5" spans="1:25" x14ac:dyDescent="0.25">
      <c r="B5" t="str">
        <f>CONCATENATE("Residential @ ",F5,"kWh/month")</f>
        <v>Residential @ 750kWh/month</v>
      </c>
      <c r="F5" s="3">
        <v>750</v>
      </c>
      <c r="G5" t="s">
        <v>81</v>
      </c>
      <c r="S5" t="s">
        <v>89</v>
      </c>
      <c r="T5" s="8">
        <f>U2*T2+U3*T3+U4*T4</f>
        <v>0.11139</v>
      </c>
      <c r="U5" s="8"/>
      <c r="V5" s="8"/>
    </row>
    <row r="6" spans="1:25" ht="19.5" thickBot="1" x14ac:dyDescent="0.35">
      <c r="B6" s="2" t="s">
        <v>1</v>
      </c>
      <c r="F6" s="128"/>
      <c r="G6" s="128"/>
      <c r="H6" s="128"/>
      <c r="T6" t="s">
        <v>302</v>
      </c>
    </row>
    <row r="7" spans="1:25" ht="18.75" x14ac:dyDescent="0.3">
      <c r="B7" s="2"/>
      <c r="D7" s="3" t="s">
        <v>277</v>
      </c>
      <c r="E7" s="3" t="s">
        <v>283</v>
      </c>
      <c r="F7" s="7" t="s">
        <v>78</v>
      </c>
      <c r="G7" s="7" t="s">
        <v>79</v>
      </c>
      <c r="H7" s="7" t="s">
        <v>80</v>
      </c>
      <c r="J7" s="3" t="s">
        <v>82</v>
      </c>
      <c r="K7" s="3" t="s">
        <v>90</v>
      </c>
      <c r="L7" s="3" t="s">
        <v>91</v>
      </c>
      <c r="M7" s="3" t="s">
        <v>84</v>
      </c>
      <c r="N7" s="3" t="s">
        <v>93</v>
      </c>
      <c r="O7" s="3" t="s">
        <v>94</v>
      </c>
      <c r="P7" s="3" t="s">
        <v>95</v>
      </c>
      <c r="R7" s="5" t="s">
        <v>83</v>
      </c>
      <c r="T7" t="s">
        <v>91</v>
      </c>
      <c r="U7" t="s">
        <v>304</v>
      </c>
      <c r="V7" t="s">
        <v>303</v>
      </c>
      <c r="Y7" s="3" t="s">
        <v>127</v>
      </c>
    </row>
    <row r="8" spans="1:25" ht="18" x14ac:dyDescent="0.25">
      <c r="A8" s="13">
        <v>1</v>
      </c>
      <c r="B8" s="13" t="s">
        <v>2</v>
      </c>
      <c r="C8" s="13" t="s">
        <v>100</v>
      </c>
      <c r="D8" s="82" t="s">
        <v>261</v>
      </c>
      <c r="E8" s="83" t="s">
        <v>278</v>
      </c>
      <c r="F8" s="30">
        <f>32.58+0.79</f>
        <v>33.369999999999997</v>
      </c>
      <c r="G8" s="30">
        <f>$F$5*(0.0251-0.0035+0.0002-0.0019)</f>
        <v>14.925000000000001</v>
      </c>
      <c r="H8" s="30">
        <f t="shared" ref="H8" si="0">F8+G8</f>
        <v>48.295000000000002</v>
      </c>
      <c r="I8" s="23"/>
      <c r="J8" s="30">
        <f>(0.0066+0.005)*$F$5*R8</f>
        <v>9.4977899999999984</v>
      </c>
      <c r="K8" s="30">
        <f t="shared" ref="K8" si="1">(R8*$F$5-$F$5)*$T$5</f>
        <v>7.6608472499999847</v>
      </c>
      <c r="L8" s="30">
        <f t="shared" ref="L8" si="2">H8+J8+K8</f>
        <v>65.453637249999986</v>
      </c>
      <c r="M8" s="109">
        <f t="shared" ref="M8" si="3">$F$5*R8*(0.0036+0.0013+0.0011)+0.25</f>
        <v>5.1626499999999993</v>
      </c>
      <c r="N8" s="30">
        <v>0</v>
      </c>
      <c r="O8" s="90">
        <f t="shared" ref="O8" si="4">$F$5*$T$5</f>
        <v>83.542500000000004</v>
      </c>
      <c r="P8" s="30">
        <f t="shared" ref="P8" si="5">L8+M8+N8+O8</f>
        <v>154.15878724999999</v>
      </c>
      <c r="Q8" s="30"/>
      <c r="R8" s="88">
        <v>1.0916999999999999</v>
      </c>
      <c r="T8">
        <f>L8/P8</f>
        <v>0.42458583398073529</v>
      </c>
      <c r="X8" t="s">
        <v>128</v>
      </c>
      <c r="Y8">
        <v>11607</v>
      </c>
    </row>
    <row r="9" spans="1:25" ht="18" x14ac:dyDescent="0.25">
      <c r="A9" s="12">
        <v>2</v>
      </c>
      <c r="B9" s="12" t="s">
        <v>3</v>
      </c>
      <c r="C9" s="12"/>
      <c r="D9" s="85"/>
      <c r="E9" s="79"/>
      <c r="F9" s="22"/>
      <c r="G9" s="22"/>
      <c r="H9" s="22"/>
      <c r="I9" s="23"/>
      <c r="J9" s="22"/>
      <c r="K9" s="22"/>
      <c r="L9" s="22"/>
      <c r="M9" s="22"/>
      <c r="N9" s="22"/>
      <c r="O9" s="22"/>
      <c r="P9" s="22"/>
      <c r="Q9" s="12"/>
      <c r="R9" s="24"/>
      <c r="X9" t="s">
        <v>129</v>
      </c>
      <c r="Y9">
        <v>1408</v>
      </c>
    </row>
    <row r="10" spans="1:25" ht="18" x14ac:dyDescent="0.25">
      <c r="A10" s="12">
        <v>3</v>
      </c>
      <c r="B10" s="12" t="s">
        <v>4</v>
      </c>
      <c r="C10" s="12"/>
      <c r="D10" s="79"/>
      <c r="E10" s="79"/>
      <c r="F10" s="22"/>
      <c r="G10" s="22"/>
      <c r="H10" s="22"/>
      <c r="I10" s="23"/>
      <c r="J10" s="12"/>
      <c r="K10" s="12"/>
      <c r="L10" s="12"/>
      <c r="M10" s="12"/>
      <c r="N10" s="12"/>
      <c r="O10" s="12"/>
      <c r="P10" s="12"/>
      <c r="Q10" s="12"/>
      <c r="R10" s="12"/>
      <c r="Y10">
        <v>32215</v>
      </c>
    </row>
    <row r="11" spans="1:25" ht="18" x14ac:dyDescent="0.25">
      <c r="A11" s="12">
        <v>4</v>
      </c>
      <c r="B11" s="12" t="s">
        <v>5</v>
      </c>
      <c r="C11" s="12"/>
      <c r="D11" s="85"/>
      <c r="E11" s="79"/>
      <c r="F11" s="22"/>
      <c r="G11" s="22"/>
      <c r="H11" s="22"/>
      <c r="I11" s="23"/>
      <c r="J11" s="22"/>
      <c r="K11" s="22"/>
      <c r="L11" s="22"/>
      <c r="M11" s="22"/>
      <c r="N11" s="22"/>
      <c r="O11" s="22"/>
      <c r="P11" s="22"/>
      <c r="Q11" s="12"/>
      <c r="R11" s="24"/>
      <c r="X11" t="s">
        <v>130</v>
      </c>
      <c r="Y11">
        <v>8569</v>
      </c>
    </row>
    <row r="12" spans="1:25" ht="18.75" x14ac:dyDescent="0.3">
      <c r="A12" s="12">
        <v>5</v>
      </c>
      <c r="B12" s="12" t="s">
        <v>307</v>
      </c>
      <c r="C12" s="12"/>
      <c r="D12" s="85"/>
      <c r="E12" s="79"/>
      <c r="F12" s="22"/>
      <c r="G12" s="22"/>
      <c r="H12" s="22"/>
      <c r="I12" s="26"/>
      <c r="J12" s="22"/>
      <c r="K12" s="22"/>
      <c r="L12" s="22"/>
      <c r="M12" s="22"/>
      <c r="N12" s="22"/>
      <c r="O12" s="22"/>
      <c r="P12" s="22"/>
      <c r="Q12" s="12"/>
      <c r="R12" s="24"/>
      <c r="X12" t="s">
        <v>131</v>
      </c>
      <c r="Y12">
        <v>35576</v>
      </c>
    </row>
    <row r="13" spans="1:25" ht="18" x14ac:dyDescent="0.25">
      <c r="A13" s="12">
        <v>6</v>
      </c>
      <c r="B13" s="12" t="s">
        <v>7</v>
      </c>
      <c r="C13" s="12"/>
      <c r="D13" s="85"/>
      <c r="E13" s="79"/>
      <c r="F13" s="22"/>
      <c r="G13" s="22"/>
      <c r="H13" s="22"/>
      <c r="I13" s="23"/>
      <c r="J13" s="22"/>
      <c r="K13" s="22"/>
      <c r="L13" s="22"/>
      <c r="M13" s="22"/>
      <c r="N13" s="22"/>
      <c r="O13" s="22"/>
      <c r="P13" s="22"/>
      <c r="Q13" s="22"/>
      <c r="R13" s="24"/>
      <c r="T13" t="e">
        <f>L13/P13</f>
        <v>#DIV/0!</v>
      </c>
      <c r="X13" t="s">
        <v>132</v>
      </c>
      <c r="Y13">
        <v>60095</v>
      </c>
    </row>
    <row r="14" spans="1:25" ht="18" x14ac:dyDescent="0.25">
      <c r="A14" s="12">
        <v>7</v>
      </c>
      <c r="B14" s="12" t="s">
        <v>103</v>
      </c>
      <c r="C14" s="12"/>
      <c r="D14" s="85"/>
      <c r="E14" s="79"/>
      <c r="F14" s="22"/>
      <c r="G14" s="22"/>
      <c r="H14" s="22"/>
      <c r="I14" s="23"/>
      <c r="J14" s="22"/>
      <c r="K14" s="22"/>
      <c r="L14" s="22"/>
      <c r="M14" s="22"/>
      <c r="N14" s="22"/>
      <c r="O14" s="22"/>
      <c r="P14" s="22"/>
      <c r="Q14" s="22"/>
      <c r="R14" s="24"/>
      <c r="X14" t="s">
        <v>103</v>
      </c>
      <c r="Y14">
        <v>47143</v>
      </c>
    </row>
    <row r="15" spans="1:25" ht="18" x14ac:dyDescent="0.25">
      <c r="A15" s="12">
        <v>5</v>
      </c>
      <c r="B15" s="12" t="s">
        <v>308</v>
      </c>
      <c r="C15" s="12"/>
      <c r="D15" s="85"/>
      <c r="E15" s="79"/>
      <c r="F15" s="22"/>
      <c r="G15" s="22"/>
      <c r="H15" s="22"/>
      <c r="I15" s="23"/>
      <c r="J15" s="22"/>
      <c r="K15" s="22"/>
      <c r="L15" s="22"/>
      <c r="M15" s="22"/>
      <c r="N15" s="22"/>
      <c r="O15" s="22"/>
      <c r="P15" s="22"/>
      <c r="Q15" s="22"/>
      <c r="R15" s="24"/>
      <c r="X15" t="s">
        <v>133</v>
      </c>
      <c r="Y15">
        <v>25896</v>
      </c>
    </row>
    <row r="16" spans="1:25" ht="18" x14ac:dyDescent="0.25">
      <c r="A16" s="12">
        <v>8</v>
      </c>
      <c r="B16" s="12" t="s">
        <v>8</v>
      </c>
      <c r="C16" s="12"/>
      <c r="D16" s="85"/>
      <c r="E16" s="79"/>
      <c r="F16" s="22"/>
      <c r="G16" s="22"/>
      <c r="H16" s="22"/>
      <c r="I16" s="23"/>
      <c r="J16" s="22"/>
      <c r="K16" s="22"/>
      <c r="L16" s="22"/>
      <c r="M16" s="22"/>
      <c r="N16" s="22"/>
      <c r="O16" s="22"/>
      <c r="P16" s="22"/>
      <c r="Q16" s="22"/>
      <c r="R16" s="24"/>
      <c r="T16" t="e">
        <f t="shared" ref="T16:T18" si="6">L16/P16</f>
        <v>#DIV/0!</v>
      </c>
      <c r="X16" t="s">
        <v>134</v>
      </c>
      <c r="Y16">
        <v>5955</v>
      </c>
    </row>
    <row r="17" spans="1:25" ht="18" x14ac:dyDescent="0.25">
      <c r="A17" s="12">
        <v>8</v>
      </c>
      <c r="B17" s="12" t="s">
        <v>9</v>
      </c>
      <c r="C17" s="12"/>
      <c r="D17" s="85"/>
      <c r="E17" s="79"/>
      <c r="F17" s="22"/>
      <c r="G17" s="22"/>
      <c r="H17" s="22"/>
      <c r="I17" s="23"/>
      <c r="J17" s="22"/>
      <c r="K17" s="22"/>
      <c r="L17" s="22"/>
      <c r="M17" s="22"/>
      <c r="N17" s="22"/>
      <c r="O17" s="22"/>
      <c r="P17" s="22"/>
      <c r="Q17" s="22"/>
      <c r="R17" s="24"/>
      <c r="T17" t="e">
        <f t="shared" si="6"/>
        <v>#DIV/0!</v>
      </c>
      <c r="Y17">
        <v>1068</v>
      </c>
    </row>
    <row r="18" spans="1:25" ht="18" x14ac:dyDescent="0.25">
      <c r="A18" s="12">
        <v>8</v>
      </c>
      <c r="B18" s="12" t="s">
        <v>10</v>
      </c>
      <c r="C18" s="12"/>
      <c r="D18" s="85"/>
      <c r="E18" s="79"/>
      <c r="F18" s="22"/>
      <c r="G18" s="22"/>
      <c r="H18" s="22"/>
      <c r="I18" s="23"/>
      <c r="J18" s="22"/>
      <c r="K18" s="22"/>
      <c r="L18" s="22"/>
      <c r="M18" s="22"/>
      <c r="N18" s="22"/>
      <c r="O18" s="22"/>
      <c r="P18" s="22"/>
      <c r="Q18" s="12"/>
      <c r="R18" s="24"/>
      <c r="T18" t="e">
        <f t="shared" si="6"/>
        <v>#DIV/0!</v>
      </c>
      <c r="Y18">
        <v>14591</v>
      </c>
    </row>
    <row r="19" spans="1:25" ht="18" x14ac:dyDescent="0.25">
      <c r="A19" s="12">
        <v>9</v>
      </c>
      <c r="B19" s="12" t="s">
        <v>11</v>
      </c>
      <c r="C19" s="12"/>
      <c r="D19" s="112"/>
      <c r="E19" s="79"/>
      <c r="F19" s="22"/>
      <c r="G19" s="22"/>
      <c r="H19" s="22"/>
      <c r="I19" s="23"/>
      <c r="J19" s="22"/>
      <c r="K19" s="22"/>
      <c r="L19" s="22"/>
      <c r="M19" s="22"/>
      <c r="N19" s="22"/>
      <c r="O19" s="22"/>
      <c r="P19" s="22"/>
      <c r="Q19" s="12"/>
      <c r="R19" s="24"/>
      <c r="X19" t="s">
        <v>135</v>
      </c>
      <c r="Y19">
        <v>1809</v>
      </c>
    </row>
    <row r="20" spans="1:25" ht="18" x14ac:dyDescent="0.25">
      <c r="A20" s="12">
        <v>10</v>
      </c>
      <c r="B20" s="12" t="s">
        <v>12</v>
      </c>
      <c r="C20" s="12"/>
      <c r="D20" s="112"/>
      <c r="E20" s="79"/>
      <c r="F20" s="22"/>
      <c r="G20" s="22"/>
      <c r="H20" s="22"/>
      <c r="I20" s="23"/>
      <c r="J20" s="22"/>
      <c r="K20" s="22"/>
      <c r="L20" s="22"/>
      <c r="M20" s="22"/>
      <c r="N20" s="12"/>
      <c r="O20" s="12"/>
      <c r="P20" s="12"/>
      <c r="Q20" s="12"/>
      <c r="R20" s="24"/>
      <c r="X20" t="s">
        <v>136</v>
      </c>
      <c r="Y20">
        <v>10852</v>
      </c>
    </row>
    <row r="21" spans="1:25" ht="18" x14ac:dyDescent="0.25">
      <c r="A21" s="12">
        <v>11</v>
      </c>
      <c r="B21" s="12" t="s">
        <v>13</v>
      </c>
      <c r="C21" s="12"/>
      <c r="D21" s="112"/>
      <c r="E21" s="79"/>
      <c r="F21" s="22"/>
      <c r="G21" s="22"/>
      <c r="H21" s="22"/>
      <c r="I21" s="23"/>
      <c r="J21" s="22"/>
      <c r="K21" s="22"/>
      <c r="L21" s="22"/>
      <c r="M21" s="22"/>
      <c r="N21" s="22"/>
      <c r="O21" s="22"/>
      <c r="P21" s="22"/>
      <c r="Q21" s="12"/>
      <c r="R21" s="24"/>
      <c r="X21" t="s">
        <v>137</v>
      </c>
      <c r="Y21">
        <v>179182</v>
      </c>
    </row>
    <row r="22" spans="1:25" ht="18" x14ac:dyDescent="0.25">
      <c r="A22" s="13">
        <v>12</v>
      </c>
      <c r="B22" s="13" t="s">
        <v>105</v>
      </c>
      <c r="C22" s="13" t="s">
        <v>100</v>
      </c>
      <c r="D22" s="82" t="s">
        <v>261</v>
      </c>
      <c r="E22" s="83" t="s">
        <v>278</v>
      </c>
      <c r="F22" s="30">
        <f>21.87+0.79</f>
        <v>22.66</v>
      </c>
      <c r="G22" s="30">
        <f>$F$5*(0.0072+0.0018)</f>
        <v>6.7499999999999991</v>
      </c>
      <c r="H22" s="30">
        <f t="shared" ref="H22" si="7">F22+G22</f>
        <v>29.41</v>
      </c>
      <c r="I22" s="23"/>
      <c r="J22" s="30">
        <f>(0.0073+0.0057)*$F$5*R22</f>
        <v>10.396425000000001</v>
      </c>
      <c r="K22" s="30">
        <f t="shared" ref="K22" si="8">(R22*$F$5-$F$5)*$T$5</f>
        <v>5.5388677500000023</v>
      </c>
      <c r="L22" s="30">
        <f t="shared" ref="L22" si="9">H22+J22+K22</f>
        <v>45.345292750000006</v>
      </c>
      <c r="M22" s="109">
        <f t="shared" ref="M22" si="10">$F$5*R22*(0.0036+0.0013+0.0011)+0.25</f>
        <v>5.0483500000000001</v>
      </c>
      <c r="N22" s="30">
        <v>0</v>
      </c>
      <c r="O22" s="90">
        <f t="shared" ref="O22:O24" si="11">$F$5*$T$5</f>
        <v>83.542500000000004</v>
      </c>
      <c r="P22" s="30">
        <f t="shared" ref="P22" si="12">L22+M22+N22+O22</f>
        <v>133.93614275000002</v>
      </c>
      <c r="Q22" s="30"/>
      <c r="R22" s="88">
        <v>1.0663</v>
      </c>
      <c r="X22" t="s">
        <v>138</v>
      </c>
      <c r="Y22">
        <v>36131</v>
      </c>
    </row>
    <row r="23" spans="1:25" ht="18" x14ac:dyDescent="0.25">
      <c r="A23" s="12">
        <v>13</v>
      </c>
      <c r="B23" s="12" t="s">
        <v>14</v>
      </c>
      <c r="C23" s="12"/>
      <c r="D23" s="85"/>
      <c r="E23" s="79"/>
      <c r="F23" s="22"/>
      <c r="G23" s="22"/>
      <c r="H23" s="22"/>
      <c r="I23" s="23"/>
      <c r="J23" s="22"/>
      <c r="K23" s="22"/>
      <c r="L23" s="22"/>
      <c r="M23" s="22"/>
      <c r="N23" s="22"/>
      <c r="O23" s="22"/>
      <c r="P23" s="22"/>
      <c r="Q23" s="12"/>
      <c r="R23" s="24"/>
      <c r="X23" t="s">
        <v>139</v>
      </c>
      <c r="Y23">
        <v>78144</v>
      </c>
    </row>
    <row r="24" spans="1:25" ht="18" x14ac:dyDescent="0.25">
      <c r="A24" s="13">
        <v>14</v>
      </c>
      <c r="B24" s="13" t="s">
        <v>15</v>
      </c>
      <c r="C24" s="13" t="s">
        <v>98</v>
      </c>
      <c r="D24" s="82" t="s">
        <v>261</v>
      </c>
      <c r="E24" s="83" t="s">
        <v>278</v>
      </c>
      <c r="F24" s="30">
        <f>19.11+0.79+0.6</f>
        <v>20.5</v>
      </c>
      <c r="G24" s="30">
        <f>$F$5*(0.0069+0.0002-0.002+0.0003)</f>
        <v>4.05</v>
      </c>
      <c r="H24" s="30">
        <f t="shared" ref="H24" si="13">F24+G24</f>
        <v>24.55</v>
      </c>
      <c r="I24" s="23"/>
      <c r="J24" s="30">
        <f>(0.0076+0.0063)*$F$5*R24</f>
        <v>10.8003</v>
      </c>
      <c r="K24" s="30">
        <f t="shared" ref="K24" si="14">(R24*$F$5-$F$5)*$T$5</f>
        <v>3.00753</v>
      </c>
      <c r="L24" s="30">
        <f t="shared" ref="L24" si="15">H24+J24+K24</f>
        <v>38.357830000000007</v>
      </c>
      <c r="M24" s="117">
        <f>$F$5*R24*(0.0036+0.0021+0.0011)+0.25</f>
        <v>5.5336000000000007</v>
      </c>
      <c r="N24" s="30">
        <v>0</v>
      </c>
      <c r="O24" s="90">
        <f t="shared" si="11"/>
        <v>83.542500000000004</v>
      </c>
      <c r="P24" s="30">
        <f t="shared" ref="P24" si="16">L24+M24+N24+O24</f>
        <v>127.43393</v>
      </c>
      <c r="Q24" s="30"/>
      <c r="R24" s="88">
        <v>1.036</v>
      </c>
      <c r="X24" t="s">
        <v>140</v>
      </c>
      <c r="Y24">
        <v>16327</v>
      </c>
    </row>
    <row r="25" spans="1:25" ht="18" x14ac:dyDescent="0.25">
      <c r="A25" s="12">
        <v>15</v>
      </c>
      <c r="B25" s="12" t="s">
        <v>16</v>
      </c>
      <c r="C25" s="12"/>
      <c r="D25" s="85"/>
      <c r="E25" s="79"/>
      <c r="F25" s="22"/>
      <c r="G25" s="22"/>
      <c r="H25" s="22"/>
      <c r="I25" s="23"/>
      <c r="J25" s="22"/>
      <c r="K25" s="22"/>
      <c r="L25" s="22"/>
      <c r="M25" s="22"/>
      <c r="N25" s="22"/>
      <c r="O25" s="22"/>
      <c r="P25" s="22"/>
      <c r="Q25" s="12"/>
      <c r="R25" s="24"/>
      <c r="X25" t="s">
        <v>141</v>
      </c>
      <c r="Y25">
        <v>2862</v>
      </c>
    </row>
    <row r="26" spans="1:25" ht="18" x14ac:dyDescent="0.25">
      <c r="A26" s="12">
        <v>15</v>
      </c>
      <c r="B26" s="12" t="s">
        <v>17</v>
      </c>
      <c r="C26" s="12"/>
      <c r="D26" s="79"/>
      <c r="E26" s="79"/>
      <c r="F26" s="22"/>
      <c r="G26" s="22"/>
      <c r="H26" s="22"/>
      <c r="I26" s="23"/>
      <c r="J26" s="22"/>
      <c r="K26" s="22"/>
      <c r="L26" s="22"/>
      <c r="M26" s="22"/>
      <c r="N26" s="22"/>
      <c r="O26" s="22"/>
      <c r="P26" s="22"/>
      <c r="Q26" s="12"/>
      <c r="R26" s="24"/>
      <c r="Y26">
        <v>26471</v>
      </c>
    </row>
    <row r="27" spans="1:25" ht="18" x14ac:dyDescent="0.25">
      <c r="A27" s="12">
        <v>15</v>
      </c>
      <c r="B27" s="12" t="s">
        <v>18</v>
      </c>
      <c r="C27" s="12"/>
      <c r="D27" s="79"/>
      <c r="E27" s="79"/>
      <c r="F27" s="22"/>
      <c r="G27" s="22"/>
      <c r="H27" s="22"/>
      <c r="I27" s="23"/>
      <c r="J27" s="22"/>
      <c r="K27" s="22"/>
      <c r="L27" s="22"/>
      <c r="M27" s="22"/>
      <c r="N27" s="22"/>
      <c r="O27" s="22"/>
      <c r="P27" s="22"/>
      <c r="Q27" s="12"/>
      <c r="R27" s="24"/>
      <c r="Y27">
        <v>18099</v>
      </c>
    </row>
    <row r="28" spans="1:25" ht="18" x14ac:dyDescent="0.25">
      <c r="A28" s="12">
        <v>15</v>
      </c>
      <c r="B28" s="12" t="s">
        <v>19</v>
      </c>
      <c r="C28" s="12"/>
      <c r="D28" s="79"/>
      <c r="E28" s="79"/>
      <c r="F28" s="22"/>
      <c r="G28" s="22"/>
      <c r="H28" s="22"/>
      <c r="I28" s="23"/>
      <c r="J28" s="22"/>
      <c r="K28" s="22"/>
      <c r="L28" s="22"/>
      <c r="M28" s="22"/>
      <c r="N28" s="22"/>
      <c r="O28" s="22"/>
      <c r="P28" s="22"/>
      <c r="Q28" s="12"/>
      <c r="R28" s="24"/>
      <c r="Y28">
        <v>3298</v>
      </c>
    </row>
    <row r="29" spans="1:25" ht="18" x14ac:dyDescent="0.25">
      <c r="A29" s="12">
        <v>16</v>
      </c>
      <c r="B29" s="12" t="s">
        <v>20</v>
      </c>
      <c r="C29" s="12"/>
      <c r="D29" s="85"/>
      <c r="E29" s="79"/>
      <c r="F29" s="22"/>
      <c r="G29" s="22"/>
      <c r="H29" s="22"/>
      <c r="I29" s="23"/>
      <c r="J29" s="22"/>
      <c r="K29" s="22"/>
      <c r="L29" s="22"/>
      <c r="M29" s="22"/>
      <c r="N29" s="22"/>
      <c r="O29" s="22"/>
      <c r="P29" s="22"/>
      <c r="Q29" s="12"/>
      <c r="R29" s="24"/>
      <c r="X29" t="s">
        <v>142</v>
      </c>
      <c r="Y29">
        <v>42680</v>
      </c>
    </row>
    <row r="30" spans="1:25" ht="18" x14ac:dyDescent="0.25">
      <c r="A30" s="12">
        <v>17</v>
      </c>
      <c r="B30" s="12" t="s">
        <v>21</v>
      </c>
      <c r="C30" s="12"/>
      <c r="D30" s="85"/>
      <c r="E30" s="79"/>
      <c r="F30" s="22"/>
      <c r="G30" s="22"/>
      <c r="H30" s="22"/>
      <c r="I30" s="25"/>
      <c r="J30" s="22"/>
      <c r="K30" s="22"/>
      <c r="L30" s="22"/>
      <c r="M30" s="22"/>
      <c r="N30" s="22"/>
      <c r="O30" s="22"/>
      <c r="P30" s="22"/>
      <c r="Q30" s="12"/>
      <c r="R30" s="24"/>
      <c r="X30" t="s">
        <v>143</v>
      </c>
      <c r="Y30">
        <v>10180</v>
      </c>
    </row>
    <row r="31" spans="1:25" ht="18.75" x14ac:dyDescent="0.3">
      <c r="A31" s="12">
        <v>17</v>
      </c>
      <c r="B31" s="12" t="s">
        <v>311</v>
      </c>
      <c r="C31" s="12"/>
      <c r="D31" s="79"/>
      <c r="E31" s="79"/>
      <c r="F31" s="22"/>
      <c r="G31" s="22"/>
      <c r="H31" s="22"/>
      <c r="I31" s="26"/>
      <c r="J31" s="22"/>
      <c r="K31" s="22"/>
      <c r="L31" s="22"/>
      <c r="M31" s="22"/>
      <c r="N31" s="22"/>
      <c r="O31" s="22"/>
      <c r="P31" s="22"/>
      <c r="Q31" s="12"/>
      <c r="R31" s="24"/>
      <c r="Y31">
        <v>48384</v>
      </c>
    </row>
    <row r="32" spans="1:25" ht="18" x14ac:dyDescent="0.25">
      <c r="A32" s="12">
        <v>18</v>
      </c>
      <c r="B32" s="12" t="s">
        <v>24</v>
      </c>
      <c r="C32" s="12"/>
      <c r="D32" s="112"/>
      <c r="E32" s="79"/>
      <c r="F32" s="22"/>
      <c r="G32" s="22"/>
      <c r="H32" s="22"/>
      <c r="I32" s="23"/>
      <c r="J32" s="22"/>
      <c r="K32" s="22"/>
      <c r="L32" s="22"/>
      <c r="M32" s="22"/>
      <c r="N32" s="22"/>
      <c r="O32" s="22"/>
      <c r="P32" s="22"/>
      <c r="Q32" s="12"/>
      <c r="R32" s="24"/>
      <c r="X32" t="s">
        <v>144</v>
      </c>
      <c r="Y32">
        <v>18819</v>
      </c>
    </row>
    <row r="33" spans="1:25" ht="18" x14ac:dyDescent="0.25">
      <c r="A33" s="12">
        <v>19</v>
      </c>
      <c r="B33" s="12" t="s">
        <v>25</v>
      </c>
      <c r="C33" s="12"/>
      <c r="D33" s="85"/>
      <c r="E33" s="79"/>
      <c r="F33" s="22"/>
      <c r="G33" s="22"/>
      <c r="H33" s="22"/>
      <c r="I33" s="23"/>
      <c r="J33" s="22"/>
      <c r="K33" s="22"/>
      <c r="L33" s="22"/>
      <c r="M33" s="22"/>
      <c r="N33" s="22"/>
      <c r="O33" s="22"/>
      <c r="P33" s="22"/>
      <c r="Q33" s="12"/>
      <c r="R33" s="24"/>
      <c r="X33" t="s">
        <v>145</v>
      </c>
      <c r="Y33">
        <v>19623</v>
      </c>
    </row>
    <row r="34" spans="1:25" ht="18" x14ac:dyDescent="0.25">
      <c r="A34" s="13">
        <v>20</v>
      </c>
      <c r="B34" s="13" t="s">
        <v>26</v>
      </c>
      <c r="C34" s="13" t="s">
        <v>98</v>
      </c>
      <c r="D34" s="84" t="s">
        <v>261</v>
      </c>
      <c r="E34" s="83" t="s">
        <v>278</v>
      </c>
      <c r="F34" s="30">
        <f>22.2+0.79</f>
        <v>22.99</v>
      </c>
      <c r="G34" s="30">
        <f>$F$5*(0.0084+0.0004+0.0002-0.0012+0.0003+0.0003)</f>
        <v>6.3</v>
      </c>
      <c r="H34" s="30">
        <f t="shared" ref="H34" si="17">F34+G34</f>
        <v>29.29</v>
      </c>
      <c r="I34" s="23"/>
      <c r="J34" s="30">
        <f>(0.0069+0.0045)*$F$5*R34</f>
        <v>8.7988049999999998</v>
      </c>
      <c r="K34" s="30">
        <f t="shared" ref="K34" si="18">(R34*$F$5-$F$5)*$T$5</f>
        <v>2.4310867499999924</v>
      </c>
      <c r="L34" s="30">
        <f t="shared" ref="L34" si="19">H34+J34+K34</f>
        <v>40.519891749999992</v>
      </c>
      <c r="M34" s="109">
        <f t="shared" ref="M34" si="20">$F$5*R34*(0.0036+0.0013+0.0011)+0.25</f>
        <v>4.8809499999999995</v>
      </c>
      <c r="N34" s="30">
        <v>0</v>
      </c>
      <c r="O34" s="90">
        <f t="shared" ref="O34" si="21">$F$5*$T$5</f>
        <v>83.542500000000004</v>
      </c>
      <c r="P34" s="30">
        <f t="shared" ref="P34" si="22">L34+M34+N34+O34</f>
        <v>128.94334175</v>
      </c>
      <c r="Q34" s="30"/>
      <c r="R34" s="88">
        <v>1.0290999999999999</v>
      </c>
      <c r="T34">
        <f>L34/P34</f>
        <v>0.31424570823177067</v>
      </c>
      <c r="X34" t="s">
        <v>146</v>
      </c>
      <c r="Y34">
        <v>2264</v>
      </c>
    </row>
    <row r="35" spans="1:25" x14ac:dyDescent="0.25">
      <c r="A35" s="12">
        <v>21</v>
      </c>
      <c r="B35" s="12" t="s">
        <v>28</v>
      </c>
      <c r="C35" s="12"/>
      <c r="D35" s="79"/>
      <c r="E35" s="79"/>
      <c r="F35" s="22"/>
      <c r="G35" s="22"/>
      <c r="H35" s="22"/>
      <c r="I35" s="12"/>
      <c r="J35" s="12"/>
      <c r="K35" s="12"/>
      <c r="L35" s="12"/>
      <c r="M35" s="12"/>
      <c r="N35" s="12"/>
      <c r="O35" s="12"/>
      <c r="P35" s="12"/>
      <c r="Q35" s="12"/>
      <c r="R35" s="12"/>
      <c r="Y35">
        <v>219536</v>
      </c>
    </row>
    <row r="36" spans="1:25" ht="18" x14ac:dyDescent="0.25">
      <c r="A36" s="12">
        <v>22</v>
      </c>
      <c r="B36" s="12" t="s">
        <v>106</v>
      </c>
      <c r="C36" s="12"/>
      <c r="D36" s="85"/>
      <c r="E36" s="79"/>
      <c r="F36" s="22"/>
      <c r="G36" s="22"/>
      <c r="H36" s="22"/>
      <c r="I36" s="23"/>
      <c r="J36" s="22"/>
      <c r="K36" s="22"/>
      <c r="L36" s="22"/>
      <c r="M36" s="22"/>
      <c r="N36" s="22"/>
      <c r="O36" s="113"/>
      <c r="P36" s="22"/>
      <c r="Q36" s="12"/>
      <c r="R36" s="24"/>
      <c r="X36" t="s">
        <v>147</v>
      </c>
      <c r="Y36">
        <v>1069</v>
      </c>
    </row>
    <row r="37" spans="1:25" ht="18" x14ac:dyDescent="0.25">
      <c r="A37" s="12">
        <v>23</v>
      </c>
      <c r="B37" s="12" t="s">
        <v>29</v>
      </c>
      <c r="C37" s="12"/>
      <c r="D37" s="85"/>
      <c r="E37" s="79"/>
      <c r="F37" s="22"/>
      <c r="G37" s="22"/>
      <c r="H37" s="22"/>
      <c r="I37" s="23"/>
      <c r="J37" s="22"/>
      <c r="K37" s="22"/>
      <c r="L37" s="22"/>
      <c r="M37" s="22"/>
      <c r="N37" s="22"/>
      <c r="O37" s="22"/>
      <c r="P37" s="22"/>
      <c r="Q37" s="12"/>
      <c r="R37" s="24"/>
      <c r="X37" t="s">
        <v>148</v>
      </c>
      <c r="Y37">
        <v>4818</v>
      </c>
    </row>
    <row r="38" spans="1:25" ht="18" x14ac:dyDescent="0.25">
      <c r="A38" s="13">
        <v>24</v>
      </c>
      <c r="B38" s="13" t="s">
        <v>30</v>
      </c>
      <c r="C38" s="13" t="s">
        <v>100</v>
      </c>
      <c r="D38" s="84" t="s">
        <v>261</v>
      </c>
      <c r="E38" s="83" t="s">
        <v>278</v>
      </c>
      <c r="F38" s="30">
        <f>22.45+0.79+0.32</f>
        <v>23.56</v>
      </c>
      <c r="G38" s="30">
        <f>$F$5*(0.0067-0.0007+0.001+0.0001)</f>
        <v>5.3250000000000002</v>
      </c>
      <c r="H38" s="30">
        <f t="shared" ref="H38" si="23">F38+G38</f>
        <v>28.884999999999998</v>
      </c>
      <c r="I38" s="23"/>
      <c r="J38" s="30">
        <f>(0.0057+0.0033)*$F$5*R38</f>
        <v>7.0584750000000014</v>
      </c>
      <c r="K38" s="30">
        <f t="shared" ref="K38" si="24">(R38*$F$5-$F$5)*$T$5</f>
        <v>3.8178922500000101</v>
      </c>
      <c r="L38" s="30">
        <f t="shared" ref="L38" si="25">H38+J38+K38</f>
        <v>39.761367250000006</v>
      </c>
      <c r="M38" s="117">
        <f>$F$5*R38*(0.0036+0.0021+0.0011)+0.25</f>
        <v>5.5830700000000011</v>
      </c>
      <c r="N38" s="30">
        <v>0</v>
      </c>
      <c r="O38" s="90">
        <f t="shared" ref="O38:O40" si="26">$F$5*$T$5</f>
        <v>83.542500000000004</v>
      </c>
      <c r="P38" s="30">
        <f t="shared" ref="P38" si="27">L38+M38+N38+O38</f>
        <v>128.88693725000002</v>
      </c>
      <c r="Q38" s="13"/>
      <c r="R38" s="88">
        <v>1.0457000000000001</v>
      </c>
      <c r="X38" t="s">
        <v>149</v>
      </c>
      <c r="Y38">
        <v>138992</v>
      </c>
    </row>
    <row r="39" spans="1:25" ht="18" x14ac:dyDescent="0.25">
      <c r="A39" s="13">
        <v>25</v>
      </c>
      <c r="B39" s="13" t="s">
        <v>31</v>
      </c>
      <c r="C39" s="13" t="s">
        <v>100</v>
      </c>
      <c r="D39" s="84" t="s">
        <v>261</v>
      </c>
      <c r="E39" s="83" t="s">
        <v>278</v>
      </c>
      <c r="F39" s="30">
        <f>22.36-0.18+0.79</f>
        <v>22.97</v>
      </c>
      <c r="G39" s="30">
        <f>$F$5*(0.0098+0.0003-0.003+0.0003)</f>
        <v>5.55</v>
      </c>
      <c r="H39" s="30">
        <f t="shared" ref="H39" si="28">F39+G39</f>
        <v>28.52</v>
      </c>
      <c r="I39" s="23"/>
      <c r="J39" s="30">
        <f>(0.0057+0.0046)*$F$5*R39</f>
        <v>7.9258500000000005</v>
      </c>
      <c r="K39" s="30">
        <f t="shared" ref="K39:K40" si="29">(R39*$F$5-$F$5)*$T$5</f>
        <v>2.1721050000000002</v>
      </c>
      <c r="L39" s="30">
        <f t="shared" ref="L39:L40" si="30">H39+J39+K39</f>
        <v>38.617955000000002</v>
      </c>
      <c r="M39" s="109">
        <f t="shared" ref="M39" si="31">$F$5*R39*(0.0036+0.0013+0.0011)+0.25</f>
        <v>4.867</v>
      </c>
      <c r="N39" s="30">
        <v>0</v>
      </c>
      <c r="O39" s="90">
        <f t="shared" si="26"/>
        <v>83.542500000000004</v>
      </c>
      <c r="P39" s="30">
        <f t="shared" ref="P39:P40" si="32">L39+M39+N39+O39</f>
        <v>127.027455</v>
      </c>
      <c r="Q39" s="13"/>
      <c r="R39" s="88">
        <v>1.026</v>
      </c>
      <c r="T39">
        <f t="shared" ref="T39:T40" si="33">L39/P39</f>
        <v>0.30401266403392874</v>
      </c>
      <c r="X39" t="s">
        <v>150</v>
      </c>
      <c r="Y39">
        <v>1106663</v>
      </c>
    </row>
    <row r="40" spans="1:25" ht="18" x14ac:dyDescent="0.25">
      <c r="A40" s="13">
        <v>26</v>
      </c>
      <c r="B40" s="13" t="s">
        <v>107</v>
      </c>
      <c r="C40" s="13" t="s">
        <v>325</v>
      </c>
      <c r="D40" s="84" t="s">
        <v>261</v>
      </c>
      <c r="E40" s="83" t="s">
        <v>278</v>
      </c>
      <c r="F40" s="30">
        <f>24.47-0.24+0.79</f>
        <v>25.02</v>
      </c>
      <c r="G40" s="30">
        <f>$F$5*(0.0149+0.0004-0.0002-0.0015+0.0002-0.0103)</f>
        <v>2.6249999999999996</v>
      </c>
      <c r="H40" s="30">
        <f t="shared" ref="H40" si="34">F40+G40</f>
        <v>27.645</v>
      </c>
      <c r="I40" s="23"/>
      <c r="J40" s="30">
        <f>(0.0065+0.0054)*$F$5*R40</f>
        <v>9.5095875000000003</v>
      </c>
      <c r="K40" s="30">
        <f t="shared" si="29"/>
        <v>5.4720337499999872</v>
      </c>
      <c r="L40" s="30">
        <f t="shared" si="30"/>
        <v>42.626621249999985</v>
      </c>
      <c r="M40" s="117">
        <f>$F$5*R40*(0.0036+0.0021+0.0011)+0.25</f>
        <v>5.68405</v>
      </c>
      <c r="N40" s="30">
        <v>0</v>
      </c>
      <c r="O40" s="90">
        <f t="shared" si="26"/>
        <v>83.542500000000004</v>
      </c>
      <c r="P40" s="30">
        <f t="shared" si="32"/>
        <v>131.85317125</v>
      </c>
      <c r="Q40" s="13"/>
      <c r="R40" s="88">
        <v>1.0654999999999999</v>
      </c>
      <c r="T40">
        <f t="shared" si="33"/>
        <v>0.32328855533688944</v>
      </c>
      <c r="X40" t="s">
        <v>151</v>
      </c>
      <c r="Y40">
        <v>291759</v>
      </c>
    </row>
    <row r="41" spans="1:25" ht="18" x14ac:dyDescent="0.25">
      <c r="A41" s="12">
        <v>27</v>
      </c>
      <c r="B41" s="12" t="s">
        <v>32</v>
      </c>
      <c r="C41" s="12"/>
      <c r="D41" s="85"/>
      <c r="E41" s="79"/>
      <c r="F41" s="22"/>
      <c r="G41" s="22"/>
      <c r="H41" s="22"/>
      <c r="I41" s="23"/>
      <c r="J41" s="22"/>
      <c r="K41" s="22"/>
      <c r="L41" s="22"/>
      <c r="M41" s="22"/>
      <c r="N41" s="22"/>
      <c r="O41" s="22"/>
      <c r="P41" s="22"/>
      <c r="Q41" s="12"/>
      <c r="R41" s="24"/>
      <c r="X41" t="s">
        <v>152</v>
      </c>
      <c r="Y41">
        <v>14728</v>
      </c>
    </row>
    <row r="42" spans="1:25" ht="18" x14ac:dyDescent="0.25">
      <c r="A42" s="12">
        <v>28</v>
      </c>
      <c r="B42" s="12" t="s">
        <v>33</v>
      </c>
      <c r="C42" s="12"/>
      <c r="D42" s="85"/>
      <c r="E42" s="79"/>
      <c r="F42" s="22"/>
      <c r="G42" s="22"/>
      <c r="H42" s="22"/>
      <c r="I42" s="25"/>
      <c r="J42" s="22"/>
      <c r="K42" s="22"/>
      <c r="L42" s="22"/>
      <c r="M42" s="22"/>
      <c r="N42" s="22"/>
      <c r="O42" s="22"/>
      <c r="P42" s="22"/>
      <c r="Q42" s="12"/>
      <c r="R42" s="12"/>
      <c r="X42" t="s">
        <v>153</v>
      </c>
      <c r="Y42">
        <v>4751</v>
      </c>
    </row>
    <row r="43" spans="1:25" ht="18" x14ac:dyDescent="0.25">
      <c r="A43" s="12">
        <v>14</v>
      </c>
      <c r="B43" s="12" t="s">
        <v>34</v>
      </c>
      <c r="C43" s="12" t="s">
        <v>324</v>
      </c>
      <c r="D43" s="85" t="s">
        <v>261</v>
      </c>
      <c r="E43" s="79"/>
      <c r="F43" s="22"/>
      <c r="G43" s="22"/>
      <c r="H43" s="22"/>
      <c r="I43" s="23"/>
      <c r="J43" s="22"/>
      <c r="K43" s="22"/>
      <c r="L43" s="22"/>
      <c r="M43" s="22"/>
      <c r="N43" s="22"/>
      <c r="O43" s="22"/>
      <c r="P43" s="22"/>
      <c r="Q43" s="12"/>
      <c r="R43" s="24"/>
      <c r="T43" t="e">
        <f>L43/P43</f>
        <v>#DIV/0!</v>
      </c>
      <c r="X43" t="s">
        <v>154</v>
      </c>
      <c r="Y43">
        <v>24046</v>
      </c>
    </row>
    <row r="44" spans="1:25" ht="18" x14ac:dyDescent="0.25">
      <c r="A44" s="12">
        <v>29</v>
      </c>
      <c r="B44" s="12" t="s">
        <v>35</v>
      </c>
      <c r="C44" s="12"/>
      <c r="D44" s="85"/>
      <c r="E44" s="79"/>
      <c r="F44" s="22"/>
      <c r="G44" s="22"/>
      <c r="H44" s="22"/>
      <c r="I44" s="25"/>
      <c r="J44" s="22"/>
      <c r="K44" s="22"/>
      <c r="L44" s="22"/>
      <c r="M44" s="22"/>
      <c r="N44" s="22"/>
      <c r="O44" s="22"/>
      <c r="P44" s="22"/>
      <c r="Q44" s="12"/>
      <c r="R44" s="24"/>
      <c r="X44" t="s">
        <v>155</v>
      </c>
      <c r="Y44">
        <v>82425</v>
      </c>
    </row>
    <row r="45" spans="1:25" ht="18" x14ac:dyDescent="0.25">
      <c r="A45" s="118">
        <v>30</v>
      </c>
      <c r="B45" s="118" t="s">
        <v>108</v>
      </c>
      <c r="C45" s="118" t="s">
        <v>100</v>
      </c>
      <c r="D45" s="119" t="s">
        <v>261</v>
      </c>
      <c r="E45" s="101" t="s">
        <v>278</v>
      </c>
      <c r="F45" s="90">
        <f>11.9+0.79</f>
        <v>12.690000000000001</v>
      </c>
      <c r="G45" s="90">
        <f>$F$5*(0.0051+0.0007)</f>
        <v>4.3500000000000005</v>
      </c>
      <c r="H45" s="90">
        <f t="shared" ref="H45" si="35">F45+G45</f>
        <v>17.040000000000003</v>
      </c>
      <c r="I45" s="23"/>
      <c r="J45" s="30">
        <f>(0.0072+0.0036)*$F$5*R45</f>
        <v>8.5382099999999994</v>
      </c>
      <c r="K45" s="30">
        <f t="shared" ref="K45" si="36">(R45*$F$5-$F$5)*$T$5</f>
        <v>4.5196492500000049</v>
      </c>
      <c r="L45" s="30">
        <f t="shared" ref="L45" si="37">H45+J45+K45</f>
        <v>30.097859250000006</v>
      </c>
      <c r="M45" s="109">
        <f t="shared" ref="M45" si="38">$F$5*R45*(0.0036+0.0013+0.0011)+0.25</f>
        <v>4.9934500000000002</v>
      </c>
      <c r="N45" s="30">
        <v>0</v>
      </c>
      <c r="O45" s="90">
        <f t="shared" ref="O45:O46" si="39">$F$5*$T$5</f>
        <v>83.542500000000004</v>
      </c>
      <c r="P45" s="30">
        <f t="shared" ref="P45" si="40">L45+M45+N45+O45</f>
        <v>118.63380925000001</v>
      </c>
      <c r="Q45" s="13"/>
      <c r="R45" s="88">
        <v>1.0541</v>
      </c>
      <c r="T45">
        <f t="shared" ref="T45:T50" si="41">L45/P45</f>
        <v>0.25370389301564134</v>
      </c>
      <c r="X45" t="s">
        <v>156</v>
      </c>
      <c r="Y45">
        <v>8800</v>
      </c>
    </row>
    <row r="46" spans="1:25" ht="18" x14ac:dyDescent="0.25">
      <c r="A46" s="13">
        <v>14</v>
      </c>
      <c r="B46" s="13" t="s">
        <v>36</v>
      </c>
      <c r="C46" s="13" t="s">
        <v>100</v>
      </c>
      <c r="D46" s="84" t="s">
        <v>261</v>
      </c>
      <c r="E46" s="83" t="s">
        <v>278</v>
      </c>
      <c r="F46" s="30">
        <f>17.64+0.79</f>
        <v>18.43</v>
      </c>
      <c r="G46" s="30">
        <f>$F$5*(0.008+0.0001-0.0038+0.0005+0.0003)</f>
        <v>3.8250000000000002</v>
      </c>
      <c r="H46" s="30">
        <f t="shared" ref="H46" si="42">F46+G46</f>
        <v>22.254999999999999</v>
      </c>
      <c r="I46" s="23"/>
      <c r="J46" s="30">
        <f>(0.0074+0.0057)*$F$5*R46</f>
        <v>10.160032500000002</v>
      </c>
      <c r="K46" s="30">
        <f t="shared" ref="K46" si="43">(R46*$F$5-$F$5)*$T$5</f>
        <v>2.8487992500000052</v>
      </c>
      <c r="L46" s="30">
        <f t="shared" ref="L46" si="44">H46+J46+K46</f>
        <v>35.263831750000008</v>
      </c>
      <c r="M46" s="109">
        <f t="shared" ref="M46" si="45">$F$5*R46*(0.0036+0.0013+0.0011)+0.25</f>
        <v>4.9034500000000003</v>
      </c>
      <c r="N46" s="30">
        <v>0</v>
      </c>
      <c r="O46" s="90">
        <f t="shared" si="39"/>
        <v>83.542500000000004</v>
      </c>
      <c r="P46" s="30">
        <f t="shared" ref="P46" si="46">L46+M46+N46+O46</f>
        <v>123.70978175000002</v>
      </c>
      <c r="Q46" s="13"/>
      <c r="R46" s="88">
        <v>1.0341</v>
      </c>
      <c r="T46">
        <f t="shared" si="41"/>
        <v>0.28505289760564956</v>
      </c>
      <c r="X46" t="s">
        <v>157</v>
      </c>
      <c r="Y46">
        <v>10986</v>
      </c>
    </row>
    <row r="47" spans="1:25" ht="18" x14ac:dyDescent="0.25">
      <c r="A47" s="13">
        <v>26</v>
      </c>
      <c r="B47" s="13" t="s">
        <v>37</v>
      </c>
      <c r="C47" s="13" t="s">
        <v>315</v>
      </c>
      <c r="D47" s="83"/>
      <c r="E47" s="83" t="s">
        <v>278</v>
      </c>
      <c r="F47" s="30">
        <f>33.77+0.82+0.79</f>
        <v>35.380000000000003</v>
      </c>
      <c r="G47" s="30">
        <f>$F$5*(0.023-0.0002)</f>
        <v>17.100000000000001</v>
      </c>
      <c r="H47" s="30">
        <f t="shared" ref="H47:H48" si="47">F47+G47</f>
        <v>52.480000000000004</v>
      </c>
      <c r="I47" s="23"/>
      <c r="J47" s="30">
        <f>(0.0064+0.0047)*$F$5*R47</f>
        <v>8.9577000000000009</v>
      </c>
      <c r="K47" s="30">
        <f t="shared" ref="K47" si="48">(R47*$F$5-$F$5)*$T$5</f>
        <v>6.3492300000000004</v>
      </c>
      <c r="L47" s="30">
        <f t="shared" ref="L47" si="49">H47+J47+K47</f>
        <v>67.786930000000012</v>
      </c>
      <c r="M47" s="117">
        <f t="shared" ref="M47:M50" si="50">$F$5*R47*(0.0036+0.0021+0.0011)+0.25</f>
        <v>5.7376000000000005</v>
      </c>
      <c r="N47" s="30">
        <v>0</v>
      </c>
      <c r="O47" s="90">
        <f t="shared" ref="O47:O50" si="51">$F$5*$T$5</f>
        <v>83.542500000000004</v>
      </c>
      <c r="P47" s="30">
        <f t="shared" ref="P47" si="52">L47+M47+N47+O47</f>
        <v>157.06703000000002</v>
      </c>
      <c r="Q47" s="30"/>
      <c r="R47" s="88">
        <v>1.0760000000000001</v>
      </c>
      <c r="T47">
        <f t="shared" si="41"/>
        <v>0.43157962559042473</v>
      </c>
      <c r="X47" t="s">
        <v>158</v>
      </c>
      <c r="Y47">
        <v>138568</v>
      </c>
    </row>
    <row r="48" spans="1:25" ht="18" x14ac:dyDescent="0.25">
      <c r="A48" s="13">
        <v>26</v>
      </c>
      <c r="B48" s="13" t="s">
        <v>38</v>
      </c>
      <c r="C48" s="13" t="s">
        <v>315</v>
      </c>
      <c r="D48" s="83"/>
      <c r="E48" s="83" t="s">
        <v>278</v>
      </c>
      <c r="F48" s="30">
        <f>80.33+1.36+0.79-60.5</f>
        <v>21.980000000000004</v>
      </c>
      <c r="G48" s="30">
        <f>$F$5*(0.0374)</f>
        <v>28.05</v>
      </c>
      <c r="H48" s="30">
        <f t="shared" si="47"/>
        <v>50.03</v>
      </c>
      <c r="I48" s="23"/>
      <c r="J48" s="30">
        <f>(0.0062+0.0044)*$F$5*R48</f>
        <v>8.7847500000000007</v>
      </c>
      <c r="K48" s="30">
        <f t="shared" ref="K48" si="53">(R48*$F$5-$F$5)*$T$5</f>
        <v>8.7719625000000008</v>
      </c>
      <c r="L48" s="30">
        <f t="shared" ref="L48" si="54">H48+J48+K48</f>
        <v>67.586712500000004</v>
      </c>
      <c r="M48" s="117">
        <f t="shared" si="50"/>
        <v>5.8855000000000004</v>
      </c>
      <c r="N48" s="30">
        <v>0</v>
      </c>
      <c r="O48" s="90">
        <f t="shared" si="51"/>
        <v>83.542500000000004</v>
      </c>
      <c r="P48" s="30">
        <f t="shared" ref="P48" si="55">L48+M48+N48+O48</f>
        <v>157.01471250000003</v>
      </c>
      <c r="Q48" s="13"/>
      <c r="R48" s="88">
        <v>1.105</v>
      </c>
      <c r="T48">
        <f t="shared" si="41"/>
        <v>0.43044827725936824</v>
      </c>
      <c r="Y48">
        <v>6163</v>
      </c>
    </row>
    <row r="49" spans="1:25" ht="18" x14ac:dyDescent="0.25">
      <c r="A49" s="13">
        <v>26</v>
      </c>
      <c r="B49" s="13" t="s">
        <v>121</v>
      </c>
      <c r="C49" s="13" t="s">
        <v>201</v>
      </c>
      <c r="D49" s="83"/>
      <c r="E49" s="83" t="s">
        <v>278</v>
      </c>
      <c r="F49" s="30">
        <f>36.28+0.84+0.79</f>
        <v>37.910000000000004</v>
      </c>
      <c r="G49" s="30">
        <f>$F$5*(0.0635+0.0003)</f>
        <v>47.849999999999994</v>
      </c>
      <c r="H49" s="30">
        <f t="shared" ref="H49" si="56">F49+G49</f>
        <v>85.759999999999991</v>
      </c>
      <c r="I49" s="23"/>
      <c r="J49" s="30">
        <f>(0.0051+0.0042)*$F$5*R49</f>
        <v>7.7004000000000001</v>
      </c>
      <c r="K49" s="30">
        <f t="shared" ref="K49" si="57">(R49*$F$5-$F$5)*$T$5</f>
        <v>8.6884200000000131</v>
      </c>
      <c r="L49" s="30">
        <f t="shared" ref="L49" si="58">H49+J49+K49</f>
        <v>102.14882</v>
      </c>
      <c r="M49" s="117">
        <f t="shared" si="50"/>
        <v>5.8804000000000007</v>
      </c>
      <c r="N49" s="30">
        <v>0</v>
      </c>
      <c r="O49" s="90">
        <f t="shared" si="51"/>
        <v>83.542500000000004</v>
      </c>
      <c r="P49" s="30">
        <f t="shared" ref="P49" si="59">L49+M49+N49+O49</f>
        <v>191.57172</v>
      </c>
      <c r="Q49" s="13"/>
      <c r="R49" s="88">
        <v>1.1040000000000001</v>
      </c>
      <c r="T49">
        <f t="shared" si="41"/>
        <v>0.53321450577360796</v>
      </c>
      <c r="Y49">
        <v>32268</v>
      </c>
    </row>
    <row r="50" spans="1:25" ht="18" x14ac:dyDescent="0.25">
      <c r="A50" s="13">
        <v>26</v>
      </c>
      <c r="B50" s="13" t="s">
        <v>39</v>
      </c>
      <c r="C50" s="13" t="s">
        <v>201</v>
      </c>
      <c r="D50" s="83"/>
      <c r="E50" s="83" t="s">
        <v>278</v>
      </c>
      <c r="F50" s="30">
        <f>24.78+0.72+0.79</f>
        <v>26.29</v>
      </c>
      <c r="G50" s="30">
        <f>$F$5*(0.0094-0.0003)</f>
        <v>6.8250000000000002</v>
      </c>
      <c r="H50" s="30">
        <f t="shared" ref="H50" si="60">F50+G50</f>
        <v>33.115000000000002</v>
      </c>
      <c r="I50" s="23"/>
      <c r="J50" s="30">
        <f>(0.0067+0.0047)*$F$5*R50</f>
        <v>9.03735</v>
      </c>
      <c r="K50" s="30">
        <f t="shared" ref="K50" si="61">(R50*$F$5-$F$5)*$T$5</f>
        <v>4.7619224999999998</v>
      </c>
      <c r="L50" s="30">
        <f t="shared" ref="L50" si="62">H50+J50+K50</f>
        <v>46.914272499999996</v>
      </c>
      <c r="M50" s="117">
        <f t="shared" si="50"/>
        <v>5.6407000000000007</v>
      </c>
      <c r="N50" s="30">
        <v>0</v>
      </c>
      <c r="O50" s="90">
        <f t="shared" si="51"/>
        <v>83.542500000000004</v>
      </c>
      <c r="P50" s="30">
        <f t="shared" ref="P50" si="63">L50+M50+N50+O50</f>
        <v>136.09747250000001</v>
      </c>
      <c r="Q50" s="13"/>
      <c r="R50" s="88">
        <v>1.0569999999999999</v>
      </c>
      <c r="T50">
        <f t="shared" si="41"/>
        <v>0.34471082848360751</v>
      </c>
      <c r="Y50">
        <v>31349</v>
      </c>
    </row>
    <row r="51" spans="1:25" x14ac:dyDescent="0.25">
      <c r="A51" s="12">
        <v>31</v>
      </c>
      <c r="B51" s="12" t="s">
        <v>40</v>
      </c>
      <c r="C51" s="12" t="s">
        <v>98</v>
      </c>
      <c r="D51" s="85" t="s">
        <v>264</v>
      </c>
      <c r="E51" s="79"/>
      <c r="F51" s="22"/>
      <c r="G51" s="22"/>
      <c r="H51" s="22"/>
      <c r="I51" s="12"/>
      <c r="J51" s="12"/>
      <c r="K51" s="12"/>
      <c r="L51" s="12"/>
      <c r="M51" s="12"/>
      <c r="N51" s="12"/>
      <c r="O51" s="12"/>
      <c r="P51" s="22"/>
      <c r="Q51" s="12"/>
      <c r="R51" s="12"/>
      <c r="Y51">
        <v>46600</v>
      </c>
    </row>
    <row r="52" spans="1:25" x14ac:dyDescent="0.25">
      <c r="A52" s="12"/>
      <c r="B52" s="12" t="s">
        <v>306</v>
      </c>
      <c r="C52" s="12" t="s">
        <v>98</v>
      </c>
      <c r="D52" s="85" t="s">
        <v>264</v>
      </c>
      <c r="E52" s="79"/>
      <c r="F52" s="22"/>
      <c r="G52" s="22"/>
      <c r="H52" s="22"/>
      <c r="I52" s="12"/>
      <c r="J52" s="12"/>
      <c r="K52" s="12"/>
      <c r="L52" s="12"/>
      <c r="M52" s="12"/>
      <c r="N52" s="12"/>
      <c r="O52" s="12"/>
      <c r="P52" s="22"/>
      <c r="Q52" s="12"/>
      <c r="R52" s="12"/>
    </row>
    <row r="53" spans="1:25" ht="18" x14ac:dyDescent="0.25">
      <c r="A53" s="13">
        <v>32</v>
      </c>
      <c r="B53" s="13" t="s">
        <v>41</v>
      </c>
      <c r="C53" s="13" t="s">
        <v>201</v>
      </c>
      <c r="D53" s="84" t="s">
        <v>261</v>
      </c>
      <c r="E53" s="83" t="s">
        <v>278</v>
      </c>
      <c r="F53" s="30">
        <f>16.6+0.79+0.02</f>
        <v>17.41</v>
      </c>
      <c r="G53" s="30">
        <f>$F$5*(0.0151+0.00007-0.0001-0.0023+0.00027)</f>
        <v>9.7800000000000011</v>
      </c>
      <c r="H53" s="30">
        <f t="shared" ref="H53" si="64">F53+G53</f>
        <v>27.19</v>
      </c>
      <c r="I53" s="23"/>
      <c r="J53" s="30">
        <f>(0.0074+0.0047)*$F$5*R53</f>
        <v>9.3790125</v>
      </c>
      <c r="K53" s="30">
        <f t="shared" ref="K53" si="65">(R53*$F$5-$F$5)*$T$5</f>
        <v>2.7986737500000127</v>
      </c>
      <c r="L53" s="30">
        <f t="shared" ref="L53" si="66">H53+J53+K53</f>
        <v>39.367686250000013</v>
      </c>
      <c r="M53" s="117">
        <f t="shared" ref="M53" si="67">$F$5*R53*(0.0036+0.0021+0.0011)+0.25</f>
        <v>5.5208500000000011</v>
      </c>
      <c r="N53" s="30">
        <v>0</v>
      </c>
      <c r="O53" s="90">
        <f t="shared" ref="O53" si="68">$F$5*$T$5</f>
        <v>83.542500000000004</v>
      </c>
      <c r="P53" s="30">
        <f t="shared" ref="P53" si="69">L53+M53+N53+O53</f>
        <v>128.43103625000003</v>
      </c>
      <c r="Q53" s="13"/>
      <c r="R53" s="88">
        <v>1.0335000000000001</v>
      </c>
      <c r="T53">
        <f t="shared" ref="T53:T54" si="70">L53/P53</f>
        <v>0.30652782535654421</v>
      </c>
      <c r="X53" t="s">
        <v>159</v>
      </c>
      <c r="Y53">
        <v>7230</v>
      </c>
    </row>
    <row r="54" spans="1:25" ht="18" x14ac:dyDescent="0.25">
      <c r="A54" s="12">
        <v>33</v>
      </c>
      <c r="B54" s="12" t="s">
        <v>279</v>
      </c>
      <c r="C54" s="12" t="s">
        <v>100</v>
      </c>
      <c r="D54" s="85" t="s">
        <v>261</v>
      </c>
      <c r="E54" s="79"/>
      <c r="F54" s="22"/>
      <c r="G54" s="22"/>
      <c r="H54" s="22"/>
      <c r="I54" s="23"/>
      <c r="J54" s="22"/>
      <c r="K54" s="22"/>
      <c r="L54" s="22"/>
      <c r="M54" s="22"/>
      <c r="N54" s="22"/>
      <c r="O54" s="22"/>
      <c r="P54" s="22"/>
      <c r="Q54" s="12"/>
      <c r="R54" s="24"/>
      <c r="T54" t="e">
        <f t="shared" si="70"/>
        <v>#DIV/0!</v>
      </c>
      <c r="X54" t="s">
        <v>160</v>
      </c>
      <c r="Y54">
        <v>17393</v>
      </c>
    </row>
    <row r="55" spans="1:25" x14ac:dyDescent="0.25">
      <c r="A55" s="12">
        <v>34</v>
      </c>
      <c r="B55" s="12" t="s">
        <v>43</v>
      </c>
      <c r="C55" s="12"/>
      <c r="D55" s="79"/>
      <c r="E55" s="79"/>
      <c r="F55" s="22"/>
      <c r="G55" s="22"/>
      <c r="H55" s="22"/>
      <c r="I55" s="12"/>
      <c r="J55" s="12"/>
      <c r="K55" s="12"/>
      <c r="L55" s="12"/>
      <c r="M55" s="12"/>
      <c r="N55" s="12"/>
      <c r="O55" s="12"/>
      <c r="P55" s="12"/>
      <c r="Q55" s="12"/>
      <c r="R55" s="12"/>
      <c r="Y55">
        <v>21067</v>
      </c>
    </row>
    <row r="56" spans="1:25" ht="18" x14ac:dyDescent="0.25">
      <c r="A56" s="12">
        <v>35</v>
      </c>
      <c r="B56" s="12" t="s">
        <v>44</v>
      </c>
      <c r="C56" s="12" t="s">
        <v>98</v>
      </c>
      <c r="D56" s="85" t="s">
        <v>264</v>
      </c>
      <c r="E56" s="79"/>
      <c r="F56" s="22"/>
      <c r="G56" s="22"/>
      <c r="H56" s="22"/>
      <c r="I56" s="23"/>
      <c r="J56" s="22"/>
      <c r="K56" s="22"/>
      <c r="L56" s="22"/>
      <c r="M56" s="22"/>
      <c r="N56" s="22"/>
      <c r="O56" s="22"/>
      <c r="P56" s="22"/>
      <c r="Q56" s="12"/>
      <c r="R56" s="24"/>
      <c r="X56" t="s">
        <v>161</v>
      </c>
      <c r="Y56">
        <v>5237</v>
      </c>
    </row>
    <row r="57" spans="1:25" ht="18" x14ac:dyDescent="0.25">
      <c r="A57" s="13">
        <v>36</v>
      </c>
      <c r="B57" s="13" t="s">
        <v>314</v>
      </c>
      <c r="C57" s="13" t="s">
        <v>201</v>
      </c>
      <c r="D57" s="82" t="s">
        <v>261</v>
      </c>
      <c r="E57" s="83" t="s">
        <v>278</v>
      </c>
      <c r="F57" s="30">
        <f>18.54+0.79</f>
        <v>19.329999999999998</v>
      </c>
      <c r="G57" s="30">
        <f>$F$5*(0.0082+0.0018+0.0027-0.0051+0.0139+0.0003)</f>
        <v>16.350000000000001</v>
      </c>
      <c r="H57" s="30">
        <f t="shared" ref="H57" si="71">F57+G57</f>
        <v>35.68</v>
      </c>
      <c r="I57" s="23"/>
      <c r="J57" s="30">
        <f>(0.0073+0.0059)*$F$5*R57</f>
        <v>10.289069999999999</v>
      </c>
      <c r="K57" s="30">
        <f t="shared" ref="K57:K58" si="72">(R57*$F$5-$F$5)*$T$5</f>
        <v>3.2832202499999901</v>
      </c>
      <c r="L57" s="30">
        <f t="shared" ref="L57:L58" si="73">H57+J57+K57</f>
        <v>49.252290249999994</v>
      </c>
      <c r="M57" s="117">
        <f t="shared" ref="M57" si="74">$F$5*R57*(0.0036+0.0021+0.0011)+0.25</f>
        <v>5.5504299999999995</v>
      </c>
      <c r="N57" s="30">
        <v>0</v>
      </c>
      <c r="O57" s="90">
        <f t="shared" ref="O57:O60" si="75">$F$5*$T$5</f>
        <v>83.542500000000004</v>
      </c>
      <c r="P57" s="30">
        <f t="shared" ref="P57:P58" si="76">L57+M57+N57+O57</f>
        <v>138.34522025000001</v>
      </c>
      <c r="Q57" s="13"/>
      <c r="R57" s="88">
        <v>1.0392999999999999</v>
      </c>
      <c r="T57">
        <f t="shared" ref="T57:T58" si="77">L57/P57</f>
        <v>0.3560100606366991</v>
      </c>
      <c r="X57" t="s">
        <v>162</v>
      </c>
      <c r="Y57">
        <v>60486</v>
      </c>
    </row>
    <row r="58" spans="1:25" ht="18" x14ac:dyDescent="0.25">
      <c r="A58" s="13">
        <v>37</v>
      </c>
      <c r="B58" s="13" t="s">
        <v>109</v>
      </c>
      <c r="C58" s="13" t="s">
        <v>100</v>
      </c>
      <c r="D58" s="84" t="s">
        <v>261</v>
      </c>
      <c r="E58" s="83" t="s">
        <v>278</v>
      </c>
      <c r="F58" s="30">
        <f>16.64+0.79</f>
        <v>17.43</v>
      </c>
      <c r="G58" s="30">
        <f>$F$5*(0.0084)</f>
        <v>6.3</v>
      </c>
      <c r="H58" s="30">
        <f t="shared" ref="H58:H59" si="78">F58+G58</f>
        <v>23.73</v>
      </c>
      <c r="I58" s="23"/>
      <c r="J58" s="30">
        <f>(0.0064+0.0016)*$F$5*R58</f>
        <v>6.2105999999999995</v>
      </c>
      <c r="K58" s="30">
        <f t="shared" si="72"/>
        <v>2.9323417499999924</v>
      </c>
      <c r="L58" s="30">
        <f t="shared" si="73"/>
        <v>32.872941749999995</v>
      </c>
      <c r="M58" s="109">
        <f t="shared" ref="M58" si="79">$F$5*R58*(0.0036+0.0013+0.0011)+0.25</f>
        <v>4.9079499999999996</v>
      </c>
      <c r="N58" s="30">
        <v>0</v>
      </c>
      <c r="O58" s="90">
        <f t="shared" si="75"/>
        <v>83.542500000000004</v>
      </c>
      <c r="P58" s="30">
        <f t="shared" si="76"/>
        <v>121.32339175</v>
      </c>
      <c r="Q58" s="13"/>
      <c r="R58" s="88">
        <v>1.0350999999999999</v>
      </c>
      <c r="T58">
        <f t="shared" si="77"/>
        <v>0.27095303944138205</v>
      </c>
      <c r="X58" t="s">
        <v>163</v>
      </c>
      <c r="Y58">
        <v>10407</v>
      </c>
    </row>
    <row r="59" spans="1:25" ht="18" x14ac:dyDescent="0.25">
      <c r="A59" s="13">
        <v>38</v>
      </c>
      <c r="B59" s="13" t="s">
        <v>46</v>
      </c>
      <c r="C59" s="13" t="s">
        <v>92</v>
      </c>
      <c r="D59" s="84" t="s">
        <v>264</v>
      </c>
      <c r="E59" s="83" t="s">
        <v>278</v>
      </c>
      <c r="F59" s="30">
        <f>16+0.79+0.1+0.09</f>
        <v>16.98</v>
      </c>
      <c r="G59" s="30">
        <f>$F$5*(0.0076+0.0014-0.0003+0.0006+0.0008+0.0022)</f>
        <v>9.2249999999999996</v>
      </c>
      <c r="H59" s="30">
        <f t="shared" si="78"/>
        <v>26.204999999999998</v>
      </c>
      <c r="I59" s="23"/>
      <c r="J59" s="30">
        <f>(0.0065+0.005)*$F$5*R59</f>
        <v>9.0053625000000004</v>
      </c>
      <c r="K59" s="30">
        <f t="shared" ref="K59:K60" si="80">(R59*$F$5-$F$5)*$T$5</f>
        <v>3.6842242500000051</v>
      </c>
      <c r="L59" s="30">
        <f t="shared" ref="L59:L60" si="81">H59+J59+K59</f>
        <v>38.894586750000009</v>
      </c>
      <c r="M59" s="117">
        <f t="shared" ref="M59" si="82">$F$5*R59*(0.0036+0.0021+0.0011)+0.25</f>
        <v>5.5749100000000009</v>
      </c>
      <c r="N59" s="30">
        <v>0</v>
      </c>
      <c r="O59" s="90">
        <f t="shared" si="75"/>
        <v>83.542500000000004</v>
      </c>
      <c r="P59" s="30">
        <f t="shared" ref="P59:P60" si="83">L59+M59+N59+O59</f>
        <v>128.01199675000001</v>
      </c>
      <c r="Q59" s="13"/>
      <c r="R59" s="88">
        <v>1.0441</v>
      </c>
      <c r="X59" t="s">
        <v>164</v>
      </c>
      <c r="Y59">
        <v>11816</v>
      </c>
    </row>
    <row r="60" spans="1:25" ht="18" x14ac:dyDescent="0.25">
      <c r="A60" s="11">
        <v>39</v>
      </c>
      <c r="B60" s="11" t="s">
        <v>47</v>
      </c>
      <c r="C60" s="11" t="s">
        <v>100</v>
      </c>
      <c r="D60" s="120" t="s">
        <v>264</v>
      </c>
      <c r="E60" s="104" t="s">
        <v>278</v>
      </c>
      <c r="F60" s="17">
        <f>27.15+0.79+0.17</f>
        <v>28.11</v>
      </c>
      <c r="G60" s="17">
        <f>$F$5*(0.0076+0.0034)</f>
        <v>8.25</v>
      </c>
      <c r="H60" s="17">
        <f t="shared" ref="H60" si="84">F60+G60</f>
        <v>36.36</v>
      </c>
      <c r="I60" s="15"/>
      <c r="J60" s="17">
        <f>(0.0058+0.0045)*$F$5*R60</f>
        <v>8.2989675000000016</v>
      </c>
      <c r="K60" s="17">
        <f t="shared" si="80"/>
        <v>6.2072077500000029</v>
      </c>
      <c r="L60" s="17">
        <f t="shared" si="81"/>
        <v>50.866175250000005</v>
      </c>
      <c r="M60" s="109">
        <f t="shared" ref="M60" si="85">$F$5*R60*(0.0036+0.0013+0.0011)+0.25</f>
        <v>5.0843500000000006</v>
      </c>
      <c r="N60" s="30">
        <v>0</v>
      </c>
      <c r="O60" s="90">
        <f t="shared" si="75"/>
        <v>83.542500000000004</v>
      </c>
      <c r="P60" s="30">
        <f t="shared" si="83"/>
        <v>139.49302525000002</v>
      </c>
      <c r="Q60" s="13"/>
      <c r="R60" s="88">
        <v>1.0743</v>
      </c>
      <c r="T60">
        <f>L60/P60</f>
        <v>0.36465031250729146</v>
      </c>
      <c r="X60" t="s">
        <v>165</v>
      </c>
      <c r="Y60">
        <v>50365</v>
      </c>
    </row>
    <row r="61" spans="1:25" ht="18" x14ac:dyDescent="0.25">
      <c r="A61" s="12">
        <v>40</v>
      </c>
      <c r="B61" s="12" t="s">
        <v>48</v>
      </c>
      <c r="C61" s="12" t="s">
        <v>100</v>
      </c>
      <c r="D61" s="85" t="s">
        <v>264</v>
      </c>
      <c r="E61" s="79"/>
      <c r="F61" s="22"/>
      <c r="G61" s="22"/>
      <c r="H61" s="22"/>
      <c r="I61" s="23"/>
      <c r="J61" s="22"/>
      <c r="K61" s="22"/>
      <c r="L61" s="22"/>
      <c r="M61" s="22"/>
      <c r="N61" s="22"/>
      <c r="O61" s="22"/>
      <c r="P61" s="22"/>
      <c r="Q61" s="12"/>
      <c r="R61" s="24"/>
      <c r="X61" t="s">
        <v>166</v>
      </c>
      <c r="Y61">
        <v>9358</v>
      </c>
    </row>
    <row r="62" spans="1:25" ht="18" x14ac:dyDescent="0.25">
      <c r="A62" s="12">
        <v>41</v>
      </c>
      <c r="B62" s="12" t="s">
        <v>49</v>
      </c>
      <c r="C62" s="12" t="s">
        <v>100</v>
      </c>
      <c r="D62" s="85" t="s">
        <v>264</v>
      </c>
      <c r="E62" s="79"/>
      <c r="F62" s="22"/>
      <c r="G62" s="22"/>
      <c r="H62" s="22"/>
      <c r="I62" s="23"/>
      <c r="J62" s="22"/>
      <c r="K62" s="22"/>
      <c r="L62" s="22"/>
      <c r="M62" s="22"/>
      <c r="N62" s="22"/>
      <c r="O62" s="22"/>
      <c r="P62" s="22"/>
      <c r="Q62" s="12"/>
      <c r="R62" s="24"/>
      <c r="X62" t="s">
        <v>167</v>
      </c>
      <c r="Y62">
        <v>32140</v>
      </c>
    </row>
    <row r="63" spans="1:25" ht="18.75" x14ac:dyDescent="0.3">
      <c r="A63" s="12">
        <v>42</v>
      </c>
      <c r="B63" s="12" t="s">
        <v>50</v>
      </c>
      <c r="C63" s="12" t="s">
        <v>92</v>
      </c>
      <c r="D63" s="85" t="s">
        <v>281</v>
      </c>
      <c r="E63" s="79"/>
      <c r="F63" s="22"/>
      <c r="G63" s="22"/>
      <c r="H63" s="22"/>
      <c r="I63" s="26"/>
      <c r="J63" s="22"/>
      <c r="K63" s="22"/>
      <c r="L63" s="22"/>
      <c r="M63" s="22"/>
      <c r="N63" s="22"/>
      <c r="O63" s="22"/>
      <c r="P63" s="22"/>
      <c r="Q63" s="12"/>
      <c r="R63" s="24"/>
      <c r="X63" t="s">
        <v>168</v>
      </c>
      <c r="Y63">
        <v>316596</v>
      </c>
    </row>
    <row r="64" spans="1:25" ht="18" x14ac:dyDescent="0.25">
      <c r="A64" s="12">
        <v>43</v>
      </c>
      <c r="B64" s="12" t="s">
        <v>51</v>
      </c>
      <c r="C64" s="12" t="s">
        <v>210</v>
      </c>
      <c r="D64" s="85" t="s">
        <v>261</v>
      </c>
      <c r="E64" s="79"/>
      <c r="F64" s="22"/>
      <c r="G64" s="22"/>
      <c r="H64" s="22"/>
      <c r="I64" s="23"/>
      <c r="J64" s="22"/>
      <c r="K64" s="22"/>
      <c r="L64" s="22"/>
      <c r="M64" s="22"/>
      <c r="N64" s="22"/>
      <c r="O64" s="22"/>
      <c r="P64" s="22"/>
      <c r="Q64" s="12"/>
      <c r="R64" s="24"/>
      <c r="T64" t="e">
        <f>L64/P64</f>
        <v>#DIV/0!</v>
      </c>
      <c r="X64" t="s">
        <v>169</v>
      </c>
      <c r="Y64">
        <v>29635</v>
      </c>
    </row>
    <row r="65" spans="1:25" ht="18" x14ac:dyDescent="0.25">
      <c r="A65" s="12">
        <v>44</v>
      </c>
      <c r="B65" s="12" t="s">
        <v>110</v>
      </c>
      <c r="C65" s="12" t="s">
        <v>98</v>
      </c>
      <c r="D65" s="85" t="s">
        <v>264</v>
      </c>
      <c r="E65" s="79"/>
      <c r="F65" s="22"/>
      <c r="G65" s="22"/>
      <c r="H65" s="22"/>
      <c r="I65" s="23"/>
      <c r="J65" s="22"/>
      <c r="K65" s="22"/>
      <c r="L65" s="22"/>
      <c r="M65" s="22"/>
      <c r="N65" s="22"/>
      <c r="O65" s="22"/>
      <c r="P65" s="22"/>
      <c r="Q65" s="12"/>
      <c r="R65" s="24"/>
      <c r="X65" s="11" t="s">
        <v>170</v>
      </c>
      <c r="Y65">
        <v>3756</v>
      </c>
    </row>
    <row r="66" spans="1:25" ht="18.75" x14ac:dyDescent="0.3">
      <c r="A66" s="12">
        <v>45</v>
      </c>
      <c r="B66" s="12" t="s">
        <v>124</v>
      </c>
      <c r="C66" s="12" t="s">
        <v>98</v>
      </c>
      <c r="D66" s="85" t="s">
        <v>264</v>
      </c>
      <c r="E66" s="79"/>
      <c r="F66" s="22"/>
      <c r="G66" s="22"/>
      <c r="H66" s="22"/>
      <c r="I66" s="26"/>
      <c r="J66" s="22"/>
      <c r="K66" s="22"/>
      <c r="L66" s="22"/>
      <c r="M66" s="22"/>
      <c r="N66" s="22"/>
      <c r="O66" s="22"/>
      <c r="P66" s="22"/>
      <c r="Q66" s="12"/>
      <c r="R66" s="24"/>
      <c r="X66" s="11" t="s">
        <v>171</v>
      </c>
      <c r="Y66">
        <v>5040</v>
      </c>
    </row>
    <row r="67" spans="1:25" ht="18" x14ac:dyDescent="0.25">
      <c r="A67" s="13">
        <v>26</v>
      </c>
      <c r="B67" s="13" t="s">
        <v>52</v>
      </c>
      <c r="C67" s="13" t="s">
        <v>325</v>
      </c>
      <c r="D67" s="84" t="s">
        <v>261</v>
      </c>
      <c r="E67" s="83" t="s">
        <v>278</v>
      </c>
      <c r="F67" s="30">
        <f>28.81+0.79-0.43</f>
        <v>29.169999999999998</v>
      </c>
      <c r="G67" s="30">
        <f>$F$5*(0.0109+0.0009-0.0002+0.0002)</f>
        <v>8.85</v>
      </c>
      <c r="H67" s="30">
        <f t="shared" ref="H67" si="86">F67+G67</f>
        <v>38.019999999999996</v>
      </c>
      <c r="I67" s="23"/>
      <c r="J67" s="30">
        <f>(0.0068+0.0036)*$F$5*R67</f>
        <v>8.2399199999999997</v>
      </c>
      <c r="K67" s="30">
        <f t="shared" ref="K67" si="87">(R67*$F$5-$F$5)*$T$5</f>
        <v>4.7117969999999954</v>
      </c>
      <c r="L67" s="30">
        <f t="shared" ref="L67" si="88">H67+J67+K67</f>
        <v>50.971716999999991</v>
      </c>
      <c r="M67" s="117">
        <f>$F$5*R67*(0.0036+0.0021+0.0011)+0.25</f>
        <v>5.6376400000000002</v>
      </c>
      <c r="N67" s="30">
        <v>0</v>
      </c>
      <c r="O67" s="90">
        <f t="shared" ref="O67" si="89">$F$5*$T$5</f>
        <v>83.542500000000004</v>
      </c>
      <c r="P67" s="30">
        <f t="shared" ref="P67" si="90">L67+M67+N67+O67</f>
        <v>140.15185700000001</v>
      </c>
      <c r="Q67" s="13"/>
      <c r="R67" s="88">
        <v>1.0564</v>
      </c>
      <c r="T67">
        <f>L67/P67</f>
        <v>0.36368920177775443</v>
      </c>
      <c r="X67" t="s">
        <v>172</v>
      </c>
      <c r="Y67">
        <v>2335</v>
      </c>
    </row>
    <row r="68" spans="1:25" x14ac:dyDescent="0.25">
      <c r="A68" s="12">
        <v>46</v>
      </c>
      <c r="B68" s="12" t="s">
        <v>53</v>
      </c>
      <c r="C68" s="12" t="s">
        <v>98</v>
      </c>
      <c r="D68" s="85" t="s">
        <v>264</v>
      </c>
      <c r="E68" s="79"/>
      <c r="F68" s="22"/>
      <c r="G68" s="22"/>
      <c r="H68" s="22"/>
      <c r="I68" s="12"/>
      <c r="J68" s="22"/>
      <c r="K68" s="22"/>
      <c r="L68" s="22"/>
      <c r="M68" s="22"/>
      <c r="N68" s="22"/>
      <c r="O68" s="22"/>
      <c r="P68" s="22"/>
      <c r="Q68" s="12"/>
      <c r="R68" s="24"/>
      <c r="X68" t="s">
        <v>173</v>
      </c>
      <c r="Y68">
        <v>15046</v>
      </c>
    </row>
    <row r="69" spans="1:25" ht="18" x14ac:dyDescent="0.25">
      <c r="A69" s="12">
        <v>47</v>
      </c>
      <c r="B69" s="12" t="s">
        <v>54</v>
      </c>
      <c r="C69" s="12" t="s">
        <v>98</v>
      </c>
      <c r="D69" s="85" t="s">
        <v>264</v>
      </c>
      <c r="E69" s="79"/>
      <c r="F69" s="22"/>
      <c r="G69" s="22"/>
      <c r="H69" s="22"/>
      <c r="I69" s="23"/>
      <c r="J69" s="22"/>
      <c r="K69" s="22"/>
      <c r="L69" s="22"/>
      <c r="M69" s="22"/>
      <c r="N69" s="22"/>
      <c r="O69" s="22"/>
      <c r="P69" s="22"/>
      <c r="Q69" s="12"/>
      <c r="R69" s="24"/>
      <c r="X69" t="s">
        <v>174</v>
      </c>
      <c r="Y69">
        <v>45319</v>
      </c>
    </row>
    <row r="70" spans="1:25" ht="18" x14ac:dyDescent="0.25">
      <c r="A70" s="13">
        <v>48</v>
      </c>
      <c r="B70" s="13" t="s">
        <v>111</v>
      </c>
      <c r="C70" s="13" t="s">
        <v>100</v>
      </c>
      <c r="D70" s="82" t="s">
        <v>261</v>
      </c>
      <c r="E70" s="83" t="s">
        <v>278</v>
      </c>
      <c r="F70" s="30">
        <f>21.95+0.77+0.79</f>
        <v>23.509999999999998</v>
      </c>
      <c r="G70" s="30">
        <f>$F$5*(0.0082+0.0004-0.0003)</f>
        <v>6.2249999999999996</v>
      </c>
      <c r="H70" s="30">
        <f t="shared" ref="H70" si="91">F70+G70</f>
        <v>29.734999999999999</v>
      </c>
      <c r="I70" s="23"/>
      <c r="J70" s="30">
        <f>(0.0079+0.0056)*$F$5*R70</f>
        <v>10.505700000000003</v>
      </c>
      <c r="K70" s="30">
        <f t="shared" ref="K70" si="92">(R70*$F$5-$F$5)*$T$5</f>
        <v>3.141198000000005</v>
      </c>
      <c r="L70" s="30">
        <f t="shared" ref="L70" si="93">H70+J70+K70</f>
        <v>43.381898000000007</v>
      </c>
      <c r="M70" s="117">
        <f>$F$5*R70*(0.0036+0.0021+0.0011)+0.25</f>
        <v>5.5417600000000009</v>
      </c>
      <c r="N70" s="30">
        <v>0</v>
      </c>
      <c r="O70" s="90">
        <f t="shared" ref="O70" si="94">$F$5*$T$5</f>
        <v>83.542500000000004</v>
      </c>
      <c r="P70" s="30">
        <f t="shared" ref="P70" si="95">L70+M70+N70+O70</f>
        <v>132.46615800000001</v>
      </c>
      <c r="Q70" s="13"/>
      <c r="R70" s="88">
        <v>1.0376000000000001</v>
      </c>
      <c r="T70">
        <f>L70/P70</f>
        <v>0.32749419666870694</v>
      </c>
      <c r="X70" t="s">
        <v>175</v>
      </c>
      <c r="Y70">
        <v>6191</v>
      </c>
    </row>
    <row r="71" spans="1:25" ht="18" x14ac:dyDescent="0.25">
      <c r="A71" s="12">
        <v>49</v>
      </c>
      <c r="B71" s="12" t="s">
        <v>112</v>
      </c>
      <c r="C71" s="12" t="s">
        <v>98</v>
      </c>
      <c r="D71" s="85" t="s">
        <v>264</v>
      </c>
      <c r="E71" s="79"/>
      <c r="F71" s="22"/>
      <c r="G71" s="22"/>
      <c r="H71" s="22"/>
      <c r="I71" s="23"/>
      <c r="J71" s="22"/>
      <c r="K71" s="22"/>
      <c r="L71" s="22"/>
      <c r="M71" s="22"/>
      <c r="N71" s="22"/>
      <c r="O71" s="22"/>
      <c r="P71" s="22"/>
      <c r="Q71" s="12"/>
      <c r="R71" s="24"/>
      <c r="X71" t="s">
        <v>176</v>
      </c>
      <c r="Y71">
        <v>661959</v>
      </c>
    </row>
    <row r="72" spans="1:25" ht="18" x14ac:dyDescent="0.25">
      <c r="A72" s="12">
        <v>50</v>
      </c>
      <c r="B72" s="12" t="s">
        <v>55</v>
      </c>
      <c r="C72" s="12" t="s">
        <v>98</v>
      </c>
      <c r="D72" s="85" t="s">
        <v>264</v>
      </c>
      <c r="E72" s="79"/>
      <c r="F72" s="22"/>
      <c r="G72" s="22"/>
      <c r="H72" s="22"/>
      <c r="I72" s="23"/>
      <c r="J72" s="22"/>
      <c r="K72" s="22"/>
      <c r="L72" s="22"/>
      <c r="M72" s="22"/>
      <c r="N72" s="22"/>
      <c r="O72" s="22"/>
      <c r="P72" s="22"/>
      <c r="Q72" s="12"/>
      <c r="R72" s="24"/>
      <c r="X72" t="s">
        <v>177</v>
      </c>
      <c r="Y72">
        <v>107574</v>
      </c>
    </row>
    <row r="73" spans="1:25" x14ac:dyDescent="0.25">
      <c r="A73" s="13">
        <v>51</v>
      </c>
      <c r="B73" s="13" t="s">
        <v>56</v>
      </c>
      <c r="C73" s="13" t="s">
        <v>315</v>
      </c>
      <c r="D73" s="84" t="s">
        <v>261</v>
      </c>
      <c r="E73" s="83" t="s">
        <v>278</v>
      </c>
      <c r="F73" s="30">
        <f>14.22+0.79+0.06</f>
        <v>15.070000000000002</v>
      </c>
      <c r="G73" s="30">
        <f>$F$5*(0.0109+0.0006)</f>
        <v>8.625</v>
      </c>
      <c r="H73" s="30">
        <f t="shared" ref="H73" si="96">F73+G73</f>
        <v>23.695</v>
      </c>
      <c r="I73" s="12"/>
      <c r="J73" s="30">
        <f>(0.0074+0.0062)*$F$5*R73</f>
        <v>10.695720000000001</v>
      </c>
      <c r="K73" s="30">
        <f t="shared" ref="K73" si="97">(R73*$F$5-$F$5)*$T$5</f>
        <v>4.0601654999999921</v>
      </c>
      <c r="L73" s="30">
        <f t="shared" ref="L73" si="98">H73+J73+K73</f>
        <v>38.450885499999991</v>
      </c>
      <c r="M73" s="117">
        <f>$F$5*R73*(0.0036+0.0021+0.0011)+0.25</f>
        <v>5.5978599999999998</v>
      </c>
      <c r="N73" s="30">
        <v>0</v>
      </c>
      <c r="O73" s="90">
        <f t="shared" ref="O73" si="99">$F$5*$T$5</f>
        <v>83.542500000000004</v>
      </c>
      <c r="P73" s="30">
        <f t="shared" ref="P73" si="100">L73+M73+N73+O73</f>
        <v>127.59124549999999</v>
      </c>
      <c r="Q73" s="13"/>
      <c r="R73" s="13">
        <v>1.0486</v>
      </c>
      <c r="X73" t="s">
        <v>178</v>
      </c>
      <c r="Y73">
        <v>12165</v>
      </c>
    </row>
    <row r="74" spans="1:25" x14ac:dyDescent="0.25">
      <c r="A74" s="12">
        <v>52</v>
      </c>
      <c r="B74" s="12" t="s">
        <v>57</v>
      </c>
      <c r="C74" s="12" t="s">
        <v>92</v>
      </c>
      <c r="D74" s="85" t="s">
        <v>264</v>
      </c>
      <c r="E74" s="79"/>
      <c r="F74" s="22"/>
      <c r="G74" s="22"/>
      <c r="H74" s="22"/>
      <c r="I74" s="12"/>
      <c r="J74" s="12"/>
      <c r="K74" s="12"/>
      <c r="L74" s="12"/>
      <c r="M74" s="12"/>
      <c r="N74" s="12"/>
      <c r="O74" s="12"/>
      <c r="P74" s="12"/>
      <c r="Q74" s="12"/>
      <c r="R74" s="12"/>
      <c r="X74" t="s">
        <v>179</v>
      </c>
      <c r="Y74">
        <v>48409</v>
      </c>
    </row>
    <row r="75" spans="1:25" ht="18.75" x14ac:dyDescent="0.3">
      <c r="A75" s="13">
        <v>39</v>
      </c>
      <c r="B75" s="13" t="s">
        <v>58</v>
      </c>
      <c r="C75" s="13" t="s">
        <v>100</v>
      </c>
      <c r="D75" s="84" t="s">
        <v>261</v>
      </c>
      <c r="E75" s="83" t="s">
        <v>278</v>
      </c>
      <c r="F75" s="30">
        <f>30.68+4.11+0.79</f>
        <v>35.58</v>
      </c>
      <c r="G75" s="30">
        <f>$F$5*(0.0112+0.0011+0.0044)</f>
        <v>12.525</v>
      </c>
      <c r="H75" s="30">
        <f t="shared" ref="H75" si="101">F75+G75</f>
        <v>48.104999999999997</v>
      </c>
      <c r="I75" s="26"/>
      <c r="J75" s="30">
        <f>(0.0044+0.0034)*$F$5*R75</f>
        <v>6.3232649999999992</v>
      </c>
      <c r="K75" s="30">
        <f t="shared" ref="K75" si="102">(R75*$F$5-$F$5)*$T$5</f>
        <v>6.7585882499999954</v>
      </c>
      <c r="L75" s="30">
        <f t="shared" ref="L75" si="103">H75+J75+K75</f>
        <v>61.186853249999992</v>
      </c>
      <c r="M75" s="109">
        <f>$F$5*R75*(0.0036+0.0013+0.0011)+0.25</f>
        <v>5.1140499999999998</v>
      </c>
      <c r="N75" s="30">
        <v>0</v>
      </c>
      <c r="O75" s="90">
        <f t="shared" ref="O75" si="104">$F$5*$T$5</f>
        <v>83.542500000000004</v>
      </c>
      <c r="P75" s="30">
        <f t="shared" ref="P75" si="105">L75+M75+N75+O75</f>
        <v>149.84340324999999</v>
      </c>
      <c r="Q75" s="13"/>
      <c r="R75" s="88">
        <v>1.0809</v>
      </c>
      <c r="T75">
        <f>L75/P75</f>
        <v>0.40833865170504258</v>
      </c>
      <c r="Y75">
        <v>20549</v>
      </c>
    </row>
    <row r="76" spans="1:25" ht="18" x14ac:dyDescent="0.25">
      <c r="A76" s="12">
        <v>53</v>
      </c>
      <c r="B76" s="12" t="s">
        <v>59</v>
      </c>
      <c r="C76" s="12" t="s">
        <v>98</v>
      </c>
      <c r="D76" s="85" t="s">
        <v>264</v>
      </c>
      <c r="E76" s="79"/>
      <c r="F76" s="22"/>
      <c r="G76" s="22"/>
      <c r="H76" s="22"/>
      <c r="I76" s="23"/>
      <c r="J76" s="22"/>
      <c r="K76" s="22"/>
      <c r="L76" s="22"/>
      <c r="M76" s="22"/>
      <c r="N76" s="22"/>
      <c r="O76" s="22"/>
      <c r="P76" s="22"/>
      <c r="Q76" s="12"/>
      <c r="R76" s="24"/>
      <c r="X76" t="s">
        <v>180</v>
      </c>
      <c r="Y76">
        <v>3213</v>
      </c>
    </row>
    <row r="77" spans="1:25" ht="18" x14ac:dyDescent="0.25">
      <c r="A77" s="19"/>
      <c r="B77" s="19" t="s">
        <v>60</v>
      </c>
      <c r="C77" s="19"/>
      <c r="D77" s="114"/>
      <c r="E77" s="86"/>
      <c r="F77" s="18"/>
      <c r="G77" s="18"/>
      <c r="H77" s="18"/>
      <c r="I77" s="115"/>
      <c r="J77" s="18"/>
      <c r="K77" s="18"/>
      <c r="L77" s="18"/>
      <c r="M77" s="18"/>
      <c r="N77" s="18"/>
      <c r="O77" s="18"/>
      <c r="P77" s="18"/>
      <c r="Q77" s="19"/>
      <c r="R77" s="116"/>
      <c r="X77" t="s">
        <v>181</v>
      </c>
      <c r="Y77">
        <v>3273</v>
      </c>
    </row>
    <row r="78" spans="1:25" ht="18" x14ac:dyDescent="0.25">
      <c r="A78" s="13">
        <v>14</v>
      </c>
      <c r="B78" s="13" t="s">
        <v>322</v>
      </c>
      <c r="C78" s="13" t="s">
        <v>323</v>
      </c>
      <c r="D78" s="82" t="s">
        <v>261</v>
      </c>
      <c r="E78" s="83" t="s">
        <v>278</v>
      </c>
      <c r="F78" s="30">
        <f>18.51-0.04-0.1+0.06+0.12+0.79</f>
        <v>19.34</v>
      </c>
      <c r="G78" s="30">
        <f>$F$5*(0.013+0.0005+0.0003-0.0003)</f>
        <v>10.125</v>
      </c>
      <c r="H78" s="30">
        <f t="shared" ref="H78" si="106">F78+G78</f>
        <v>29.465</v>
      </c>
      <c r="I78" s="23"/>
      <c r="J78" s="30">
        <f>(0.0083+0.0038)*$F$5*R78</f>
        <v>9.4098674999999989</v>
      </c>
      <c r="K78" s="30">
        <f t="shared" ref="K78" si="107">(R78*$F$5-$F$5)*$T$5</f>
        <v>3.0827182499999952</v>
      </c>
      <c r="L78" s="30">
        <f t="shared" ref="L78" si="108">H78+J78+K78</f>
        <v>41.957585749999993</v>
      </c>
      <c r="M78" s="109">
        <f>$F$5*R78*(0.0036+0.0013+0.0011)+0.25</f>
        <v>4.9160500000000003</v>
      </c>
      <c r="N78" s="30">
        <v>0</v>
      </c>
      <c r="O78" s="90">
        <f t="shared" ref="O78" si="109">$F$5*$T$5</f>
        <v>83.542500000000004</v>
      </c>
      <c r="P78" s="30">
        <f t="shared" ref="P78" si="110">L78+M78+N78+O78</f>
        <v>130.41613575</v>
      </c>
      <c r="Q78" s="13"/>
      <c r="R78" s="88">
        <v>1.0368999999999999</v>
      </c>
      <c r="Y78">
        <v>20060</v>
      </c>
    </row>
    <row r="79" spans="1:25" ht="18" x14ac:dyDescent="0.25">
      <c r="A79" s="12">
        <v>54</v>
      </c>
      <c r="B79" s="12" t="s">
        <v>62</v>
      </c>
      <c r="C79" s="12" t="s">
        <v>98</v>
      </c>
      <c r="D79" s="85" t="s">
        <v>264</v>
      </c>
      <c r="E79" s="79"/>
      <c r="F79" s="22"/>
      <c r="G79" s="22"/>
      <c r="H79" s="22"/>
      <c r="I79" s="23"/>
      <c r="J79" s="22"/>
      <c r="K79" s="22"/>
      <c r="L79" s="22"/>
      <c r="M79" s="22"/>
      <c r="N79" s="22"/>
      <c r="O79" s="22"/>
      <c r="P79" s="22"/>
      <c r="Q79" s="12"/>
      <c r="R79" s="24"/>
      <c r="X79" t="s">
        <v>182</v>
      </c>
      <c r="Y79">
        <v>38963</v>
      </c>
    </row>
    <row r="80" spans="1:25" ht="18" x14ac:dyDescent="0.25">
      <c r="A80" s="12">
        <v>55</v>
      </c>
      <c r="B80" s="12" t="s">
        <v>63</v>
      </c>
      <c r="C80" s="12" t="s">
        <v>92</v>
      </c>
      <c r="D80" s="85" t="s">
        <v>264</v>
      </c>
      <c r="E80" s="79"/>
      <c r="F80" s="22"/>
      <c r="G80" s="22"/>
      <c r="H80" s="22"/>
      <c r="I80" s="23"/>
      <c r="J80" s="22"/>
      <c r="K80" s="22"/>
      <c r="L80" s="22"/>
      <c r="M80" s="22"/>
      <c r="N80" s="22"/>
      <c r="O80" s="22"/>
      <c r="P80" s="22"/>
      <c r="Q80" s="12"/>
      <c r="R80" s="24"/>
      <c r="X80" t="s">
        <v>183</v>
      </c>
      <c r="Y80">
        <v>14299</v>
      </c>
    </row>
    <row r="81" spans="1:24" ht="18" x14ac:dyDescent="0.25">
      <c r="A81" s="12">
        <v>56</v>
      </c>
      <c r="B81" s="12" t="s">
        <v>64</v>
      </c>
      <c r="C81" s="12" t="s">
        <v>92</v>
      </c>
      <c r="D81" s="85" t="s">
        <v>264</v>
      </c>
      <c r="E81" s="79"/>
      <c r="F81" s="22"/>
      <c r="G81" s="22"/>
      <c r="H81" s="22"/>
      <c r="I81" s="23"/>
      <c r="J81" s="22"/>
      <c r="K81" s="22"/>
      <c r="L81" s="22"/>
      <c r="M81" s="22"/>
      <c r="N81" s="22"/>
      <c r="O81" s="22"/>
      <c r="P81" s="22"/>
      <c r="Q81" s="12"/>
      <c r="R81" s="24"/>
      <c r="X81" t="s">
        <v>184</v>
      </c>
    </row>
    <row r="82" spans="1:24" ht="18" x14ac:dyDescent="0.25">
      <c r="A82" s="12">
        <v>57</v>
      </c>
      <c r="B82" s="12" t="s">
        <v>65</v>
      </c>
      <c r="C82" s="12" t="s">
        <v>98</v>
      </c>
      <c r="D82" s="85" t="s">
        <v>264</v>
      </c>
      <c r="E82" s="79"/>
      <c r="F82" s="22"/>
      <c r="G82" s="22"/>
      <c r="H82" s="22"/>
      <c r="I82" s="23"/>
      <c r="J82" s="22"/>
      <c r="K82" s="22"/>
      <c r="L82" s="22"/>
      <c r="M82" s="22"/>
      <c r="N82" s="22"/>
      <c r="O82" s="22"/>
      <c r="P82" s="22"/>
      <c r="Q82" s="12"/>
      <c r="R82" s="24"/>
      <c r="X82" t="s">
        <v>185</v>
      </c>
    </row>
    <row r="83" spans="1:24" ht="18.75" x14ac:dyDescent="0.3">
      <c r="A83" s="13">
        <v>58</v>
      </c>
      <c r="B83" s="13" t="s">
        <v>66</v>
      </c>
      <c r="C83" s="13" t="s">
        <v>100</v>
      </c>
      <c r="D83" s="84" t="s">
        <v>261</v>
      </c>
      <c r="E83" s="83" t="s">
        <v>278</v>
      </c>
      <c r="F83" s="30">
        <f>20.47+0.79+0.37</f>
        <v>21.63</v>
      </c>
      <c r="G83" s="30">
        <f>$F$5*(0.0086+0.0003)</f>
        <v>6.6749999999999998</v>
      </c>
      <c r="H83" s="30">
        <f t="shared" ref="H83" si="111">F83+G83</f>
        <v>28.305</v>
      </c>
      <c r="I83" s="26"/>
      <c r="J83" s="30">
        <f>(0.0071+0.0059)*$F$5*R83</f>
        <v>10.133175</v>
      </c>
      <c r="K83" s="30">
        <f t="shared" ref="K83" si="112">(R83*$F$5-$F$5)*$T$5</f>
        <v>3.2832202499999901</v>
      </c>
      <c r="L83" s="30">
        <f t="shared" ref="L83" si="113">H83+J83+K83</f>
        <v>41.721395249999993</v>
      </c>
      <c r="M83" s="109">
        <f>$F$5*R83*(0.0036+0.0013+0.0011)+0.25</f>
        <v>4.92685</v>
      </c>
      <c r="N83" s="30">
        <v>0</v>
      </c>
      <c r="O83" s="90">
        <f t="shared" ref="O83" si="114">$F$5*$T$5</f>
        <v>83.542500000000004</v>
      </c>
      <c r="P83" s="30">
        <f t="shared" ref="P83" si="115">L83+M83+N83+O83</f>
        <v>130.19074524999999</v>
      </c>
      <c r="Q83" s="13"/>
      <c r="R83" s="88">
        <v>1.0392999999999999</v>
      </c>
      <c r="T83">
        <f>L83/P83</f>
        <v>0.3204636026154094</v>
      </c>
      <c r="X83" t="s">
        <v>186</v>
      </c>
    </row>
    <row r="84" spans="1:24" ht="18" x14ac:dyDescent="0.25">
      <c r="A84" s="12">
        <v>59</v>
      </c>
      <c r="B84" s="12" t="s">
        <v>67</v>
      </c>
      <c r="C84" s="12" t="s">
        <v>98</v>
      </c>
      <c r="D84" s="85" t="s">
        <v>264</v>
      </c>
      <c r="E84" s="79"/>
      <c r="F84" s="22"/>
      <c r="G84" s="22"/>
      <c r="H84" s="22"/>
      <c r="I84" s="23"/>
      <c r="J84" s="22"/>
      <c r="K84" s="22"/>
      <c r="L84" s="22"/>
      <c r="M84" s="22"/>
      <c r="N84" s="22"/>
      <c r="O84" s="22"/>
      <c r="P84" s="22"/>
      <c r="Q84" s="12"/>
      <c r="R84" s="24"/>
      <c r="X84" t="s">
        <v>187</v>
      </c>
    </row>
    <row r="85" spans="1:24" ht="18" x14ac:dyDescent="0.25">
      <c r="A85" s="12">
        <v>60</v>
      </c>
      <c r="B85" s="12" t="s">
        <v>68</v>
      </c>
      <c r="C85" s="12" t="s">
        <v>98</v>
      </c>
      <c r="D85" s="85" t="s">
        <v>264</v>
      </c>
      <c r="E85" s="79"/>
      <c r="F85" s="22"/>
      <c r="G85" s="22"/>
      <c r="H85" s="22"/>
      <c r="I85" s="23"/>
      <c r="J85" s="22"/>
      <c r="K85" s="22"/>
      <c r="L85" s="22"/>
      <c r="M85" s="22"/>
      <c r="N85" s="22"/>
      <c r="O85" s="22"/>
      <c r="P85" s="22"/>
      <c r="Q85" s="12"/>
      <c r="R85" s="24"/>
      <c r="X85" t="s">
        <v>188</v>
      </c>
    </row>
    <row r="86" spans="1:24" ht="18" x14ac:dyDescent="0.25">
      <c r="A86" s="13">
        <v>61</v>
      </c>
      <c r="B86" s="13" t="s">
        <v>69</v>
      </c>
      <c r="C86" s="13" t="s">
        <v>315</v>
      </c>
      <c r="D86" s="84" t="s">
        <v>261</v>
      </c>
      <c r="E86" s="83" t="s">
        <v>278</v>
      </c>
      <c r="F86" s="30">
        <f>27.69+0.08+0.78+0.28-0.48-1.48+0.1+0.03+0.46+0.88+0.28</f>
        <v>28.620000000000005</v>
      </c>
      <c r="G86" s="30">
        <f>$F$5*(0.01512-0.00341+0.00007+0.00029)</f>
        <v>9.0525000000000002</v>
      </c>
      <c r="H86" s="30">
        <f t="shared" ref="H86" si="116">F86+G86</f>
        <v>37.672500000000007</v>
      </c>
      <c r="I86" s="23"/>
      <c r="J86" s="30">
        <f>(0.00763+0.00567)*$F$5*R86</f>
        <v>10.350060000000001</v>
      </c>
      <c r="K86" s="30">
        <f t="shared" ref="K86" si="117">(R86*$F$5-$F$5)*$T$5</f>
        <v>3.141198000000005</v>
      </c>
      <c r="L86" s="30">
        <f t="shared" ref="L86" si="118">H86+J86+K86</f>
        <v>51.163758000000009</v>
      </c>
      <c r="M86" s="117">
        <f t="shared" ref="M86" si="119">$F$5*R86*(0.0036+0.0021+0.0011)+0.25</f>
        <v>5.5417600000000009</v>
      </c>
      <c r="N86" s="30">
        <v>0</v>
      </c>
      <c r="O86" s="90">
        <f t="shared" ref="O86" si="120">$F$5*$T$5</f>
        <v>83.542500000000004</v>
      </c>
      <c r="P86" s="30">
        <f t="shared" ref="P86" si="121">L86+M86+N86+O86</f>
        <v>140.248018</v>
      </c>
      <c r="Q86" s="13"/>
      <c r="R86" s="88">
        <v>1.0376000000000001</v>
      </c>
      <c r="T86">
        <f>L86/P86</f>
        <v>0.36480913405849347</v>
      </c>
      <c r="X86" t="s">
        <v>189</v>
      </c>
    </row>
    <row r="87" spans="1:24" ht="18" x14ac:dyDescent="0.25">
      <c r="A87" s="12">
        <v>62</v>
      </c>
      <c r="B87" s="12" t="s">
        <v>113</v>
      </c>
      <c r="C87" s="12" t="s">
        <v>98</v>
      </c>
      <c r="D87" s="85" t="s">
        <v>264</v>
      </c>
      <c r="E87" s="79"/>
      <c r="F87" s="22"/>
      <c r="G87" s="22"/>
      <c r="H87" s="22"/>
      <c r="I87" s="23"/>
      <c r="J87" s="22"/>
      <c r="K87" s="22"/>
      <c r="L87" s="22"/>
      <c r="M87" s="22"/>
      <c r="N87" s="22"/>
      <c r="O87" s="22"/>
      <c r="P87" s="22"/>
      <c r="Q87" s="12"/>
      <c r="R87" s="24"/>
      <c r="X87" t="s">
        <v>190</v>
      </c>
    </row>
    <row r="88" spans="1:24" ht="18" x14ac:dyDescent="0.25">
      <c r="A88" s="12">
        <v>63</v>
      </c>
      <c r="B88" s="12" t="s">
        <v>70</v>
      </c>
      <c r="C88" s="12" t="s">
        <v>92</v>
      </c>
      <c r="D88" s="85" t="s">
        <v>264</v>
      </c>
      <c r="E88" s="79"/>
      <c r="F88" s="22"/>
      <c r="G88" s="22"/>
      <c r="H88" s="22"/>
      <c r="I88" s="23"/>
      <c r="J88" s="22"/>
      <c r="K88" s="22"/>
      <c r="L88" s="22"/>
      <c r="M88" s="22"/>
      <c r="N88" s="22"/>
      <c r="O88" s="22"/>
      <c r="P88" s="22"/>
      <c r="Q88" s="12"/>
      <c r="R88" s="24"/>
      <c r="X88" t="s">
        <v>191</v>
      </c>
    </row>
    <row r="89" spans="1:24" ht="18.75" x14ac:dyDescent="0.3">
      <c r="A89" s="13">
        <v>64</v>
      </c>
      <c r="B89" s="13" t="s">
        <v>71</v>
      </c>
      <c r="C89" s="13" t="s">
        <v>100</v>
      </c>
      <c r="D89" s="84" t="s">
        <v>261</v>
      </c>
      <c r="E89" s="83" t="s">
        <v>278</v>
      </c>
      <c r="F89" s="30">
        <f>23.62+0.79+0.58</f>
        <v>24.99</v>
      </c>
      <c r="G89" s="30">
        <f>$F$5*(0.0105+0.0002-0.0033+0.0003)</f>
        <v>5.7750000000000012</v>
      </c>
      <c r="H89" s="30">
        <f t="shared" ref="H89" si="122">F89+G89</f>
        <v>30.765000000000001</v>
      </c>
      <c r="I89" s="26"/>
      <c r="J89" s="30">
        <f>(0.007+0.0022)*$F$5*R89</f>
        <v>7.1497799999999998</v>
      </c>
      <c r="K89" s="30">
        <f t="shared" ref="K89" si="123">(R89*$F$5-$F$5)*$T$5</f>
        <v>3.0242384999999974</v>
      </c>
      <c r="L89" s="30">
        <f t="shared" ref="L89" si="124">H89+J89+K89</f>
        <v>40.939018499999996</v>
      </c>
      <c r="M89" s="109">
        <f>$F$5*R89*(0.0036+0.0013+0.0011)+0.25</f>
        <v>4.9128999999999996</v>
      </c>
      <c r="N89" s="30">
        <v>0</v>
      </c>
      <c r="O89" s="90">
        <f t="shared" ref="O89" si="125">$F$5*$T$5</f>
        <v>83.542500000000004</v>
      </c>
      <c r="P89" s="30">
        <f t="shared" ref="P89" si="126">L89+M89+N89+O89</f>
        <v>129.3944185</v>
      </c>
      <c r="Q89" s="13"/>
      <c r="R89" s="88">
        <v>1.0362</v>
      </c>
      <c r="T89">
        <f>L89/P89</f>
        <v>0.31638936960793246</v>
      </c>
      <c r="X89" t="s">
        <v>192</v>
      </c>
    </row>
    <row r="90" spans="1:24" ht="18" x14ac:dyDescent="0.25">
      <c r="A90" s="12">
        <v>65</v>
      </c>
      <c r="B90" s="12" t="s">
        <v>72</v>
      </c>
      <c r="C90" s="12" t="s">
        <v>98</v>
      </c>
      <c r="D90" s="85" t="s">
        <v>264</v>
      </c>
      <c r="E90" s="79"/>
      <c r="F90" s="22"/>
      <c r="G90" s="22"/>
      <c r="H90" s="22"/>
      <c r="I90" s="23"/>
      <c r="J90" s="22"/>
      <c r="K90" s="22"/>
      <c r="L90" s="22"/>
      <c r="M90" s="22"/>
      <c r="N90" s="22"/>
      <c r="O90" s="22"/>
      <c r="P90" s="22"/>
      <c r="Q90" s="12"/>
      <c r="R90" s="24"/>
      <c r="X90" t="s">
        <v>193</v>
      </c>
    </row>
    <row r="91" spans="1:24" ht="18" x14ac:dyDescent="0.25">
      <c r="A91" s="12">
        <v>66</v>
      </c>
      <c r="B91" s="12" t="s">
        <v>73</v>
      </c>
      <c r="C91" s="12" t="s">
        <v>92</v>
      </c>
      <c r="D91" s="85" t="s">
        <v>264</v>
      </c>
      <c r="E91" s="79"/>
      <c r="F91" s="22"/>
      <c r="G91" s="22"/>
      <c r="H91" s="22"/>
      <c r="I91" s="23"/>
      <c r="J91" s="22"/>
      <c r="K91" s="22"/>
      <c r="L91" s="22"/>
      <c r="M91" s="22"/>
      <c r="N91" s="22"/>
      <c r="O91" s="22"/>
      <c r="P91" s="22"/>
      <c r="Q91" s="12"/>
      <c r="R91" s="24"/>
      <c r="X91" t="s">
        <v>194</v>
      </c>
    </row>
    <row r="92" spans="1:24" ht="18" x14ac:dyDescent="0.25">
      <c r="A92" s="12">
        <v>67</v>
      </c>
      <c r="B92" s="12" t="s">
        <v>74</v>
      </c>
      <c r="C92" s="12" t="s">
        <v>98</v>
      </c>
      <c r="D92" s="85" t="s">
        <v>264</v>
      </c>
      <c r="E92" s="79"/>
      <c r="F92" s="22"/>
      <c r="G92" s="22"/>
      <c r="H92" s="22"/>
      <c r="I92" s="23"/>
      <c r="J92" s="22"/>
      <c r="K92" s="22"/>
      <c r="L92" s="22"/>
      <c r="M92" s="22"/>
      <c r="N92" s="22"/>
      <c r="O92" s="22"/>
      <c r="P92" s="22"/>
      <c r="Q92" s="12"/>
      <c r="R92" s="24"/>
      <c r="X92" t="s">
        <v>195</v>
      </c>
    </row>
    <row r="93" spans="1:24" ht="18" x14ac:dyDescent="0.25">
      <c r="A93" s="12">
        <v>68</v>
      </c>
      <c r="B93" s="12" t="s">
        <v>75</v>
      </c>
      <c r="C93" s="12" t="s">
        <v>98</v>
      </c>
      <c r="D93" s="85" t="s">
        <v>264</v>
      </c>
      <c r="E93" s="79"/>
      <c r="F93" s="22"/>
      <c r="G93" s="22"/>
      <c r="H93" s="22"/>
      <c r="I93" s="23"/>
      <c r="J93" s="22"/>
      <c r="K93" s="22"/>
      <c r="L93" s="22"/>
      <c r="M93" s="22"/>
      <c r="N93" s="22"/>
      <c r="O93" s="22"/>
      <c r="P93" s="22"/>
      <c r="Q93" s="12"/>
      <c r="R93" s="24"/>
      <c r="X93" t="s">
        <v>196</v>
      </c>
    </row>
    <row r="94" spans="1:24" ht="18.75" x14ac:dyDescent="0.3">
      <c r="A94" s="13">
        <v>69</v>
      </c>
      <c r="B94" s="13" t="s">
        <v>76</v>
      </c>
      <c r="C94" s="13" t="s">
        <v>98</v>
      </c>
      <c r="D94" s="84" t="s">
        <v>261</v>
      </c>
      <c r="E94" s="83" t="s">
        <v>278</v>
      </c>
      <c r="F94" s="30">
        <f>24.57-1.14+2.2+0.79</f>
        <v>26.419999999999998</v>
      </c>
      <c r="G94" s="30">
        <f>$F$5*(0.0076-0.0007)</f>
        <v>5.1749999999999998</v>
      </c>
      <c r="H94" s="30">
        <f t="shared" ref="H94" si="127">F94+G94</f>
        <v>31.594999999999999</v>
      </c>
      <c r="I94" s="26"/>
      <c r="J94" s="30">
        <f>(0.0077+0.0063)*$F$5*R94</f>
        <v>10.976700000000001</v>
      </c>
      <c r="K94" s="30">
        <f t="shared" ref="K94" si="128">(R94*$F$5-$F$5)*$T$5</f>
        <v>3.7928295000000078</v>
      </c>
      <c r="L94" s="30">
        <f t="shared" ref="L94" si="129">H94+J94+K94</f>
        <v>46.36452950000001</v>
      </c>
      <c r="M94" s="117">
        <f>$F$5*R94*(0.0036+0.0021+0.0011)+0.25</f>
        <v>5.5815400000000013</v>
      </c>
      <c r="N94" s="30">
        <v>0</v>
      </c>
      <c r="O94" s="90">
        <f t="shared" ref="O94:O95" si="130">$F$5*$T$5</f>
        <v>83.542500000000004</v>
      </c>
      <c r="P94" s="30">
        <f t="shared" ref="P94" si="131">L94+M94+N94+O94</f>
        <v>135.48856950000001</v>
      </c>
      <c r="Q94" s="13"/>
      <c r="R94" s="88">
        <v>1.0454000000000001</v>
      </c>
      <c r="T94">
        <f>L94/P94</f>
        <v>0.34220251694368953</v>
      </c>
      <c r="X94" t="s">
        <v>197</v>
      </c>
    </row>
    <row r="95" spans="1:24" ht="18" x14ac:dyDescent="0.25">
      <c r="A95" s="13">
        <v>26</v>
      </c>
      <c r="B95" s="13" t="s">
        <v>77</v>
      </c>
      <c r="C95" s="13" t="s">
        <v>325</v>
      </c>
      <c r="D95" s="84" t="s">
        <v>261</v>
      </c>
      <c r="E95" s="83" t="s">
        <v>278</v>
      </c>
      <c r="F95" s="30">
        <f>19.77-0.2+0.79+0.64</f>
        <v>21</v>
      </c>
      <c r="G95" s="30">
        <f>$F$5*(0.0133-0.0001+0.0008)</f>
        <v>10.5</v>
      </c>
      <c r="H95" s="30">
        <f t="shared" ref="H95" si="132">F95+G95</f>
        <v>31.5</v>
      </c>
      <c r="I95" s="23"/>
      <c r="J95" s="30">
        <f>(0.0072+0.0056)*$F$5*R95</f>
        <v>10.01376</v>
      </c>
      <c r="K95" s="30">
        <f t="shared" ref="K95" si="133">(R95*$F$5-$F$5)*$T$5</f>
        <v>3.6006817499999926</v>
      </c>
      <c r="L95" s="30">
        <f t="shared" ref="L95" si="134">H95+J95+K95</f>
        <v>45.11444174999999</v>
      </c>
      <c r="M95" s="117">
        <f>$F$5*R95*(0.0036+0.0021+0.0011)+0.25</f>
        <v>5.5698099999999995</v>
      </c>
      <c r="N95" s="30">
        <v>0</v>
      </c>
      <c r="O95" s="90">
        <f t="shared" si="130"/>
        <v>83.542500000000004</v>
      </c>
      <c r="P95" s="30">
        <f t="shared" ref="P95" si="135">L95+M95+N95+O95</f>
        <v>134.22675175000001</v>
      </c>
      <c r="Q95" s="13"/>
      <c r="R95" s="88">
        <v>1.0430999999999999</v>
      </c>
      <c r="T95">
        <f>L95/P95</f>
        <v>0.3361061871930458</v>
      </c>
      <c r="X95" t="s">
        <v>198</v>
      </c>
    </row>
    <row r="96" spans="1:24" x14ac:dyDescent="0.25"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</row>
    <row r="98" spans="2:2" x14ac:dyDescent="0.25">
      <c r="B98" s="3" t="s">
        <v>284</v>
      </c>
    </row>
    <row r="99" spans="2:2" x14ac:dyDescent="0.25">
      <c r="B99" s="3" t="s">
        <v>285</v>
      </c>
    </row>
    <row r="100" spans="2:2" x14ac:dyDescent="0.25">
      <c r="B100" s="3" t="s">
        <v>286</v>
      </c>
    </row>
    <row r="102" spans="2:2" x14ac:dyDescent="0.25">
      <c r="B102" s="3" t="s">
        <v>287</v>
      </c>
    </row>
    <row r="106" spans="2:2" x14ac:dyDescent="0.25">
      <c r="B106" s="3" t="s">
        <v>289</v>
      </c>
    </row>
    <row r="107" spans="2:2" x14ac:dyDescent="0.25">
      <c r="B107" s="3" t="s">
        <v>287</v>
      </c>
    </row>
    <row r="108" spans="2:2" x14ac:dyDescent="0.25">
      <c r="B108" s="3" t="s">
        <v>288</v>
      </c>
    </row>
  </sheetData>
  <mergeCells count="1">
    <mergeCell ref="F6:H6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10"/>
  <sheetViews>
    <sheetView zoomScale="90" zoomScaleNormal="90" workbookViewId="0">
      <pane xSplit="5" ySplit="7" topLeftCell="L79" activePane="bottomRight" state="frozen"/>
      <selection pane="topRight" activeCell="D1" sqref="D1"/>
      <selection pane="bottomLeft" activeCell="A8" sqref="A8"/>
      <selection pane="bottomRight" sqref="A1:Q97"/>
    </sheetView>
  </sheetViews>
  <sheetFormatPr defaultRowHeight="15" x14ac:dyDescent="0.25"/>
  <cols>
    <col min="1" max="1" width="3.140625" customWidth="1"/>
    <col min="2" max="2" width="39.7109375" customWidth="1"/>
    <col min="3" max="3" width="7.7109375" bestFit="1" customWidth="1"/>
    <col min="4" max="4" width="7.7109375" customWidth="1"/>
    <col min="5" max="5" width="9" bestFit="1" customWidth="1"/>
    <col min="6" max="6" width="13.85546875" bestFit="1" customWidth="1"/>
    <col min="7" max="7" width="8.42578125" bestFit="1" customWidth="1"/>
    <col min="8" max="8" width="9.5703125" bestFit="1" customWidth="1"/>
    <col min="9" max="9" width="4" customWidth="1"/>
    <col min="11" max="11" width="17.42578125" bestFit="1" customWidth="1"/>
    <col min="12" max="12" width="17.42578125" customWidth="1"/>
    <col min="14" max="14" width="9.140625" customWidth="1"/>
    <col min="15" max="15" width="11" bestFit="1" customWidth="1"/>
    <col min="19" max="19" width="46.28515625" bestFit="1" customWidth="1"/>
    <col min="20" max="20" width="13.28515625" bestFit="1" customWidth="1"/>
  </cols>
  <sheetData>
    <row r="1" spans="1:20" ht="14.45" x14ac:dyDescent="0.3">
      <c r="N1" s="40" t="s">
        <v>320</v>
      </c>
      <c r="O1" s="11"/>
      <c r="P1" s="11"/>
      <c r="Q1" s="11"/>
    </row>
    <row r="2" spans="1:20" ht="14.45" x14ac:dyDescent="0.3">
      <c r="N2" t="s">
        <v>86</v>
      </c>
      <c r="O2" s="8">
        <v>8.6999999999999994E-2</v>
      </c>
      <c r="P2" s="9">
        <v>0.65</v>
      </c>
      <c r="Q2" s="8"/>
    </row>
    <row r="3" spans="1:20" ht="14.45" x14ac:dyDescent="0.3">
      <c r="B3" s="31" t="s">
        <v>305</v>
      </c>
      <c r="N3" t="s">
        <v>87</v>
      </c>
      <c r="O3" s="8">
        <v>0.13200000000000001</v>
      </c>
      <c r="P3" s="9">
        <v>0.17</v>
      </c>
      <c r="Q3" s="8"/>
    </row>
    <row r="4" spans="1:20" ht="21" x14ac:dyDescent="0.35">
      <c r="B4" s="1" t="s">
        <v>200</v>
      </c>
      <c r="I4" s="14" t="s">
        <v>102</v>
      </c>
      <c r="J4" s="87" t="s">
        <v>312</v>
      </c>
      <c r="K4" s="87"/>
      <c r="N4" t="s">
        <v>88</v>
      </c>
      <c r="O4" s="8">
        <v>0.18</v>
      </c>
      <c r="P4" s="9">
        <v>0.18</v>
      </c>
      <c r="Q4" s="8"/>
    </row>
    <row r="5" spans="1:20" ht="14.45" x14ac:dyDescent="0.3">
      <c r="B5" t="str">
        <f>CONCATENATE("Residential @ ",F5,"kWh/month")</f>
        <v>Residential @ 750kWh/month</v>
      </c>
      <c r="F5" s="3">
        <v>750</v>
      </c>
      <c r="G5" t="s">
        <v>81</v>
      </c>
      <c r="N5" t="s">
        <v>89</v>
      </c>
      <c r="O5" s="8">
        <f>P2*O2+P3*O3+P4*O4</f>
        <v>0.11139</v>
      </c>
      <c r="P5" s="8"/>
      <c r="Q5" s="8"/>
    </row>
    <row r="6" spans="1:20" ht="18.600000000000001" thickBot="1" x14ac:dyDescent="0.4">
      <c r="B6" s="2" t="s">
        <v>1</v>
      </c>
      <c r="F6" s="128"/>
      <c r="G6" s="128"/>
      <c r="H6" s="128"/>
      <c r="O6" t="s">
        <v>302</v>
      </c>
    </row>
    <row r="7" spans="1:20" ht="18" x14ac:dyDescent="0.35">
      <c r="B7" s="2"/>
      <c r="D7" s="3" t="s">
        <v>277</v>
      </c>
      <c r="E7" s="3" t="s">
        <v>283</v>
      </c>
      <c r="F7" s="7" t="s">
        <v>78</v>
      </c>
      <c r="G7" s="7" t="s">
        <v>79</v>
      </c>
      <c r="H7" s="7" t="s">
        <v>80</v>
      </c>
      <c r="J7" s="3" t="s">
        <v>82</v>
      </c>
      <c r="K7" s="3" t="s">
        <v>90</v>
      </c>
      <c r="L7" s="3" t="s">
        <v>91</v>
      </c>
      <c r="M7" s="5" t="s">
        <v>83</v>
      </c>
      <c r="N7">
        <v>500</v>
      </c>
      <c r="O7" s="125">
        <v>1000</v>
      </c>
      <c r="T7" s="3" t="s">
        <v>127</v>
      </c>
    </row>
    <row r="8" spans="1:20" ht="18" x14ac:dyDescent="0.25">
      <c r="A8" s="13">
        <v>1</v>
      </c>
      <c r="B8" s="13" t="s">
        <v>2</v>
      </c>
      <c r="C8" s="13" t="s">
        <v>98</v>
      </c>
      <c r="D8" s="82" t="s">
        <v>261</v>
      </c>
      <c r="E8" s="83" t="s">
        <v>278</v>
      </c>
      <c r="F8" s="30">
        <f>27.76+0.79</f>
        <v>28.55</v>
      </c>
      <c r="G8" s="30">
        <f>$F$5*(0.0288-0.0019)</f>
        <v>20.175000000000001</v>
      </c>
      <c r="H8" s="30">
        <f t="shared" ref="H8:H12" si="0">F8+G8</f>
        <v>48.725000000000001</v>
      </c>
      <c r="I8" s="14" t="s">
        <v>102</v>
      </c>
      <c r="J8" s="30">
        <f>(0.007+0.0051)*$F$5*M8</f>
        <v>9.9071774999999977</v>
      </c>
      <c r="K8" s="30">
        <f>(M8*$F$5-$F$5)*$O$5</f>
        <v>7.6608472499999847</v>
      </c>
      <c r="L8" s="30">
        <f t="shared" ref="L8:L9" si="1">H8+J8+K8</f>
        <v>66.293024749999987</v>
      </c>
      <c r="M8" s="88">
        <v>1.0916999999999999</v>
      </c>
      <c r="S8" t="s">
        <v>128</v>
      </c>
      <c r="T8">
        <v>11607</v>
      </c>
    </row>
    <row r="9" spans="1:20" ht="18" x14ac:dyDescent="0.25">
      <c r="A9" s="13">
        <v>2</v>
      </c>
      <c r="B9" s="13" t="s">
        <v>3</v>
      </c>
      <c r="C9" s="13" t="s">
        <v>210</v>
      </c>
      <c r="D9" s="84" t="s">
        <v>264</v>
      </c>
      <c r="E9" s="83" t="s">
        <v>278</v>
      </c>
      <c r="F9" s="30">
        <f>36.95+1.06+0.79</f>
        <v>38.800000000000004</v>
      </c>
      <c r="G9" s="30">
        <f>$F$5*(0.0104+0.0008)</f>
        <v>8.4</v>
      </c>
      <c r="H9" s="30">
        <f t="shared" si="0"/>
        <v>47.2</v>
      </c>
      <c r="I9" s="14" t="s">
        <v>102</v>
      </c>
      <c r="J9" s="30">
        <f>(0.0046+0.0035)*$F$5*M9</f>
        <v>6.5476349999999996</v>
      </c>
      <c r="K9" s="30">
        <f>(M9*$F$5-$F$5)*$O$5</f>
        <v>6.4996065000000023</v>
      </c>
      <c r="L9" s="30">
        <f t="shared" si="1"/>
        <v>60.247241500000001</v>
      </c>
      <c r="M9" s="88">
        <v>1.0778000000000001</v>
      </c>
      <c r="S9" t="s">
        <v>129</v>
      </c>
      <c r="T9">
        <v>1408</v>
      </c>
    </row>
    <row r="10" spans="1:20" ht="17.45" x14ac:dyDescent="0.3">
      <c r="A10" s="19">
        <v>3</v>
      </c>
      <c r="B10" s="19" t="s">
        <v>4</v>
      </c>
      <c r="C10" s="19"/>
      <c r="D10" s="86"/>
      <c r="E10" s="86"/>
      <c r="F10" s="22"/>
      <c r="G10" s="22"/>
      <c r="H10" s="22"/>
      <c r="I10" s="23"/>
      <c r="J10" s="12"/>
      <c r="K10" s="12"/>
      <c r="L10" s="12"/>
      <c r="M10" s="12"/>
      <c r="T10">
        <v>32215</v>
      </c>
    </row>
    <row r="11" spans="1:20" ht="18" x14ac:dyDescent="0.25">
      <c r="A11" s="13">
        <v>4</v>
      </c>
      <c r="B11" s="13" t="s">
        <v>5</v>
      </c>
      <c r="C11" s="13" t="s">
        <v>98</v>
      </c>
      <c r="D11" s="84" t="s">
        <v>264</v>
      </c>
      <c r="E11" s="83" t="s">
        <v>278</v>
      </c>
      <c r="F11" s="30">
        <f>19.87+0.79</f>
        <v>20.66</v>
      </c>
      <c r="G11" s="30">
        <f>$F$5*(0.0166+0.0002+0.0002-0.0002)</f>
        <v>12.6</v>
      </c>
      <c r="H11" s="30">
        <f t="shared" si="0"/>
        <v>33.26</v>
      </c>
      <c r="I11" s="14" t="s">
        <v>102</v>
      </c>
      <c r="J11" s="30">
        <f>(0.0066+0.0058)*$F$5*M11</f>
        <v>9.6915299999999984</v>
      </c>
      <c r="K11" s="30">
        <f t="shared" ref="K11:K19" si="2">(M11*$F$5-$F$5)*$O$5</f>
        <v>3.5171392500000049</v>
      </c>
      <c r="L11" s="30">
        <f t="shared" ref="L11" si="3">H11+J11+K11</f>
        <v>46.468669250000005</v>
      </c>
      <c r="M11" s="88">
        <v>1.0421</v>
      </c>
      <c r="S11" t="s">
        <v>130</v>
      </c>
      <c r="T11">
        <v>8569</v>
      </c>
    </row>
    <row r="12" spans="1:20" ht="18" x14ac:dyDescent="0.25">
      <c r="A12" s="13">
        <v>5</v>
      </c>
      <c r="B12" s="13" t="s">
        <v>307</v>
      </c>
      <c r="C12" s="13" t="s">
        <v>210</v>
      </c>
      <c r="D12" s="84" t="s">
        <v>264</v>
      </c>
      <c r="E12" s="83" t="s">
        <v>278</v>
      </c>
      <c r="F12" s="30">
        <f>15.59-0.04+1.75+0.79</f>
        <v>18.09</v>
      </c>
      <c r="G12" s="30">
        <f>$F$5*(0.0158+0.0021+0.0024)</f>
        <v>15.225000000000001</v>
      </c>
      <c r="H12" s="30">
        <f t="shared" si="0"/>
        <v>33.314999999999998</v>
      </c>
      <c r="I12" s="14" t="s">
        <v>102</v>
      </c>
      <c r="J12" s="30">
        <f>(0.0061+0.0031)*$F$5*M12</f>
        <v>7.2415500000000002</v>
      </c>
      <c r="K12" s="30">
        <f t="shared" si="2"/>
        <v>4.1353537500000126</v>
      </c>
      <c r="L12" s="30">
        <f t="shared" ref="L12" si="4">H12+J12+K12</f>
        <v>44.691903750000016</v>
      </c>
      <c r="M12" s="88">
        <v>1.0495000000000001</v>
      </c>
      <c r="S12" t="s">
        <v>131</v>
      </c>
      <c r="T12">
        <v>35576</v>
      </c>
    </row>
    <row r="13" spans="1:20" ht="18" x14ac:dyDescent="0.25">
      <c r="A13" s="13">
        <v>6</v>
      </c>
      <c r="B13" s="13" t="s">
        <v>7</v>
      </c>
      <c r="C13" s="13" t="s">
        <v>100</v>
      </c>
      <c r="D13" s="84" t="s">
        <v>261</v>
      </c>
      <c r="E13" s="83" t="s">
        <v>278</v>
      </c>
      <c r="F13" s="30">
        <f>14.64+0.04-0.48+1.47+0.79</f>
        <v>16.46</v>
      </c>
      <c r="G13" s="30">
        <f>$F$5*(0.011+0.0005-0.0017)</f>
        <v>7.35</v>
      </c>
      <c r="H13" s="30">
        <f t="shared" ref="H13:H15" si="5">F13+G13</f>
        <v>23.810000000000002</v>
      </c>
      <c r="I13" s="14" t="s">
        <v>102</v>
      </c>
      <c r="J13" s="30">
        <f>(0.0082+0.0056)*$F$5*M13</f>
        <v>10.711214999999999</v>
      </c>
      <c r="K13" s="30">
        <f t="shared" si="2"/>
        <v>2.9156332499999951</v>
      </c>
      <c r="L13" s="30">
        <f t="shared" ref="L13" si="6">H13+J13+K13</f>
        <v>37.43684824999999</v>
      </c>
      <c r="M13" s="88">
        <v>1.0348999999999999</v>
      </c>
      <c r="S13" t="s">
        <v>132</v>
      </c>
      <c r="T13">
        <v>60095</v>
      </c>
    </row>
    <row r="14" spans="1:20" ht="18" x14ac:dyDescent="0.25">
      <c r="A14" s="13">
        <v>7</v>
      </c>
      <c r="B14" s="13" t="s">
        <v>103</v>
      </c>
      <c r="C14" s="13" t="s">
        <v>100</v>
      </c>
      <c r="D14" s="84" t="s">
        <v>264</v>
      </c>
      <c r="E14" s="83" t="s">
        <v>278</v>
      </c>
      <c r="F14" s="30">
        <f>15.46+0.79+0.02</f>
        <v>16.27</v>
      </c>
      <c r="G14" s="30">
        <f>$F$5*(0.0125+0.001)</f>
        <v>10.125000000000002</v>
      </c>
      <c r="H14" s="30">
        <f t="shared" si="5"/>
        <v>26.395000000000003</v>
      </c>
      <c r="I14" s="14" t="s">
        <v>102</v>
      </c>
      <c r="J14" s="30">
        <f>(0.007+0.0061)*$F$5*M14</f>
        <v>10.194420000000003</v>
      </c>
      <c r="K14" s="30">
        <f t="shared" si="2"/>
        <v>3.141198000000005</v>
      </c>
      <c r="L14" s="30">
        <f t="shared" ref="L14" si="7">H14+J14+K14</f>
        <v>39.730618000000007</v>
      </c>
      <c r="M14" s="88">
        <v>1.0376000000000001</v>
      </c>
      <c r="S14" t="s">
        <v>103</v>
      </c>
      <c r="T14">
        <v>47143</v>
      </c>
    </row>
    <row r="15" spans="1:20" ht="18" x14ac:dyDescent="0.25">
      <c r="A15" s="13">
        <v>8</v>
      </c>
      <c r="B15" s="13" t="s">
        <v>308</v>
      </c>
      <c r="C15" s="13" t="s">
        <v>100</v>
      </c>
      <c r="D15" s="84" t="s">
        <v>264</v>
      </c>
      <c r="E15" s="83" t="s">
        <v>278</v>
      </c>
      <c r="F15" s="30">
        <f>14.52+0.79</f>
        <v>15.309999999999999</v>
      </c>
      <c r="G15" s="30">
        <f>$F$5*(0.0137+0.0001+0.0003-0.0015)</f>
        <v>9.4499999999999993</v>
      </c>
      <c r="H15" s="30">
        <f t="shared" si="5"/>
        <v>24.759999999999998</v>
      </c>
      <c r="I15" s="14" t="s">
        <v>102</v>
      </c>
      <c r="J15" s="30">
        <f>(0.0061+0.0041)*$F$5*M15</f>
        <v>7.9062750000000008</v>
      </c>
      <c r="K15" s="30">
        <f t="shared" si="2"/>
        <v>2.7986737500000127</v>
      </c>
      <c r="L15" s="30">
        <f t="shared" ref="L15" si="8">H15+J15+K15</f>
        <v>35.464948750000012</v>
      </c>
      <c r="M15" s="88">
        <v>1.0335000000000001</v>
      </c>
      <c r="S15" t="s">
        <v>133</v>
      </c>
      <c r="T15">
        <v>25896</v>
      </c>
    </row>
    <row r="16" spans="1:20" ht="18" x14ac:dyDescent="0.25">
      <c r="A16" s="13">
        <v>9</v>
      </c>
      <c r="B16" s="13" t="s">
        <v>8</v>
      </c>
      <c r="C16" s="13" t="s">
        <v>100</v>
      </c>
      <c r="D16" s="84" t="s">
        <v>261</v>
      </c>
      <c r="E16" s="83" t="s">
        <v>278</v>
      </c>
      <c r="F16" s="30">
        <f>23.44+0.79</f>
        <v>24.23</v>
      </c>
      <c r="G16" s="30">
        <f>$F$5*(0.0152+0.0002+0.0003-0.0027)</f>
        <v>9.75</v>
      </c>
      <c r="H16" s="30">
        <f t="shared" ref="H16" si="9">F16+G16</f>
        <v>33.980000000000004</v>
      </c>
      <c r="I16" s="14" t="s">
        <v>102</v>
      </c>
      <c r="J16" s="30">
        <f>(0.0072+0.0058)*$F$5*M16</f>
        <v>10.278449999999999</v>
      </c>
      <c r="K16" s="30">
        <f t="shared" si="2"/>
        <v>4.5280034999999978</v>
      </c>
      <c r="L16" s="30">
        <f t="shared" ref="L16" si="10">H16+J16+K16</f>
        <v>48.7864535</v>
      </c>
      <c r="M16" s="88">
        <v>1.0542</v>
      </c>
      <c r="S16" t="s">
        <v>134</v>
      </c>
      <c r="T16">
        <v>5955</v>
      </c>
    </row>
    <row r="17" spans="1:20" ht="18" x14ac:dyDescent="0.25">
      <c r="A17" s="13">
        <v>9</v>
      </c>
      <c r="B17" s="13" t="s">
        <v>9</v>
      </c>
      <c r="C17" s="13" t="s">
        <v>100</v>
      </c>
      <c r="D17" s="84" t="s">
        <v>261</v>
      </c>
      <c r="E17" s="83" t="s">
        <v>278</v>
      </c>
      <c r="F17" s="30">
        <f>23.44+0.79</f>
        <v>24.23</v>
      </c>
      <c r="G17" s="30">
        <f>$F$5*(0.0152+0.0002+0.0008-0.0004)</f>
        <v>11.849999999999998</v>
      </c>
      <c r="H17" s="30">
        <f t="shared" ref="H17" si="11">F17+G17</f>
        <v>36.08</v>
      </c>
      <c r="I17" s="14" t="s">
        <v>102</v>
      </c>
      <c r="J17" s="30">
        <f>(0.0072+0.0058)*$F$5*M17</f>
        <v>10.278449999999999</v>
      </c>
      <c r="K17" s="30">
        <f t="shared" si="2"/>
        <v>4.5280034999999978</v>
      </c>
      <c r="L17" s="30">
        <f t="shared" ref="L17" si="12">H17+J17+K17</f>
        <v>50.886453499999995</v>
      </c>
      <c r="M17" s="88">
        <v>1.0542</v>
      </c>
      <c r="T17">
        <v>1068</v>
      </c>
    </row>
    <row r="18" spans="1:20" ht="18" x14ac:dyDescent="0.25">
      <c r="A18" s="13">
        <v>9</v>
      </c>
      <c r="B18" s="13" t="s">
        <v>10</v>
      </c>
      <c r="C18" s="13" t="s">
        <v>100</v>
      </c>
      <c r="D18" s="84" t="s">
        <v>261</v>
      </c>
      <c r="E18" s="83" t="s">
        <v>278</v>
      </c>
      <c r="F18" s="30">
        <f>23.44+0.79</f>
        <v>24.23</v>
      </c>
      <c r="G18" s="30">
        <f>$F$5*(0.0152+0.0002-0.0007-0.0013+0.0007)</f>
        <v>10.575000000000001</v>
      </c>
      <c r="H18" s="30">
        <f t="shared" ref="H18:H21" si="13">F18+G18</f>
        <v>34.805</v>
      </c>
      <c r="I18" s="14" t="s">
        <v>102</v>
      </c>
      <c r="J18" s="30">
        <f>(0.0072+0.0058)*$F$5*M18</f>
        <v>10.278449999999999</v>
      </c>
      <c r="K18" s="30">
        <f t="shared" si="2"/>
        <v>4.5280034999999978</v>
      </c>
      <c r="L18" s="30">
        <f t="shared" ref="L18" si="14">H18+J18+K18</f>
        <v>49.611453499999996</v>
      </c>
      <c r="M18" s="88">
        <v>1.0542</v>
      </c>
      <c r="T18">
        <v>14591</v>
      </c>
    </row>
    <row r="19" spans="1:20" ht="18" x14ac:dyDescent="0.25">
      <c r="A19" s="13">
        <v>10</v>
      </c>
      <c r="B19" s="13" t="s">
        <v>11</v>
      </c>
      <c r="C19" s="13" t="s">
        <v>98</v>
      </c>
      <c r="D19" s="82" t="s">
        <v>264</v>
      </c>
      <c r="E19" s="83" t="s">
        <v>278</v>
      </c>
      <c r="F19" s="30">
        <f>18.3+0.79</f>
        <v>19.09</v>
      </c>
      <c r="G19" s="30">
        <f>$F$5*(0.011+0.0018)</f>
        <v>9.6</v>
      </c>
      <c r="H19" s="30">
        <f t="shared" si="13"/>
        <v>28.689999999999998</v>
      </c>
      <c r="I19" s="14" t="s">
        <v>102</v>
      </c>
      <c r="J19" s="30">
        <f>(0.0067+0.0053)*$F$5*M19</f>
        <v>9.4473000000000003</v>
      </c>
      <c r="K19" s="30">
        <f t="shared" si="2"/>
        <v>4.1520622500000099</v>
      </c>
      <c r="L19" s="30">
        <f t="shared" ref="L19" si="15">H19+J19+K19</f>
        <v>42.289362250000003</v>
      </c>
      <c r="M19" s="88">
        <v>1.0497000000000001</v>
      </c>
      <c r="S19" t="s">
        <v>135</v>
      </c>
      <c r="T19">
        <v>1809</v>
      </c>
    </row>
    <row r="20" spans="1:20" ht="17.45" x14ac:dyDescent="0.3">
      <c r="A20">
        <v>11</v>
      </c>
      <c r="B20" t="s">
        <v>12</v>
      </c>
      <c r="C20" s="11" t="s">
        <v>92</v>
      </c>
      <c r="D20" s="81" t="s">
        <v>264</v>
      </c>
      <c r="E20" s="79" t="s">
        <v>309</v>
      </c>
      <c r="F20" s="22"/>
      <c r="G20" s="22"/>
      <c r="H20" s="22"/>
      <c r="I20" s="23"/>
      <c r="J20" s="22"/>
      <c r="K20" s="22"/>
      <c r="L20" s="22"/>
      <c r="M20" s="24"/>
      <c r="S20" t="s">
        <v>136</v>
      </c>
      <c r="T20">
        <v>10852</v>
      </c>
    </row>
    <row r="21" spans="1:20" ht="18" x14ac:dyDescent="0.25">
      <c r="A21" s="13">
        <v>12</v>
      </c>
      <c r="B21" s="13" t="s">
        <v>13</v>
      </c>
      <c r="C21" s="13" t="s">
        <v>100</v>
      </c>
      <c r="D21" s="82" t="s">
        <v>264</v>
      </c>
      <c r="E21" s="83" t="s">
        <v>278</v>
      </c>
      <c r="F21" s="30">
        <f>13.83+0.79+0.12</f>
        <v>14.74</v>
      </c>
      <c r="G21" s="30">
        <f>$F$5*(0.0152+0.0016)</f>
        <v>12.6</v>
      </c>
      <c r="H21" s="30">
        <f t="shared" si="13"/>
        <v>27.34</v>
      </c>
      <c r="I21" s="14" t="s">
        <v>102</v>
      </c>
      <c r="J21" s="30">
        <f>(0.0066+0.0038)*$F$5*M21</f>
        <v>8.3537999999999997</v>
      </c>
      <c r="K21" s="30">
        <f>(M21*$F$5-$F$5)*$O$5</f>
        <v>5.9315175</v>
      </c>
      <c r="L21" s="30">
        <f t="shared" ref="L21" si="16">H21+J21+K21</f>
        <v>41.625317499999994</v>
      </c>
      <c r="M21" s="88">
        <v>1.071</v>
      </c>
      <c r="S21" t="s">
        <v>137</v>
      </c>
      <c r="T21">
        <v>179182</v>
      </c>
    </row>
    <row r="22" spans="1:20" ht="18" x14ac:dyDescent="0.25">
      <c r="A22" s="13">
        <v>13</v>
      </c>
      <c r="B22" s="13" t="s">
        <v>105</v>
      </c>
      <c r="C22" s="13" t="s">
        <v>100</v>
      </c>
      <c r="D22" s="84" t="s">
        <v>261</v>
      </c>
      <c r="E22" s="83" t="s">
        <v>278</v>
      </c>
      <c r="F22" s="30">
        <f>18.25+0.79</f>
        <v>19.04</v>
      </c>
      <c r="G22" s="30">
        <f>$F$5*(0.0106+0.0018)</f>
        <v>9.2999999999999989</v>
      </c>
      <c r="H22" s="30">
        <f t="shared" ref="H22:H27" si="17">F22+G22</f>
        <v>28.339999999999996</v>
      </c>
      <c r="I22" s="14" t="s">
        <v>102</v>
      </c>
      <c r="J22" s="30">
        <f>(0.0068+0.0053)*$F$5*M22</f>
        <v>9.6766724999999987</v>
      </c>
      <c r="K22" s="30">
        <f>(M22*$F$5-$F$5)*$O$5</f>
        <v>5.5388677500000023</v>
      </c>
      <c r="L22" s="30">
        <f t="shared" ref="L22" si="18">H22+J22+K22</f>
        <v>43.55554025</v>
      </c>
      <c r="M22" s="88">
        <v>1.0663</v>
      </c>
      <c r="S22" t="s">
        <v>138</v>
      </c>
      <c r="T22">
        <v>36131</v>
      </c>
    </row>
    <row r="23" spans="1:20" ht="17.45" x14ac:dyDescent="0.3">
      <c r="A23" s="11"/>
      <c r="B23" s="11" t="s">
        <v>316</v>
      </c>
      <c r="C23" s="11"/>
      <c r="D23" s="81" t="s">
        <v>295</v>
      </c>
      <c r="E23" s="104"/>
      <c r="F23" s="17">
        <v>9.2799999999999994</v>
      </c>
      <c r="G23" s="17">
        <f>IF($F$5&lt;250,0.1514*$F$5,250*0.1514+($F$5-250)*0.1193)</f>
        <v>97.5</v>
      </c>
      <c r="H23" s="17"/>
      <c r="I23" s="15"/>
      <c r="J23" s="17"/>
      <c r="K23" s="17"/>
      <c r="L23" s="17"/>
      <c r="M23" s="98"/>
      <c r="N23" s="12"/>
      <c r="O23" s="12"/>
      <c r="P23" s="12"/>
      <c r="Q23" s="12"/>
    </row>
    <row r="24" spans="1:20" ht="17.45" x14ac:dyDescent="0.3">
      <c r="A24" s="11"/>
      <c r="B24" s="11" t="s">
        <v>317</v>
      </c>
      <c r="C24" s="11"/>
      <c r="D24" s="81" t="s">
        <v>295</v>
      </c>
      <c r="E24" s="104"/>
      <c r="F24" s="17">
        <v>12.19</v>
      </c>
      <c r="G24" s="17">
        <f>IF($F$5&lt;250,0.1666*$F$5,250*0.1239+($F$5-250)*0.1193)</f>
        <v>90.625</v>
      </c>
      <c r="H24" s="17"/>
      <c r="I24" s="15"/>
      <c r="J24" s="17"/>
      <c r="K24" s="17"/>
      <c r="L24" s="17"/>
      <c r="M24" s="98"/>
      <c r="N24" s="12"/>
      <c r="O24" s="12"/>
      <c r="P24" s="12"/>
      <c r="Q24" s="12"/>
    </row>
    <row r="25" spans="1:20" ht="18" x14ac:dyDescent="0.25">
      <c r="A25" s="13">
        <v>14</v>
      </c>
      <c r="B25" s="13" t="s">
        <v>14</v>
      </c>
      <c r="C25" s="13" t="s">
        <v>98</v>
      </c>
      <c r="D25" s="84" t="s">
        <v>264</v>
      </c>
      <c r="E25" s="83" t="s">
        <v>278</v>
      </c>
      <c r="F25" s="30">
        <f>13.33+0.79</f>
        <v>14.120000000000001</v>
      </c>
      <c r="G25" s="30">
        <f>$F$5*(0.0062-0.0055+0.0012)</f>
        <v>1.425</v>
      </c>
      <c r="H25" s="30">
        <f t="shared" si="17"/>
        <v>15.545000000000002</v>
      </c>
      <c r="I25" s="14" t="s">
        <v>102</v>
      </c>
      <c r="J25" s="30">
        <f>(0.006+0.0042)*$F$5*M25</f>
        <v>8.2696500000000004</v>
      </c>
      <c r="K25" s="30">
        <f t="shared" ref="K25:K33" si="19">(M25*$F$5-$F$5)*$O$5</f>
        <v>6.7669424999999999</v>
      </c>
      <c r="L25" s="30">
        <f t="shared" ref="L25" si="20">H25+J25+K25</f>
        <v>30.581592499999999</v>
      </c>
      <c r="M25" s="88">
        <v>1.081</v>
      </c>
      <c r="S25" t="s">
        <v>139</v>
      </c>
      <c r="T25">
        <v>78144</v>
      </c>
    </row>
    <row r="26" spans="1:20" ht="18" x14ac:dyDescent="0.25">
      <c r="A26" s="13">
        <v>15</v>
      </c>
      <c r="B26" s="13" t="s">
        <v>15</v>
      </c>
      <c r="C26" s="13" t="s">
        <v>98</v>
      </c>
      <c r="D26" s="84" t="s">
        <v>264</v>
      </c>
      <c r="E26" s="83" t="s">
        <v>278</v>
      </c>
      <c r="F26" s="30">
        <f>15.75+0.79+0.01+0.06+0.6</f>
        <v>17.21</v>
      </c>
      <c r="G26" s="30">
        <f>$F$5*(0.0102+0.0002+0.0003)</f>
        <v>8.0250000000000004</v>
      </c>
      <c r="H26" s="30">
        <f t="shared" si="17"/>
        <v>25.234999999999999</v>
      </c>
      <c r="I26" s="14" t="s">
        <v>102</v>
      </c>
      <c r="J26" s="30">
        <f>(0.0077+0.0064)*$F$5*M26</f>
        <v>10.955700000000002</v>
      </c>
      <c r="K26" s="30">
        <f t="shared" si="19"/>
        <v>3.00753</v>
      </c>
      <c r="L26" s="30">
        <f t="shared" ref="L26" si="21">H26+J26+K26</f>
        <v>39.198230000000002</v>
      </c>
      <c r="M26" s="88">
        <v>1.036</v>
      </c>
      <c r="S26" t="s">
        <v>140</v>
      </c>
      <c r="T26">
        <v>16327</v>
      </c>
    </row>
    <row r="27" spans="1:20" ht="18" x14ac:dyDescent="0.25">
      <c r="A27" s="13">
        <v>16</v>
      </c>
      <c r="B27" s="13" t="s">
        <v>16</v>
      </c>
      <c r="C27" s="13" t="s">
        <v>92</v>
      </c>
      <c r="D27" s="84" t="s">
        <v>264</v>
      </c>
      <c r="E27" s="83" t="s">
        <v>278</v>
      </c>
      <c r="F27" s="30">
        <f>18.98+0.22+0.79+0.25-1.4</f>
        <v>18.84</v>
      </c>
      <c r="G27" s="30">
        <f>$F$5*(0.0077+0.0017+0.0002+0.0015)</f>
        <v>8.3250000000000011</v>
      </c>
      <c r="H27" s="30">
        <f t="shared" si="17"/>
        <v>27.164999999999999</v>
      </c>
      <c r="I27" s="14" t="s">
        <v>102</v>
      </c>
      <c r="J27" s="30">
        <f>(0.007+0.0053)*$F$5*M27</f>
        <v>9.6235199999999992</v>
      </c>
      <c r="K27" s="30">
        <f t="shared" si="19"/>
        <v>3.6090359999999975</v>
      </c>
      <c r="L27" s="30">
        <f t="shared" ref="L27" si="22">H27+J27+K27</f>
        <v>40.397555999999994</v>
      </c>
      <c r="M27" s="88">
        <v>1.0431999999999999</v>
      </c>
      <c r="S27" t="s">
        <v>141</v>
      </c>
      <c r="T27">
        <v>2862</v>
      </c>
    </row>
    <row r="28" spans="1:20" ht="18" x14ac:dyDescent="0.25">
      <c r="A28" s="19">
        <v>16</v>
      </c>
      <c r="B28" s="19" t="s">
        <v>17</v>
      </c>
      <c r="C28" s="12"/>
      <c r="D28" s="79"/>
      <c r="E28" s="79"/>
      <c r="F28" s="30">
        <f t="shared" ref="F28:F30" si="23">18.98+0.22+0.79+0.25-1.4</f>
        <v>18.84</v>
      </c>
      <c r="G28" s="30">
        <f>$F$5*(0.0077+0.0017+0.0002+0.0015)</f>
        <v>8.3250000000000011</v>
      </c>
      <c r="H28" s="30">
        <f t="shared" ref="H28:H32" si="24">F28+G28</f>
        <v>27.164999999999999</v>
      </c>
      <c r="I28" s="14" t="s">
        <v>102</v>
      </c>
      <c r="J28" s="30">
        <f>(0.007+0.0053)*$F$5*M28</f>
        <v>9.6235199999999992</v>
      </c>
      <c r="K28" s="30">
        <f t="shared" si="19"/>
        <v>3.6090359999999975</v>
      </c>
      <c r="L28" s="30">
        <f t="shared" ref="L28" si="25">H28+J28+K28</f>
        <v>40.397555999999994</v>
      </c>
      <c r="M28" s="88">
        <v>1.0431999999999999</v>
      </c>
      <c r="T28">
        <v>26471</v>
      </c>
    </row>
    <row r="29" spans="1:20" ht="18" x14ac:dyDescent="0.25">
      <c r="A29" s="19">
        <v>16</v>
      </c>
      <c r="B29" s="19" t="s">
        <v>18</v>
      </c>
      <c r="C29" s="12"/>
      <c r="D29" s="79"/>
      <c r="E29" s="79"/>
      <c r="F29" s="30">
        <f t="shared" si="23"/>
        <v>18.84</v>
      </c>
      <c r="G29" s="30">
        <f>$F$5*(0.0077+0.0017+0.0002+0.0015+0.0004)</f>
        <v>8.625</v>
      </c>
      <c r="H29" s="30">
        <f t="shared" si="24"/>
        <v>27.465</v>
      </c>
      <c r="I29" s="14" t="s">
        <v>102</v>
      </c>
      <c r="J29" s="30">
        <f>(0.007+0.0053)*$F$5*M29</f>
        <v>9.6235199999999992</v>
      </c>
      <c r="K29" s="30">
        <f t="shared" si="19"/>
        <v>3.6090359999999975</v>
      </c>
      <c r="L29" s="30">
        <f t="shared" ref="L29" si="26">H29+J29+K29</f>
        <v>40.697555999999999</v>
      </c>
      <c r="M29" s="88">
        <v>1.0431999999999999</v>
      </c>
      <c r="T29">
        <v>18099</v>
      </c>
    </row>
    <row r="30" spans="1:20" ht="18" x14ac:dyDescent="0.25">
      <c r="A30" s="19">
        <v>16</v>
      </c>
      <c r="B30" s="19" t="s">
        <v>19</v>
      </c>
      <c r="C30" s="12"/>
      <c r="D30" s="79"/>
      <c r="E30" s="79"/>
      <c r="F30" s="30">
        <f t="shared" si="23"/>
        <v>18.84</v>
      </c>
      <c r="G30" s="30">
        <f>$F$5*(0.0077+0.0017+0.0002+0.0015+0.0023+0.0052)</f>
        <v>13.95</v>
      </c>
      <c r="H30" s="30">
        <f t="shared" si="24"/>
        <v>32.79</v>
      </c>
      <c r="I30" s="14" t="s">
        <v>102</v>
      </c>
      <c r="J30" s="30">
        <f>(0.007+0.0053)*$F$5*M30</f>
        <v>9.6235199999999992</v>
      </c>
      <c r="K30" s="30">
        <f t="shared" si="19"/>
        <v>3.6090359999999975</v>
      </c>
      <c r="L30" s="30">
        <f t="shared" ref="L30" si="27">H30+J30+K30</f>
        <v>46.022555999999994</v>
      </c>
      <c r="M30" s="88">
        <v>1.0431999999999999</v>
      </c>
      <c r="T30">
        <v>3298</v>
      </c>
    </row>
    <row r="31" spans="1:20" ht="18" x14ac:dyDescent="0.25">
      <c r="A31" s="13">
        <v>17</v>
      </c>
      <c r="B31" s="13" t="s">
        <v>20</v>
      </c>
      <c r="C31" s="13" t="s">
        <v>310</v>
      </c>
      <c r="D31" s="84" t="s">
        <v>264</v>
      </c>
      <c r="E31" s="83" t="s">
        <v>278</v>
      </c>
      <c r="F31" s="30">
        <f>14.88+0.69-0.16+0.79</f>
        <v>16.2</v>
      </c>
      <c r="G31" s="30">
        <f>$F$5*(0.0157)</f>
        <v>11.774999999999999</v>
      </c>
      <c r="H31" s="30">
        <f t="shared" si="24"/>
        <v>27.974999999999998</v>
      </c>
      <c r="I31" s="14" t="s">
        <v>102</v>
      </c>
      <c r="J31" s="30">
        <f>(0.0078+0.0049)*$F$5*M31</f>
        <v>9.8840925000000013</v>
      </c>
      <c r="K31" s="30">
        <f t="shared" si="19"/>
        <v>3.1495522500000104</v>
      </c>
      <c r="L31" s="30">
        <f t="shared" ref="L31" si="28">H31+J31+K31</f>
        <v>41.008644750000016</v>
      </c>
      <c r="M31" s="88">
        <v>1.0377000000000001</v>
      </c>
      <c r="S31" t="s">
        <v>142</v>
      </c>
      <c r="T31">
        <v>42680</v>
      </c>
    </row>
    <row r="32" spans="1:20" ht="18" x14ac:dyDescent="0.25">
      <c r="A32" s="13">
        <v>18</v>
      </c>
      <c r="B32" s="13" t="s">
        <v>21</v>
      </c>
      <c r="C32" s="13" t="s">
        <v>100</v>
      </c>
      <c r="D32" s="84" t="s">
        <v>264</v>
      </c>
      <c r="E32" s="83" t="s">
        <v>278</v>
      </c>
      <c r="F32" s="30">
        <f>19.38+0.79+0.09</f>
        <v>20.259999999999998</v>
      </c>
      <c r="G32" s="30">
        <f>$F$5*(0.0139+0.0021+0.0009)</f>
        <v>12.675000000000001</v>
      </c>
      <c r="H32" s="30">
        <f t="shared" si="24"/>
        <v>32.935000000000002</v>
      </c>
      <c r="I32" s="10" t="s">
        <v>101</v>
      </c>
      <c r="J32" s="30">
        <f>(0.0062+0.0053)*$F$5*M32</f>
        <v>9.0139874999999989</v>
      </c>
      <c r="K32" s="30">
        <f t="shared" si="19"/>
        <v>3.7677667499999923</v>
      </c>
      <c r="L32" s="30">
        <f t="shared" ref="L32:L33" si="29">H32+J32+K32</f>
        <v>45.716754249999994</v>
      </c>
      <c r="M32" s="88">
        <v>1.0450999999999999</v>
      </c>
      <c r="S32" t="s">
        <v>143</v>
      </c>
      <c r="T32">
        <v>10180</v>
      </c>
    </row>
    <row r="33" spans="1:20" ht="18" x14ac:dyDescent="0.35">
      <c r="A33" s="19">
        <v>18</v>
      </c>
      <c r="B33" s="19" t="s">
        <v>311</v>
      </c>
      <c r="D33" s="3"/>
      <c r="E33" s="79"/>
      <c r="F33" s="30">
        <f>19.38+0.79+0.09</f>
        <v>20.259999999999998</v>
      </c>
      <c r="G33" s="30">
        <f>$F$5*(0.0139+0.0021+0.0009+0.0073)</f>
        <v>18.150000000000002</v>
      </c>
      <c r="H33" s="30">
        <f t="shared" ref="H33:H35" si="30">F33+G33</f>
        <v>38.409999999999997</v>
      </c>
      <c r="I33" s="16" t="s">
        <v>120</v>
      </c>
      <c r="J33" s="30">
        <f>(0.0062+0.0053)*$F$5*M33</f>
        <v>9.0139874999999989</v>
      </c>
      <c r="K33" s="30">
        <f t="shared" si="19"/>
        <v>3.7677667499999923</v>
      </c>
      <c r="L33" s="30">
        <f t="shared" si="29"/>
        <v>51.191754249999988</v>
      </c>
      <c r="M33" s="88">
        <v>1.0450999999999999</v>
      </c>
      <c r="T33">
        <v>48384</v>
      </c>
    </row>
    <row r="34" spans="1:20" ht="17.45" x14ac:dyDescent="0.3">
      <c r="A34">
        <v>19</v>
      </c>
      <c r="B34" t="s">
        <v>24</v>
      </c>
      <c r="C34" s="11" t="s">
        <v>92</v>
      </c>
      <c r="D34" s="81" t="s">
        <v>264</v>
      </c>
      <c r="E34" s="79" t="s">
        <v>309</v>
      </c>
      <c r="F34" s="22"/>
      <c r="G34" s="22"/>
      <c r="H34" s="22"/>
      <c r="I34" s="23"/>
      <c r="J34" s="22"/>
      <c r="K34" s="22"/>
      <c r="L34" s="22"/>
      <c r="M34" s="24"/>
      <c r="S34" t="s">
        <v>144</v>
      </c>
      <c r="T34">
        <v>18819</v>
      </c>
    </row>
    <row r="35" spans="1:20" ht="18" x14ac:dyDescent="0.25">
      <c r="A35" s="13">
        <v>20</v>
      </c>
      <c r="B35" s="13" t="s">
        <v>25</v>
      </c>
      <c r="C35" s="13" t="s">
        <v>100</v>
      </c>
      <c r="D35" s="84" t="s">
        <v>264</v>
      </c>
      <c r="E35" s="83" t="s">
        <v>278</v>
      </c>
      <c r="F35" s="30">
        <f>16.58+0.79-0.11</f>
        <v>17.259999999999998</v>
      </c>
      <c r="G35" s="30">
        <f>$F$5*(0.0116+0.001-0.0023)</f>
        <v>7.7250000000000005</v>
      </c>
      <c r="H35" s="30">
        <f t="shared" si="30"/>
        <v>24.984999999999999</v>
      </c>
      <c r="I35" s="14" t="s">
        <v>102</v>
      </c>
      <c r="J35" s="30">
        <f>(0.0052+0.0034)*$F$5*M35</f>
        <v>6.8382900000000006</v>
      </c>
      <c r="K35" s="30">
        <f>(M35*$F$5-$F$5)*$O$5</f>
        <v>5.0292584999999974</v>
      </c>
      <c r="L35" s="30">
        <f t="shared" ref="L35" si="31">H35+J35+K35</f>
        <v>36.852548499999997</v>
      </c>
      <c r="M35" s="88">
        <v>1.0602</v>
      </c>
      <c r="S35" t="s">
        <v>145</v>
      </c>
      <c r="T35">
        <v>19623</v>
      </c>
    </row>
    <row r="36" spans="1:20" ht="18" x14ac:dyDescent="0.25">
      <c r="A36" s="13">
        <v>21</v>
      </c>
      <c r="B36" s="13" t="s">
        <v>26</v>
      </c>
      <c r="C36" s="13" t="s">
        <v>98</v>
      </c>
      <c r="D36" s="84" t="s">
        <v>261</v>
      </c>
      <c r="E36" s="83" t="s">
        <v>278</v>
      </c>
      <c r="F36" s="30">
        <f>19.21+0.79</f>
        <v>20</v>
      </c>
      <c r="G36" s="30">
        <f>$F$5*(0.0125-0.0001+0.0003+0.0004+0.0008+0.0002)</f>
        <v>10.575000000000001</v>
      </c>
      <c r="H36" s="30">
        <f t="shared" ref="H36:H39" si="32">F36+G36</f>
        <v>30.575000000000003</v>
      </c>
      <c r="I36" s="14" t="s">
        <v>102</v>
      </c>
      <c r="J36" s="30">
        <f>(0.0071+0.0046)*$F$5*M36</f>
        <v>9.0303524999999993</v>
      </c>
      <c r="K36" s="30">
        <f>(M36*$F$5-$F$5)*$O$5</f>
        <v>2.4310867499999924</v>
      </c>
      <c r="L36" s="30">
        <f t="shared" ref="L36:L38" si="33">H36+J36+K36</f>
        <v>42.036439249999994</v>
      </c>
      <c r="M36" s="88">
        <v>1.0290999999999999</v>
      </c>
      <c r="S36" t="s">
        <v>146</v>
      </c>
      <c r="T36">
        <v>2264</v>
      </c>
    </row>
    <row r="37" spans="1:20" ht="14.45" x14ac:dyDescent="0.3">
      <c r="A37" s="19">
        <v>22</v>
      </c>
      <c r="B37" s="19" t="s">
        <v>28</v>
      </c>
      <c r="C37" s="19"/>
      <c r="D37" s="86"/>
      <c r="E37" s="86"/>
      <c r="F37" s="22"/>
      <c r="G37" s="22"/>
      <c r="H37" s="22"/>
      <c r="I37" s="12"/>
      <c r="J37" s="12"/>
      <c r="K37" s="12"/>
      <c r="L37" s="12"/>
      <c r="M37" s="12"/>
      <c r="T37">
        <v>219536</v>
      </c>
    </row>
    <row r="38" spans="1:20" ht="18" x14ac:dyDescent="0.25">
      <c r="A38" s="13">
        <v>23</v>
      </c>
      <c r="B38" s="13" t="s">
        <v>106</v>
      </c>
      <c r="C38" s="13" t="s">
        <v>100</v>
      </c>
      <c r="D38" s="84" t="s">
        <v>264</v>
      </c>
      <c r="E38" s="83" t="s">
        <v>278</v>
      </c>
      <c r="F38" s="30">
        <f>22.58+0.79</f>
        <v>23.369999999999997</v>
      </c>
      <c r="G38" s="30">
        <f>$F$5*(0.0106+0.0006+0.0001-0.0004)</f>
        <v>8.1750000000000007</v>
      </c>
      <c r="H38" s="30">
        <f t="shared" si="32"/>
        <v>31.544999999999998</v>
      </c>
      <c r="I38" s="14" t="s">
        <v>102</v>
      </c>
      <c r="J38" s="30">
        <f>(0.0067+0.0018)*$F$5*M38</f>
        <v>6.6746250000000007</v>
      </c>
      <c r="K38" s="30">
        <f t="shared" ref="K38:K52" si="34">(M38*$F$5-$F$5)*$O$5</f>
        <v>3.9264975</v>
      </c>
      <c r="L38" s="30">
        <f t="shared" si="33"/>
        <v>42.146122500000004</v>
      </c>
      <c r="M38" s="88">
        <v>1.0469999999999999</v>
      </c>
      <c r="S38" t="s">
        <v>147</v>
      </c>
      <c r="T38">
        <v>1069</v>
      </c>
    </row>
    <row r="39" spans="1:20" ht="18" x14ac:dyDescent="0.25">
      <c r="A39" s="13">
        <v>24</v>
      </c>
      <c r="B39" s="13" t="s">
        <v>29</v>
      </c>
      <c r="C39" s="13" t="s">
        <v>100</v>
      </c>
      <c r="D39" s="84" t="s">
        <v>264</v>
      </c>
      <c r="E39" s="83" t="s">
        <v>278</v>
      </c>
      <c r="F39" s="30">
        <f>18.63+0.41+0.79+0.04</f>
        <v>19.869999999999997</v>
      </c>
      <c r="G39" s="30">
        <f>$F$5*(0.0093+0.0002-0.0003-0.0014)</f>
        <v>5.85</v>
      </c>
      <c r="H39" s="30">
        <f t="shared" si="32"/>
        <v>25.72</v>
      </c>
      <c r="I39" s="14" t="s">
        <v>102</v>
      </c>
      <c r="J39" s="30">
        <f>(0.0059+0.0043)*$F$5*M39</f>
        <v>8.0631000000000004</v>
      </c>
      <c r="K39" s="30">
        <f t="shared" si="34"/>
        <v>4.5112950000000005</v>
      </c>
      <c r="L39" s="30">
        <f t="shared" ref="L39" si="35">H39+J39+K39</f>
        <v>38.294394999999994</v>
      </c>
      <c r="M39" s="88">
        <v>1.054</v>
      </c>
      <c r="S39" t="s">
        <v>148</v>
      </c>
      <c r="T39">
        <v>4818</v>
      </c>
    </row>
    <row r="40" spans="1:20" ht="18" x14ac:dyDescent="0.25">
      <c r="A40" s="13">
        <v>25</v>
      </c>
      <c r="B40" s="13" t="s">
        <v>30</v>
      </c>
      <c r="C40" s="13" t="s">
        <v>92</v>
      </c>
      <c r="D40" s="84" t="s">
        <v>318</v>
      </c>
      <c r="E40" s="83" t="s">
        <v>278</v>
      </c>
      <c r="F40" s="30">
        <f>19.55+0.79+0.32</f>
        <v>20.66</v>
      </c>
      <c r="G40" s="30">
        <f>$F$5*(0.0099+0.001+0.0001)</f>
        <v>8.25</v>
      </c>
      <c r="H40" s="30">
        <f t="shared" ref="H40" si="36">F40+G40</f>
        <v>28.91</v>
      </c>
      <c r="I40" s="14" t="s">
        <v>102</v>
      </c>
      <c r="J40" s="30">
        <f>(0.0057+0.0033)*$F$5*M40</f>
        <v>7.0584750000000014</v>
      </c>
      <c r="K40" s="30">
        <f t="shared" si="34"/>
        <v>3.8178922500000101</v>
      </c>
      <c r="L40" s="30">
        <f t="shared" ref="L40" si="37">H40+J40+K40</f>
        <v>39.786367250000005</v>
      </c>
      <c r="M40" s="88">
        <v>1.0457000000000001</v>
      </c>
      <c r="S40" t="s">
        <v>149</v>
      </c>
      <c r="T40">
        <v>138992</v>
      </c>
    </row>
    <row r="41" spans="1:20" ht="18" x14ac:dyDescent="0.25">
      <c r="A41" s="13">
        <v>26</v>
      </c>
      <c r="B41" s="13" t="s">
        <v>31</v>
      </c>
      <c r="C41" s="13" t="s">
        <v>92</v>
      </c>
      <c r="D41" s="84" t="s">
        <v>261</v>
      </c>
      <c r="E41" s="83" t="s">
        <v>278</v>
      </c>
      <c r="F41" s="30">
        <f>18.93+0.73-0.18+0.79-0.29</f>
        <v>19.98</v>
      </c>
      <c r="G41" s="30">
        <f>$F$5*(0.0144+0.0007+0.0003)</f>
        <v>11.549999999999999</v>
      </c>
      <c r="H41" s="30">
        <f t="shared" ref="H41:H44" si="38">F41+G41</f>
        <v>31.53</v>
      </c>
      <c r="I41" s="14" t="s">
        <v>102</v>
      </c>
      <c r="J41" s="30">
        <f>(0.0074+0.0058)*$F$5*M41</f>
        <v>10.157400000000001</v>
      </c>
      <c r="K41" s="30">
        <f t="shared" si="34"/>
        <v>2.1721050000000002</v>
      </c>
      <c r="L41" s="30">
        <f t="shared" ref="L41" si="39">H41+J41+K41</f>
        <v>43.859505000000006</v>
      </c>
      <c r="M41" s="88">
        <v>1.026</v>
      </c>
      <c r="S41" t="s">
        <v>150</v>
      </c>
      <c r="T41">
        <v>1106663</v>
      </c>
    </row>
    <row r="42" spans="1:20" ht="18" x14ac:dyDescent="0.25">
      <c r="A42" s="13">
        <v>27</v>
      </c>
      <c r="B42" s="13" t="s">
        <v>107</v>
      </c>
      <c r="C42" s="13" t="s">
        <v>280</v>
      </c>
      <c r="D42" s="103" t="s">
        <v>261</v>
      </c>
      <c r="E42" s="83" t="s">
        <v>278</v>
      </c>
      <c r="F42" s="30">
        <f>20.74-0.21+0.79</f>
        <v>21.319999999999997</v>
      </c>
      <c r="G42" s="30">
        <f>$F$5*(0.0198+0.0004-0.0002-0.0015+0.0002)</f>
        <v>14.025</v>
      </c>
      <c r="H42" s="30">
        <f t="shared" si="38"/>
        <v>35.344999999999999</v>
      </c>
      <c r="I42" s="14" t="s">
        <v>102</v>
      </c>
      <c r="J42" s="30">
        <f>(0.0068+0.0052)*$F$5*M42</f>
        <v>9.5894999999999992</v>
      </c>
      <c r="K42" s="30">
        <f t="shared" si="34"/>
        <v>5.4720337499999872</v>
      </c>
      <c r="L42" s="30">
        <f t="shared" ref="L42" si="40">H42+J42+K42</f>
        <v>50.406533749999987</v>
      </c>
      <c r="M42" s="88">
        <v>1.0654999999999999</v>
      </c>
      <c r="S42" t="s">
        <v>151</v>
      </c>
      <c r="T42">
        <v>291759</v>
      </c>
    </row>
    <row r="43" spans="1:20" ht="18" x14ac:dyDescent="0.25">
      <c r="A43" s="13">
        <v>28</v>
      </c>
      <c r="B43" s="13" t="s">
        <v>32</v>
      </c>
      <c r="C43" s="13" t="s">
        <v>92</v>
      </c>
      <c r="D43" s="84" t="s">
        <v>264</v>
      </c>
      <c r="E43" s="83" t="s">
        <v>278</v>
      </c>
      <c r="F43" s="109">
        <f>17.04+0.79+2.23+0.37</f>
        <v>20.43</v>
      </c>
      <c r="G43" s="30">
        <f>$F$5*(0.01+0.0026-0.0006)</f>
        <v>9</v>
      </c>
      <c r="H43" s="30">
        <f t="shared" si="38"/>
        <v>29.43</v>
      </c>
      <c r="I43" s="14" t="s">
        <v>102</v>
      </c>
      <c r="J43" s="30">
        <f>(0.0067+0.0052)*$F$5*M43</f>
        <v>9.4248000000000012</v>
      </c>
      <c r="K43" s="30">
        <f t="shared" si="34"/>
        <v>4.6783799999999998</v>
      </c>
      <c r="L43" s="30">
        <f t="shared" ref="L43" si="41">H43+J43+K43</f>
        <v>43.533179999999994</v>
      </c>
      <c r="M43" s="88">
        <v>1.056</v>
      </c>
      <c r="S43" t="s">
        <v>152</v>
      </c>
      <c r="T43">
        <v>14728</v>
      </c>
    </row>
    <row r="44" spans="1:20" ht="18" x14ac:dyDescent="0.25">
      <c r="A44" s="13">
        <v>29</v>
      </c>
      <c r="B44" s="13" t="s">
        <v>33</v>
      </c>
      <c r="C44" s="27" t="s">
        <v>92</v>
      </c>
      <c r="D44" s="84" t="s">
        <v>264</v>
      </c>
      <c r="E44" s="83" t="s">
        <v>278</v>
      </c>
      <c r="F44" s="30">
        <f>11.93-0.15+3.48+0.24+0.79</f>
        <v>16.29</v>
      </c>
      <c r="G44" s="30">
        <f>$F$5*(0.0126+0.0013-0.0005+0.0002+0.0007)</f>
        <v>10.725</v>
      </c>
      <c r="H44" s="30">
        <f t="shared" si="38"/>
        <v>27.015000000000001</v>
      </c>
      <c r="I44" s="10" t="s">
        <v>101</v>
      </c>
      <c r="J44" s="30">
        <f>(0.0063+0.0051)*$F$5*M44</f>
        <v>8.9039700000000011</v>
      </c>
      <c r="K44" s="30">
        <f t="shared" si="34"/>
        <v>3.4586595000000075</v>
      </c>
      <c r="L44" s="30">
        <f t="shared" ref="L44" si="42">H44+J44+K44</f>
        <v>39.377629500000012</v>
      </c>
      <c r="M44" s="13">
        <v>1.0414000000000001</v>
      </c>
      <c r="S44" t="s">
        <v>153</v>
      </c>
      <c r="T44">
        <v>4751</v>
      </c>
    </row>
    <row r="45" spans="1:20" ht="18" x14ac:dyDescent="0.25">
      <c r="A45" s="13">
        <v>30</v>
      </c>
      <c r="B45" s="13" t="s">
        <v>34</v>
      </c>
      <c r="C45" s="13" t="s">
        <v>201</v>
      </c>
      <c r="D45" s="84" t="s">
        <v>261</v>
      </c>
      <c r="E45" s="83" t="s">
        <v>278</v>
      </c>
      <c r="F45" s="30">
        <f>18.8+0.79+0.79</f>
        <v>20.38</v>
      </c>
      <c r="G45" s="30">
        <f>$F$5*(0.0121+0.00006+0.0003)</f>
        <v>9.3449999999999989</v>
      </c>
      <c r="H45" s="30">
        <f t="shared" ref="H45:H46" si="43">F45+G45</f>
        <v>29.724999999999998</v>
      </c>
      <c r="I45" s="14" t="s">
        <v>102</v>
      </c>
      <c r="J45" s="30">
        <f>(0.0078+0.0059)*$F$5*M45</f>
        <v>10.664422500000001</v>
      </c>
      <c r="K45" s="30">
        <f t="shared" si="34"/>
        <v>3.1662607500000077</v>
      </c>
      <c r="L45" s="30">
        <f t="shared" ref="L45" si="44">H45+J45+K45</f>
        <v>43.555683250000001</v>
      </c>
      <c r="M45" s="88">
        <v>1.0379</v>
      </c>
      <c r="S45" t="s">
        <v>154</v>
      </c>
      <c r="T45">
        <v>24046</v>
      </c>
    </row>
    <row r="46" spans="1:20" ht="18" x14ac:dyDescent="0.25">
      <c r="A46" s="13">
        <v>31</v>
      </c>
      <c r="B46" s="13" t="s">
        <v>35</v>
      </c>
      <c r="C46" s="13" t="s">
        <v>100</v>
      </c>
      <c r="D46" s="84" t="s">
        <v>264</v>
      </c>
      <c r="E46" s="83" t="s">
        <v>278</v>
      </c>
      <c r="F46" s="109">
        <f>18.31+0.79</f>
        <v>19.099999999999998</v>
      </c>
      <c r="G46" s="30">
        <f>$F$5*(0.012+0.0054+0.0027)</f>
        <v>15.074999999999999</v>
      </c>
      <c r="H46" s="30">
        <f t="shared" si="43"/>
        <v>34.174999999999997</v>
      </c>
      <c r="I46" s="110" t="s">
        <v>102</v>
      </c>
      <c r="J46" s="30">
        <f>(0.0068+0.0051)*$F$5*M46</f>
        <v>9.6140100000000004</v>
      </c>
      <c r="K46" s="30">
        <f t="shared" si="34"/>
        <v>6.4494809999999978</v>
      </c>
      <c r="L46" s="30">
        <f t="shared" ref="L46" si="45">H46+J46+K46</f>
        <v>50.238490999999996</v>
      </c>
      <c r="M46" s="88">
        <v>1.0771999999999999</v>
      </c>
      <c r="S46" t="s">
        <v>155</v>
      </c>
      <c r="T46">
        <v>82425</v>
      </c>
    </row>
    <row r="47" spans="1:20" ht="18" x14ac:dyDescent="0.25">
      <c r="A47" s="13">
        <v>32</v>
      </c>
      <c r="B47" s="13" t="s">
        <v>108</v>
      </c>
      <c r="C47" s="13" t="s">
        <v>100</v>
      </c>
      <c r="D47" s="84" t="s">
        <v>261</v>
      </c>
      <c r="E47" s="83" t="s">
        <v>278</v>
      </c>
      <c r="F47" s="30">
        <f>9.6+0.79</f>
        <v>10.39</v>
      </c>
      <c r="G47" s="30">
        <f>$F$5*(0.0076+0.0007)</f>
        <v>6.2249999999999996</v>
      </c>
      <c r="H47" s="30">
        <f t="shared" ref="H47" si="46">F47+G47</f>
        <v>16.615000000000002</v>
      </c>
      <c r="I47" s="14" t="s">
        <v>102</v>
      </c>
      <c r="J47" s="30">
        <f>(0.0071+0.0034)*$F$5*M47</f>
        <v>8.3010375000000014</v>
      </c>
      <c r="K47" s="30">
        <f t="shared" si="34"/>
        <v>4.5196492500000049</v>
      </c>
      <c r="L47" s="30">
        <f t="shared" ref="L47" si="47">H47+J47+K47</f>
        <v>29.435686750000006</v>
      </c>
      <c r="M47" s="88">
        <v>1.0541</v>
      </c>
      <c r="S47" t="s">
        <v>156</v>
      </c>
      <c r="T47">
        <v>8800</v>
      </c>
    </row>
    <row r="48" spans="1:20" ht="18" x14ac:dyDescent="0.25">
      <c r="A48" s="13">
        <v>33</v>
      </c>
      <c r="B48" s="13" t="s">
        <v>36</v>
      </c>
      <c r="C48" s="13" t="s">
        <v>100</v>
      </c>
      <c r="D48" s="84" t="s">
        <v>261</v>
      </c>
      <c r="E48" s="83" t="s">
        <v>278</v>
      </c>
      <c r="F48" s="30">
        <f>14.32+0.79</f>
        <v>15.11</v>
      </c>
      <c r="G48" s="30">
        <f>$F$5*(0.0118+0.0005)</f>
        <v>9.2249999999999996</v>
      </c>
      <c r="H48" s="30">
        <f t="shared" ref="H48" si="48">F48+G48</f>
        <v>24.335000000000001</v>
      </c>
      <c r="I48" s="14" t="s">
        <v>102</v>
      </c>
      <c r="J48" s="30">
        <f>(0.0078+0.0057)*$F$5*M48</f>
        <v>10.4702625</v>
      </c>
      <c r="K48" s="30">
        <f t="shared" si="34"/>
        <v>2.8487992500000052</v>
      </c>
      <c r="L48" s="30">
        <f t="shared" ref="L48" si="49">H48+J48+K48</f>
        <v>37.654061750000004</v>
      </c>
      <c r="M48" s="88">
        <v>1.0341</v>
      </c>
      <c r="S48" t="s">
        <v>157</v>
      </c>
      <c r="T48">
        <v>10986</v>
      </c>
    </row>
    <row r="49" spans="1:20" ht="18" x14ac:dyDescent="0.25">
      <c r="A49" s="13">
        <v>34</v>
      </c>
      <c r="B49" s="13" t="s">
        <v>37</v>
      </c>
      <c r="C49" s="13" t="s">
        <v>201</v>
      </c>
      <c r="D49" s="83"/>
      <c r="E49" s="83" t="s">
        <v>278</v>
      </c>
      <c r="F49" s="30">
        <f>30.11+0.78-0.01+0.79</f>
        <v>31.669999999999998</v>
      </c>
      <c r="G49" s="30">
        <f>$F$5*(0.0299-0.0001)</f>
        <v>22.35</v>
      </c>
      <c r="H49" s="30">
        <f t="shared" ref="H49" si="50">F49+G49</f>
        <v>54.019999999999996</v>
      </c>
      <c r="I49" s="14" t="s">
        <v>102</v>
      </c>
      <c r="J49" s="30">
        <f>(0.0068+0.0048)*$F$5*M49</f>
        <v>9.3612000000000002</v>
      </c>
      <c r="K49" s="30">
        <f t="shared" si="34"/>
        <v>6.3492300000000004</v>
      </c>
      <c r="L49" s="30">
        <f t="shared" ref="L49" si="51">H49+J49+K49</f>
        <v>69.730429999999998</v>
      </c>
      <c r="M49" s="88">
        <v>1.0760000000000001</v>
      </c>
      <c r="S49" t="s">
        <v>158</v>
      </c>
      <c r="T49">
        <v>138568</v>
      </c>
    </row>
    <row r="50" spans="1:20" ht="18" x14ac:dyDescent="0.25">
      <c r="A50" s="13">
        <v>34</v>
      </c>
      <c r="B50" s="13" t="s">
        <v>38</v>
      </c>
      <c r="C50" s="13" t="s">
        <v>201</v>
      </c>
      <c r="D50" s="83"/>
      <c r="E50" s="83" t="s">
        <v>278</v>
      </c>
      <c r="F50" s="30">
        <f>72.86+1.27+0.69+0.79-31.5</f>
        <v>44.11</v>
      </c>
      <c r="G50" s="30">
        <f>$F$5*(0.0426+0.0001)</f>
        <v>32.024999999999999</v>
      </c>
      <c r="H50" s="30">
        <f t="shared" ref="H50" si="52">F50+G50</f>
        <v>76.134999999999991</v>
      </c>
      <c r="I50" s="14" t="s">
        <v>102</v>
      </c>
      <c r="J50" s="30">
        <f>(0.0065+0.0046)*$F$5*M50</f>
        <v>9.1991249999999987</v>
      </c>
      <c r="K50" s="30">
        <f t="shared" si="34"/>
        <v>8.7719625000000008</v>
      </c>
      <c r="L50" s="30">
        <f t="shared" ref="L50" si="53">H50+J50+K50</f>
        <v>94.106087499999987</v>
      </c>
      <c r="M50" s="88">
        <v>1.105</v>
      </c>
      <c r="T50">
        <v>6163</v>
      </c>
    </row>
    <row r="51" spans="1:20" ht="18" x14ac:dyDescent="0.25">
      <c r="A51" s="13">
        <v>34</v>
      </c>
      <c r="B51" s="13" t="s">
        <v>121</v>
      </c>
      <c r="C51" s="13" t="s">
        <v>201</v>
      </c>
      <c r="D51" s="83"/>
      <c r="E51" s="83" t="s">
        <v>278</v>
      </c>
      <c r="F51" s="30">
        <f>32.47+0.8+0.3+0.79</f>
        <v>34.359999999999992</v>
      </c>
      <c r="G51" s="30">
        <f>$F$5*(0.0748+0.0005)</f>
        <v>56.475000000000001</v>
      </c>
      <c r="H51" s="30">
        <f t="shared" ref="H51" si="54">F51+G51</f>
        <v>90.834999999999994</v>
      </c>
      <c r="I51" s="14" t="s">
        <v>102</v>
      </c>
      <c r="J51" s="30">
        <f>(0.0056+0.0042)*$F$5*M51</f>
        <v>8.1143999999999998</v>
      </c>
      <c r="K51" s="30">
        <f t="shared" si="34"/>
        <v>8.6884200000000131</v>
      </c>
      <c r="L51" s="30">
        <f t="shared" ref="L51" si="55">H51+J51+K51</f>
        <v>107.63782</v>
      </c>
      <c r="M51" s="88">
        <v>1.1040000000000001</v>
      </c>
      <c r="T51">
        <v>32268</v>
      </c>
    </row>
    <row r="52" spans="1:20" ht="18" x14ac:dyDescent="0.25">
      <c r="A52" s="13">
        <v>34</v>
      </c>
      <c r="B52" s="13" t="s">
        <v>39</v>
      </c>
      <c r="C52" s="13" t="s">
        <v>201</v>
      </c>
      <c r="D52" s="83"/>
      <c r="E52" s="83" t="s">
        <v>278</v>
      </c>
      <c r="F52" s="30">
        <f>22.29+0.69-0.12+0.79</f>
        <v>23.65</v>
      </c>
      <c r="G52" s="30">
        <f>$F$5*(0.0162-0.0002)</f>
        <v>12</v>
      </c>
      <c r="H52" s="30">
        <f t="shared" ref="H52:H58" si="56">F52+G52</f>
        <v>35.65</v>
      </c>
      <c r="I52" s="14" t="s">
        <v>102</v>
      </c>
      <c r="J52" s="30">
        <f>(0.0069+0.0049)*$F$5*M52</f>
        <v>9.3544499999999999</v>
      </c>
      <c r="K52" s="30">
        <f t="shared" si="34"/>
        <v>4.7619224999999998</v>
      </c>
      <c r="L52" s="30">
        <f t="shared" ref="L52" si="57">H52+J52+K52</f>
        <v>49.766372499999996</v>
      </c>
      <c r="M52" s="88">
        <v>1.0569999999999999</v>
      </c>
      <c r="T52">
        <v>31349</v>
      </c>
    </row>
    <row r="53" spans="1:20" ht="14.45" x14ac:dyDescent="0.3">
      <c r="A53" s="11">
        <v>34</v>
      </c>
      <c r="B53" s="11" t="s">
        <v>40</v>
      </c>
      <c r="C53" s="13" t="s">
        <v>98</v>
      </c>
      <c r="D53" s="84" t="s">
        <v>264</v>
      </c>
      <c r="E53" s="83" t="s">
        <v>278</v>
      </c>
      <c r="F53" s="30">
        <f>19.09</f>
        <v>19.09</v>
      </c>
      <c r="G53" s="30">
        <f>IF(F5&lt;=1000,F5*0.0898,IF(F5&lt;=2500,1000*0.0898+(F5-1000)*0.1198,1000*0.0898+1500*0.1198+(F5-2500)*0.1806))</f>
        <v>67.350000000000009</v>
      </c>
      <c r="H53" s="18"/>
      <c r="I53" s="19"/>
      <c r="J53" s="19"/>
      <c r="K53" s="19"/>
      <c r="L53" s="19"/>
      <c r="M53" s="19"/>
      <c r="T53">
        <v>46600</v>
      </c>
    </row>
    <row r="54" spans="1:20" ht="14.45" x14ac:dyDescent="0.3">
      <c r="A54" s="11"/>
      <c r="B54" s="11" t="s">
        <v>306</v>
      </c>
      <c r="C54" s="13" t="s">
        <v>98</v>
      </c>
      <c r="D54" s="84" t="s">
        <v>264</v>
      </c>
      <c r="E54" s="83" t="s">
        <v>278</v>
      </c>
      <c r="F54" s="30">
        <v>0</v>
      </c>
      <c r="G54" s="30">
        <f>IF(F5&lt;=250,F5*0.8926,IF(F5&gt;250,250*0.8926+(F5-250)*0.9769))</f>
        <v>711.59999999999991</v>
      </c>
      <c r="H54" s="18"/>
      <c r="I54" s="19"/>
      <c r="J54" s="19"/>
      <c r="K54" s="19"/>
      <c r="L54" s="19"/>
      <c r="M54" s="19"/>
    </row>
    <row r="55" spans="1:20" ht="18" x14ac:dyDescent="0.25">
      <c r="A55" s="13">
        <v>35</v>
      </c>
      <c r="B55" s="13" t="s">
        <v>41</v>
      </c>
      <c r="C55" s="13" t="s">
        <v>118</v>
      </c>
      <c r="D55" s="84" t="s">
        <v>261</v>
      </c>
      <c r="E55" s="83" t="s">
        <v>278</v>
      </c>
      <c r="F55" s="30">
        <f>12.96+0.79</f>
        <v>13.75</v>
      </c>
      <c r="G55" s="30">
        <f>$F$5*(0.0193+0.00007-0.00002-0.000826-0.001509)</f>
        <v>12.761250000000002</v>
      </c>
      <c r="H55" s="30">
        <f t="shared" si="56"/>
        <v>26.511250000000004</v>
      </c>
      <c r="I55" s="10" t="s">
        <v>101</v>
      </c>
      <c r="J55" s="30">
        <f>(0.0076+0.0047)*$F$5*M55</f>
        <v>9.5340375000000002</v>
      </c>
      <c r="K55" s="30">
        <f>(M55*$F$5-$F$5)*$O$5</f>
        <v>2.7986737500000127</v>
      </c>
      <c r="L55" s="30">
        <f t="shared" ref="L55:L56" si="58">H55+J55+K55</f>
        <v>38.843961250000014</v>
      </c>
      <c r="M55" s="88">
        <v>1.0335000000000001</v>
      </c>
      <c r="S55" t="s">
        <v>159</v>
      </c>
      <c r="T55">
        <v>7230</v>
      </c>
    </row>
    <row r="56" spans="1:20" ht="18" x14ac:dyDescent="0.25">
      <c r="A56" s="13">
        <v>36</v>
      </c>
      <c r="B56" s="13" t="s">
        <v>279</v>
      </c>
      <c r="C56" s="13" t="s">
        <v>100</v>
      </c>
      <c r="D56" s="84" t="s">
        <v>261</v>
      </c>
      <c r="E56" s="83" t="s">
        <v>278</v>
      </c>
      <c r="F56" s="30">
        <f>24.85+0.79+2.21</f>
        <v>27.85</v>
      </c>
      <c r="G56" s="30">
        <f>$F$5*(0.0139+0.0022+0.0002+0.002-0.0007)</f>
        <v>13.199999999999998</v>
      </c>
      <c r="H56" s="30">
        <f t="shared" si="56"/>
        <v>41.05</v>
      </c>
      <c r="I56" s="14" t="s">
        <v>102</v>
      </c>
      <c r="J56" s="30">
        <f>(0.0057+0.0041)*$F$5*M56</f>
        <v>7.881405</v>
      </c>
      <c r="K56" s="30">
        <f>(M56*$F$5-$F$5)*$O$5</f>
        <v>6.0401227500000028</v>
      </c>
      <c r="L56" s="30">
        <f t="shared" si="58"/>
        <v>54.97152775</v>
      </c>
      <c r="M56" s="88">
        <v>1.0723</v>
      </c>
      <c r="S56" t="s">
        <v>160</v>
      </c>
      <c r="T56">
        <v>17393</v>
      </c>
    </row>
    <row r="57" spans="1:20" ht="14.45" x14ac:dyDescent="0.3">
      <c r="A57" s="19">
        <v>37</v>
      </c>
      <c r="B57" s="19" t="s">
        <v>43</v>
      </c>
      <c r="C57" s="19"/>
      <c r="D57" s="86"/>
      <c r="E57" s="86"/>
      <c r="F57" s="22"/>
      <c r="G57" s="22"/>
      <c r="H57" s="22"/>
      <c r="I57" s="12"/>
      <c r="J57" s="12"/>
      <c r="K57" s="12"/>
      <c r="L57" s="12"/>
      <c r="M57" s="12"/>
      <c r="T57">
        <v>21067</v>
      </c>
    </row>
    <row r="58" spans="1:20" ht="18" x14ac:dyDescent="0.25">
      <c r="A58" s="13">
        <v>38</v>
      </c>
      <c r="B58" s="13" t="s">
        <v>44</v>
      </c>
      <c r="C58" s="13" t="s">
        <v>98</v>
      </c>
      <c r="D58" s="84" t="s">
        <v>264</v>
      </c>
      <c r="E58" s="83" t="s">
        <v>100</v>
      </c>
      <c r="F58" s="30">
        <f>22.24+0.79</f>
        <v>23.029999999999998</v>
      </c>
      <c r="G58" s="30">
        <f>$F$5*(0.0109)</f>
        <v>8.1750000000000007</v>
      </c>
      <c r="H58" s="30">
        <f t="shared" si="56"/>
        <v>31.204999999999998</v>
      </c>
      <c r="I58" s="14" t="s">
        <v>102</v>
      </c>
      <c r="J58" s="30">
        <f>(0.0068+0.0019)*$F$5*M58</f>
        <v>6.8055749999999993</v>
      </c>
      <c r="K58" s="30">
        <f t="shared" ref="K58:K78" si="59">(M58*$F$5-$F$5)*$O$5</f>
        <v>3.5923275000000001</v>
      </c>
      <c r="L58" s="30">
        <f t="shared" ref="L58" si="60">H58+J58+K58</f>
        <v>41.602902499999999</v>
      </c>
      <c r="M58" s="88">
        <v>1.0429999999999999</v>
      </c>
      <c r="S58" t="s">
        <v>161</v>
      </c>
      <c r="T58">
        <v>5237</v>
      </c>
    </row>
    <row r="59" spans="1:20" ht="18" x14ac:dyDescent="0.25">
      <c r="A59" s="13">
        <v>39</v>
      </c>
      <c r="B59" s="13" t="s">
        <v>314</v>
      </c>
      <c r="C59" s="13" t="s">
        <v>313</v>
      </c>
      <c r="D59" s="82" t="s">
        <v>261</v>
      </c>
      <c r="E59" s="83" t="s">
        <v>278</v>
      </c>
      <c r="F59" s="30">
        <f>13.98+0.79+0.25+3.69</f>
        <v>18.71</v>
      </c>
      <c r="G59" s="30">
        <f>$F$5*(0.0139+0.0012-0.0001+0.0007+0.0004-0.0108+0.0003)</f>
        <v>4.1999999999999993</v>
      </c>
      <c r="H59" s="30">
        <f>F59+G59</f>
        <v>22.91</v>
      </c>
      <c r="I59" s="14" t="s">
        <v>102</v>
      </c>
      <c r="J59" s="30">
        <f>(0.0071+0.0056)*$F$5*M59</f>
        <v>9.8993324999999999</v>
      </c>
      <c r="K59" s="30">
        <f t="shared" si="59"/>
        <v>3.2832202499999901</v>
      </c>
      <c r="L59" s="30">
        <f t="shared" ref="L59:L60" si="61">H59+J59+K59</f>
        <v>36.092552749999989</v>
      </c>
      <c r="M59" s="88">
        <v>1.0392999999999999</v>
      </c>
      <c r="S59" t="s">
        <v>162</v>
      </c>
      <c r="T59">
        <v>60486</v>
      </c>
    </row>
    <row r="60" spans="1:20" ht="18" x14ac:dyDescent="0.25">
      <c r="A60" s="13">
        <v>40</v>
      </c>
      <c r="B60" s="13" t="s">
        <v>109</v>
      </c>
      <c r="C60" s="13" t="s">
        <v>100</v>
      </c>
      <c r="D60" s="84" t="s">
        <v>261</v>
      </c>
      <c r="E60" s="83" t="s">
        <v>278</v>
      </c>
      <c r="F60" s="30">
        <f>13.61+0.79</f>
        <v>14.399999999999999</v>
      </c>
      <c r="G60" s="30">
        <f>$F$5*(0.0125+0.0003)</f>
        <v>9.6</v>
      </c>
      <c r="H60" s="30">
        <f t="shared" ref="H60" si="62">F60+G60</f>
        <v>24</v>
      </c>
      <c r="I60" s="14" t="s">
        <v>102</v>
      </c>
      <c r="J60" s="30">
        <f>(0.007+0.0016)*$F$5*M60</f>
        <v>6.6763949999999994</v>
      </c>
      <c r="K60" s="30">
        <f t="shared" si="59"/>
        <v>2.9323417499999924</v>
      </c>
      <c r="L60" s="30">
        <f t="shared" si="61"/>
        <v>33.608736749999991</v>
      </c>
      <c r="M60" s="88">
        <v>1.0350999999999999</v>
      </c>
      <c r="S60" t="s">
        <v>163</v>
      </c>
      <c r="T60">
        <v>10407</v>
      </c>
    </row>
    <row r="61" spans="1:20" ht="18" x14ac:dyDescent="0.25">
      <c r="A61" s="13">
        <v>41</v>
      </c>
      <c r="B61" s="13" t="s">
        <v>46</v>
      </c>
      <c r="C61" s="13" t="s">
        <v>100</v>
      </c>
      <c r="D61" s="84" t="s">
        <v>264</v>
      </c>
      <c r="E61" s="83" t="s">
        <v>278</v>
      </c>
      <c r="F61" s="30">
        <f>13.14+0.79+0.09</f>
        <v>14.02</v>
      </c>
      <c r="G61" s="30">
        <f>$F$5*(0.0113+0.0013+0.0008+0.0022)</f>
        <v>11.700000000000001</v>
      </c>
      <c r="H61" s="30">
        <f t="shared" ref="H61" si="63">F61+G61</f>
        <v>25.72</v>
      </c>
      <c r="I61" s="14" t="s">
        <v>102</v>
      </c>
      <c r="J61" s="30">
        <f>(0.0059+0.0045)*$F$5*M61</f>
        <v>8.2407000000000004</v>
      </c>
      <c r="K61" s="30">
        <f t="shared" si="59"/>
        <v>4.7201512499999998</v>
      </c>
      <c r="L61" s="30">
        <f t="shared" ref="L61" si="64">H61+J61+K61</f>
        <v>38.680851250000003</v>
      </c>
      <c r="M61" s="88">
        <v>1.0565</v>
      </c>
      <c r="S61" t="s">
        <v>164</v>
      </c>
      <c r="T61">
        <v>11816</v>
      </c>
    </row>
    <row r="62" spans="1:20" ht="18" x14ac:dyDescent="0.25">
      <c r="A62" s="13">
        <v>42</v>
      </c>
      <c r="B62" s="13" t="s">
        <v>47</v>
      </c>
      <c r="C62" s="13" t="s">
        <v>98</v>
      </c>
      <c r="D62" s="89" t="s">
        <v>264</v>
      </c>
      <c r="E62" s="83" t="s">
        <v>278</v>
      </c>
      <c r="F62" s="30">
        <f>23.66+0.17+0.79</f>
        <v>24.62</v>
      </c>
      <c r="G62" s="30">
        <f>$F$5*(0.0113+0.0034-0.0036+0.00004)</f>
        <v>8.3549999999999986</v>
      </c>
      <c r="H62" s="30">
        <f t="shared" ref="H62" si="65">F62+G62</f>
        <v>32.975000000000001</v>
      </c>
      <c r="I62" s="14" t="s">
        <v>102</v>
      </c>
      <c r="J62" s="30">
        <f>(0.0057+0.0045)*$F$5*M62</f>
        <v>8.218395000000001</v>
      </c>
      <c r="K62" s="30">
        <f t="shared" si="59"/>
        <v>6.2072077500000029</v>
      </c>
      <c r="L62" s="30">
        <f t="shared" ref="L62" si="66">H62+J62+K62</f>
        <v>47.400602750000004</v>
      </c>
      <c r="M62" s="88">
        <v>1.0743</v>
      </c>
      <c r="S62" t="s">
        <v>165</v>
      </c>
      <c r="T62">
        <v>50365</v>
      </c>
    </row>
    <row r="63" spans="1:20" ht="18" x14ac:dyDescent="0.25">
      <c r="A63" s="13">
        <v>43</v>
      </c>
      <c r="B63" s="13" t="s">
        <v>48</v>
      </c>
      <c r="C63" s="13" t="s">
        <v>100</v>
      </c>
      <c r="D63" s="84" t="s">
        <v>264</v>
      </c>
      <c r="E63" s="83" t="s">
        <v>278</v>
      </c>
      <c r="F63" s="30">
        <f>16.42+0.01+0.79</f>
        <v>17.220000000000002</v>
      </c>
      <c r="G63" s="30">
        <f>$F$5*(0.0121+0.0012-0.0025)</f>
        <v>8.1</v>
      </c>
      <c r="H63" s="30">
        <f t="shared" ref="H63" si="67">F63+G63</f>
        <v>25.32</v>
      </c>
      <c r="I63" s="14" t="s">
        <v>102</v>
      </c>
      <c r="J63" s="30">
        <f>(0.0069+0.0058)*$F$5*M63</f>
        <v>9.8583749999999988</v>
      </c>
      <c r="K63" s="30">
        <f t="shared" si="59"/>
        <v>2.9239874999999875</v>
      </c>
      <c r="L63" s="30">
        <f t="shared" ref="L63" si="68">H63+J63+K63</f>
        <v>38.102362499999991</v>
      </c>
      <c r="M63" s="88">
        <v>1.0349999999999999</v>
      </c>
      <c r="S63" t="s">
        <v>166</v>
      </c>
      <c r="T63">
        <v>9358</v>
      </c>
    </row>
    <row r="64" spans="1:20" ht="18" x14ac:dyDescent="0.25">
      <c r="A64" s="13">
        <v>44</v>
      </c>
      <c r="B64" s="13" t="s">
        <v>49</v>
      </c>
      <c r="C64" s="13" t="s">
        <v>100</v>
      </c>
      <c r="D64" s="84" t="s">
        <v>264</v>
      </c>
      <c r="E64" s="83" t="s">
        <v>278</v>
      </c>
      <c r="F64" s="30">
        <f>19.35+0.79</f>
        <v>20.14</v>
      </c>
      <c r="G64" s="30">
        <f>$F$5*(0.0157+0.002+0.0005-0.00001)</f>
        <v>13.642500000000002</v>
      </c>
      <c r="H64" s="30">
        <f t="shared" ref="H64" si="69">F64+G64</f>
        <v>33.782499999999999</v>
      </c>
      <c r="I64" s="14" t="s">
        <v>102</v>
      </c>
      <c r="J64" s="30">
        <f>(0.0069+0.0053)*$F$5*M64</f>
        <v>9.774029999999998</v>
      </c>
      <c r="K64" s="30">
        <f t="shared" si="59"/>
        <v>5.697598499999998</v>
      </c>
      <c r="L64" s="30">
        <f t="shared" ref="L64" si="70">H64+J64+K64</f>
        <v>49.254128499999993</v>
      </c>
      <c r="M64" s="88">
        <v>1.0682</v>
      </c>
      <c r="S64" t="s">
        <v>167</v>
      </c>
      <c r="T64">
        <v>32140</v>
      </c>
    </row>
    <row r="65" spans="1:20" ht="18" x14ac:dyDescent="0.25">
      <c r="A65" s="13">
        <v>45</v>
      </c>
      <c r="B65" s="27" t="s">
        <v>50</v>
      </c>
      <c r="C65" s="13" t="s">
        <v>92</v>
      </c>
      <c r="D65" s="111" t="s">
        <v>281</v>
      </c>
      <c r="E65" s="83" t="s">
        <v>278</v>
      </c>
      <c r="F65" s="30">
        <f>18.61+0.79+0.98-1.423+1.51</f>
        <v>20.467000000000002</v>
      </c>
      <c r="G65" s="30">
        <f>$F$5*(-0.0018+0.011+0.0006+0.0036-0.0032)</f>
        <v>7.6499999999999995</v>
      </c>
      <c r="H65" s="30">
        <f t="shared" ref="H65" si="71">F65+G65</f>
        <v>28.117000000000001</v>
      </c>
      <c r="I65" s="14" t="s">
        <v>102</v>
      </c>
      <c r="J65" s="30">
        <f>(0.0073+0.006)*$F$5*M65</f>
        <v>10.3490625</v>
      </c>
      <c r="K65" s="30">
        <f t="shared" si="59"/>
        <v>3.1328437500000126</v>
      </c>
      <c r="L65" s="30">
        <f t="shared" ref="L65" si="72">H65+J65+K65</f>
        <v>41.598906250000013</v>
      </c>
      <c r="M65" s="88">
        <v>1.0375000000000001</v>
      </c>
      <c r="S65" t="s">
        <v>168</v>
      </c>
      <c r="T65">
        <v>316596</v>
      </c>
    </row>
    <row r="66" spans="1:20" ht="18" x14ac:dyDescent="0.25">
      <c r="A66" s="13">
        <v>46</v>
      </c>
      <c r="B66" s="13" t="s">
        <v>51</v>
      </c>
      <c r="C66" s="13" t="s">
        <v>210</v>
      </c>
      <c r="D66" s="84" t="s">
        <v>261</v>
      </c>
      <c r="E66" s="83" t="s">
        <v>278</v>
      </c>
      <c r="F66" s="30">
        <f>18.06+0.79-0.11</f>
        <v>18.739999999999998</v>
      </c>
      <c r="G66" s="30">
        <f>$F$5*(0.0111)</f>
        <v>8.3250000000000011</v>
      </c>
      <c r="H66" s="30">
        <f t="shared" ref="H66" si="73">F66+G66</f>
        <v>27.064999999999998</v>
      </c>
      <c r="I66" s="14" t="s">
        <v>102</v>
      </c>
      <c r="J66" s="30">
        <f>(0.0084+0.0068)*$F$5*M66</f>
        <v>11.836619999999998</v>
      </c>
      <c r="K66" s="30">
        <f t="shared" si="59"/>
        <v>3.1996777500000024</v>
      </c>
      <c r="L66" s="30">
        <f t="shared" ref="L66" si="74">H66+J66+K66</f>
        <v>42.101297749999993</v>
      </c>
      <c r="M66" s="88">
        <v>1.0383</v>
      </c>
      <c r="S66" t="s">
        <v>169</v>
      </c>
      <c r="T66">
        <v>29635</v>
      </c>
    </row>
    <row r="67" spans="1:20" ht="18" x14ac:dyDescent="0.25">
      <c r="A67" s="13">
        <v>47</v>
      </c>
      <c r="B67" s="13" t="s">
        <v>110</v>
      </c>
      <c r="C67" s="13" t="s">
        <v>98</v>
      </c>
      <c r="D67" s="84" t="s">
        <v>264</v>
      </c>
      <c r="E67" s="83" t="s">
        <v>278</v>
      </c>
      <c r="F67" s="30">
        <f>21.06+0.79-0.28+0.13</f>
        <v>21.699999999999996</v>
      </c>
      <c r="G67" s="30">
        <f>$F$5*(0.0098-0.0036-0.001+0.0007)</f>
        <v>4.4249999999999998</v>
      </c>
      <c r="H67" s="30">
        <f t="shared" ref="H67" si="75">F67+G67</f>
        <v>26.124999999999996</v>
      </c>
      <c r="I67" s="14" t="s">
        <v>102</v>
      </c>
      <c r="J67" s="30">
        <f>(0.0072+0.0015)*$F$5*M67</f>
        <v>6.7722974999999996</v>
      </c>
      <c r="K67" s="30">
        <f t="shared" si="59"/>
        <v>3.1662607500000077</v>
      </c>
      <c r="L67" s="30">
        <f t="shared" ref="L67" si="76">H67+J67+K67</f>
        <v>36.06355825</v>
      </c>
      <c r="M67" s="88">
        <v>1.0379</v>
      </c>
      <c r="S67" s="11" t="s">
        <v>170</v>
      </c>
      <c r="T67">
        <v>3756</v>
      </c>
    </row>
    <row r="68" spans="1:20" ht="18" x14ac:dyDescent="0.25">
      <c r="A68" s="13">
        <v>48</v>
      </c>
      <c r="B68" s="13" t="s">
        <v>124</v>
      </c>
      <c r="C68" s="13" t="s">
        <v>98</v>
      </c>
      <c r="D68" s="84" t="s">
        <v>264</v>
      </c>
      <c r="E68" s="83"/>
      <c r="F68" s="30">
        <f>21.94-0.14+0.79+0.93</f>
        <v>23.52</v>
      </c>
      <c r="G68" s="30">
        <f>$F$5*(0.0139+0.0005-0.003-0.0001)</f>
        <v>8.4750000000000014</v>
      </c>
      <c r="H68" s="30">
        <f t="shared" ref="H68" si="77">F68+G68</f>
        <v>31.995000000000001</v>
      </c>
      <c r="I68" s="14" t="s">
        <v>102</v>
      </c>
      <c r="J68" s="30">
        <f>(0.0071+0.0053)*$F$5*M68</f>
        <v>9.745470000000001</v>
      </c>
      <c r="K68" s="30">
        <f t="shared" si="59"/>
        <v>4.001685750000008</v>
      </c>
      <c r="L68" s="30">
        <f t="shared" ref="L68" si="78">H68+J68+K68</f>
        <v>45.742155750000009</v>
      </c>
      <c r="M68" s="88">
        <v>1.0479000000000001</v>
      </c>
      <c r="S68" s="11" t="s">
        <v>171</v>
      </c>
      <c r="T68">
        <v>5040</v>
      </c>
    </row>
    <row r="69" spans="1:20" ht="18" x14ac:dyDescent="0.25">
      <c r="A69" s="13">
        <v>49</v>
      </c>
      <c r="B69" s="13" t="s">
        <v>52</v>
      </c>
      <c r="C69" s="13" t="s">
        <v>280</v>
      </c>
      <c r="D69" s="84" t="s">
        <v>298</v>
      </c>
      <c r="E69" s="83" t="s">
        <v>278</v>
      </c>
      <c r="F69" s="30">
        <f>24.85+0.1+0.93+0.79-0.37</f>
        <v>26.3</v>
      </c>
      <c r="G69" s="30">
        <f>$F$5*(0.0164+0.0009-0.0002+0.0002)</f>
        <v>12.975000000000001</v>
      </c>
      <c r="H69" s="30">
        <f t="shared" ref="H69:H70" si="79">F69+G69</f>
        <v>39.275000000000006</v>
      </c>
      <c r="I69" s="14" t="s">
        <v>102</v>
      </c>
      <c r="J69" s="30">
        <f>(0.0067+0.0032)*$F$5*M69</f>
        <v>7.843770000000001</v>
      </c>
      <c r="K69" s="30">
        <f t="shared" si="59"/>
        <v>4.7117969999999954</v>
      </c>
      <c r="L69" s="30">
        <f t="shared" ref="L69:L70" si="80">H69+J69+K69</f>
        <v>51.830567000000002</v>
      </c>
      <c r="M69" s="88">
        <v>1.0564</v>
      </c>
      <c r="S69" t="s">
        <v>172</v>
      </c>
      <c r="T69">
        <v>2335</v>
      </c>
    </row>
    <row r="70" spans="1:20" ht="18" x14ac:dyDescent="0.25">
      <c r="A70" s="13">
        <v>50</v>
      </c>
      <c r="B70" s="13" t="s">
        <v>53</v>
      </c>
      <c r="C70" s="13" t="s">
        <v>98</v>
      </c>
      <c r="D70" s="84" t="s">
        <v>264</v>
      </c>
      <c r="E70" s="83" t="s">
        <v>278</v>
      </c>
      <c r="F70" s="30">
        <f>18.9+0.79</f>
        <v>19.689999999999998</v>
      </c>
      <c r="G70" s="30">
        <f>$F$5*(0.0108+0.00007-0.0038-0.0036)</f>
        <v>2.6025000000000014</v>
      </c>
      <c r="H70" s="30">
        <f t="shared" si="79"/>
        <v>22.2925</v>
      </c>
      <c r="I70" s="10" t="s">
        <v>101</v>
      </c>
      <c r="J70" s="30">
        <f>(0.0067+0.0058)*$F$5*M70</f>
        <v>9.8165624999999999</v>
      </c>
      <c r="K70" s="30">
        <f t="shared" si="59"/>
        <v>3.9348517499999924</v>
      </c>
      <c r="L70" s="30">
        <f t="shared" si="80"/>
        <v>36.043914249999993</v>
      </c>
      <c r="M70" s="88">
        <v>1.0470999999999999</v>
      </c>
      <c r="S70" t="s">
        <v>173</v>
      </c>
      <c r="T70">
        <v>15046</v>
      </c>
    </row>
    <row r="71" spans="1:20" ht="18" x14ac:dyDescent="0.25">
      <c r="A71" s="13">
        <v>51</v>
      </c>
      <c r="B71" s="13" t="s">
        <v>54</v>
      </c>
      <c r="C71" s="13" t="s">
        <v>100</v>
      </c>
      <c r="D71" s="84" t="s">
        <v>264</v>
      </c>
      <c r="E71" s="83" t="s">
        <v>278</v>
      </c>
      <c r="F71" s="30">
        <f>24.25+0.79</f>
        <v>25.04</v>
      </c>
      <c r="G71" s="30">
        <f>$F$5*(0.0123+0.0013+0.0039)</f>
        <v>13.125000000000002</v>
      </c>
      <c r="H71" s="30">
        <f t="shared" ref="H71" si="81">F71+G71</f>
        <v>38.164999999999999</v>
      </c>
      <c r="I71" s="14" t="s">
        <v>102</v>
      </c>
      <c r="J71" s="30">
        <f>(0.0059+0.0027)*$F$5*M71</f>
        <v>6.9098850000000001</v>
      </c>
      <c r="K71" s="30">
        <f t="shared" si="59"/>
        <v>5.9565802499999903</v>
      </c>
      <c r="L71" s="30">
        <f t="shared" ref="L71" si="82">H71+J71+K71</f>
        <v>51.031465249999989</v>
      </c>
      <c r="M71" s="88">
        <v>1.0712999999999999</v>
      </c>
      <c r="S71" t="s">
        <v>174</v>
      </c>
      <c r="T71">
        <v>45319</v>
      </c>
    </row>
    <row r="72" spans="1:20" ht="18" x14ac:dyDescent="0.25">
      <c r="A72" s="11">
        <v>52</v>
      </c>
      <c r="B72" s="11" t="s">
        <v>111</v>
      </c>
      <c r="C72" s="11" t="s">
        <v>98</v>
      </c>
      <c r="D72" s="103" t="s">
        <v>264</v>
      </c>
      <c r="E72" s="104" t="s">
        <v>299</v>
      </c>
      <c r="F72" s="17">
        <f>18.22+0.77+0.79</f>
        <v>19.779999999999998</v>
      </c>
      <c r="G72" s="17">
        <f>$F$5*(0.0121+0.0004)</f>
        <v>9.375</v>
      </c>
      <c r="H72" s="17">
        <f t="shared" ref="H72:H73" si="83">F72+G72</f>
        <v>29.154999999999998</v>
      </c>
      <c r="I72" s="14" t="s">
        <v>102</v>
      </c>
      <c r="J72" s="17">
        <f>(0.0081+0.0055)*$F$5*M72</f>
        <v>10.58352</v>
      </c>
      <c r="K72" s="17">
        <f t="shared" si="59"/>
        <v>3.141198000000005</v>
      </c>
      <c r="L72" s="17">
        <f t="shared" ref="L72:L73" si="84">H72+J72+K72</f>
        <v>42.879717999999997</v>
      </c>
      <c r="M72" s="98">
        <v>1.0376000000000001</v>
      </c>
      <c r="S72" t="s">
        <v>175</v>
      </c>
      <c r="T72">
        <v>6191</v>
      </c>
    </row>
    <row r="73" spans="1:20" ht="18" x14ac:dyDescent="0.25">
      <c r="A73" s="13">
        <v>53</v>
      </c>
      <c r="B73" s="13" t="s">
        <v>112</v>
      </c>
      <c r="C73" s="13" t="s">
        <v>100</v>
      </c>
      <c r="D73" s="84" t="s">
        <v>264</v>
      </c>
      <c r="E73" s="83" t="s">
        <v>278</v>
      </c>
      <c r="F73" s="30">
        <f>18.19+0.17+0.79</f>
        <v>19.150000000000002</v>
      </c>
      <c r="G73" s="30">
        <f>$F$5*(0.0102+0.0017+0.0007-0.0007-0.0014)</f>
        <v>7.8750000000000009</v>
      </c>
      <c r="H73" s="30">
        <f t="shared" si="83"/>
        <v>27.025000000000002</v>
      </c>
      <c r="I73" s="14" t="s">
        <v>102</v>
      </c>
      <c r="J73" s="30">
        <f>(0.0068+0.0037)*$F$5*M73</f>
        <v>8.2537874999999996</v>
      </c>
      <c r="K73" s="30">
        <f t="shared" si="59"/>
        <v>4.0183942500000054</v>
      </c>
      <c r="L73" s="30">
        <f t="shared" si="84"/>
        <v>39.297181750000007</v>
      </c>
      <c r="M73" s="88">
        <v>1.0481</v>
      </c>
      <c r="S73" t="s">
        <v>176</v>
      </c>
      <c r="T73">
        <v>661959</v>
      </c>
    </row>
    <row r="74" spans="1:20" ht="18" x14ac:dyDescent="0.25">
      <c r="A74" s="13">
        <v>54</v>
      </c>
      <c r="B74" s="13" t="s">
        <v>55</v>
      </c>
      <c r="C74" s="13" t="s">
        <v>100</v>
      </c>
      <c r="D74" s="84" t="s">
        <v>264</v>
      </c>
      <c r="E74" s="83" t="s">
        <v>278</v>
      </c>
      <c r="F74" s="30">
        <f>17.68+2.56-3.63-0.08+0.79</f>
        <v>17.32</v>
      </c>
      <c r="G74" s="30">
        <f>$F$5*(0.0127+0.0006+0.0013-0.0028)</f>
        <v>8.8499999999999979</v>
      </c>
      <c r="H74" s="30">
        <f t="shared" ref="H74" si="85">F74+G74</f>
        <v>26.169999999999998</v>
      </c>
      <c r="I74" s="14" t="s">
        <v>102</v>
      </c>
      <c r="J74" s="30">
        <f>(0.0054+0.0041)*$F$5*M74</f>
        <v>7.5247125000000015</v>
      </c>
      <c r="K74" s="30">
        <f t="shared" si="59"/>
        <v>4.6867342500000051</v>
      </c>
      <c r="L74" s="30">
        <f t="shared" ref="L74:L75" si="86">H74+J74+K74</f>
        <v>38.381446750000009</v>
      </c>
      <c r="M74" s="88">
        <v>1.0561</v>
      </c>
      <c r="S74" t="s">
        <v>177</v>
      </c>
      <c r="T74">
        <v>107574</v>
      </c>
    </row>
    <row r="75" spans="1:20" ht="18" x14ac:dyDescent="0.25">
      <c r="A75" s="13">
        <v>55</v>
      </c>
      <c r="B75" s="13" t="s">
        <v>56</v>
      </c>
      <c r="C75" s="27" t="s">
        <v>201</v>
      </c>
      <c r="D75" s="82" t="s">
        <v>261</v>
      </c>
      <c r="E75" s="83" t="s">
        <v>278</v>
      </c>
      <c r="F75" s="30">
        <f>11.21+0.79+0.06+0.6</f>
        <v>12.66</v>
      </c>
      <c r="G75" s="30">
        <f>$F$5*(0.0142+0.0013+0.0006)</f>
        <v>12.074999999999999</v>
      </c>
      <c r="H75" s="30">
        <f t="shared" ref="H75" si="87">F75+G75</f>
        <v>24.734999999999999</v>
      </c>
      <c r="I75" s="10" t="s">
        <v>101</v>
      </c>
      <c r="J75" s="30">
        <f>(0.0078+0.0062)*$F$5*M75</f>
        <v>11.010299999999997</v>
      </c>
      <c r="K75" s="30">
        <f t="shared" si="59"/>
        <v>4.0601654999999921</v>
      </c>
      <c r="L75" s="30">
        <f t="shared" si="86"/>
        <v>39.80546549999999</v>
      </c>
      <c r="M75" s="88">
        <v>1.0486</v>
      </c>
      <c r="S75" t="s">
        <v>178</v>
      </c>
      <c r="T75">
        <v>12165</v>
      </c>
    </row>
    <row r="76" spans="1:20" ht="18" x14ac:dyDescent="0.25">
      <c r="A76" s="13">
        <v>56</v>
      </c>
      <c r="B76" s="13" t="s">
        <v>57</v>
      </c>
      <c r="C76" s="13" t="s">
        <v>92</v>
      </c>
      <c r="D76" s="84" t="s">
        <v>264</v>
      </c>
      <c r="E76" s="83" t="s">
        <v>278</v>
      </c>
      <c r="F76" s="30">
        <f>14.02+0.32+1.68+0.07+0.79+0.11</f>
        <v>16.989999999999998</v>
      </c>
      <c r="G76" s="30">
        <f>$F$5*(0.0129+0.0008-0.0008-0.0027-0.0004+0.0003)</f>
        <v>7.5750000000000011</v>
      </c>
      <c r="H76" s="30">
        <f t="shared" ref="H76" si="88">F76+G76</f>
        <v>24.564999999999998</v>
      </c>
      <c r="I76" s="14" t="s">
        <v>102</v>
      </c>
      <c r="J76" s="30">
        <f>(0.0059+0.0045)*$F$5*M76</f>
        <v>8.1564600000000009</v>
      </c>
      <c r="K76" s="30">
        <f t="shared" si="59"/>
        <v>3.8178922500000101</v>
      </c>
      <c r="L76" s="30">
        <f t="shared" ref="L76" si="89">H76+J76+K76</f>
        <v>36.539352250000007</v>
      </c>
      <c r="M76" s="88">
        <v>1.0457000000000001</v>
      </c>
      <c r="S76" t="s">
        <v>179</v>
      </c>
      <c r="T76">
        <v>48409</v>
      </c>
    </row>
    <row r="77" spans="1:20" ht="18" x14ac:dyDescent="0.25">
      <c r="A77" s="13">
        <v>57</v>
      </c>
      <c r="B77" s="27" t="s">
        <v>58</v>
      </c>
      <c r="C77" s="13" t="s">
        <v>98</v>
      </c>
      <c r="D77" s="84" t="s">
        <v>261</v>
      </c>
      <c r="E77" s="83" t="s">
        <v>278</v>
      </c>
      <c r="F77" s="30">
        <f>26.52+4.11+0.79</f>
        <v>31.419999999999998</v>
      </c>
      <c r="G77" s="30">
        <f>$F$5*(0.0146+0.0011)</f>
        <v>11.774999999999999</v>
      </c>
      <c r="H77" s="30">
        <f t="shared" ref="H77" si="90">F77+G77</f>
        <v>43.194999999999993</v>
      </c>
      <c r="I77" s="14" t="s">
        <v>102</v>
      </c>
      <c r="J77" s="30">
        <f>(0.0043+0.0033)*$F$5*M77</f>
        <v>6.16113</v>
      </c>
      <c r="K77" s="30">
        <f t="shared" si="59"/>
        <v>6.7585882499999954</v>
      </c>
      <c r="L77" s="30">
        <f t="shared" ref="L77" si="91">H77+J77+K77</f>
        <v>56.114718249999989</v>
      </c>
      <c r="M77" s="88">
        <v>1.0809</v>
      </c>
      <c r="T77">
        <v>20549</v>
      </c>
    </row>
    <row r="78" spans="1:20" ht="18" x14ac:dyDescent="0.25">
      <c r="A78" s="13">
        <v>58</v>
      </c>
      <c r="B78" s="13" t="s">
        <v>59</v>
      </c>
      <c r="C78" s="13" t="s">
        <v>100</v>
      </c>
      <c r="D78" s="84" t="s">
        <v>264</v>
      </c>
      <c r="E78" s="83" t="s">
        <v>278</v>
      </c>
      <c r="F78" s="30">
        <f>15.2+0.79+0.05</f>
        <v>16.04</v>
      </c>
      <c r="G78" s="30">
        <f>$F$5*(0.0094+0.001+0.0016-0.0002)</f>
        <v>8.85</v>
      </c>
      <c r="H78" s="30">
        <f t="shared" ref="H78" si="92">F78+G78</f>
        <v>24.89</v>
      </c>
      <c r="I78" s="10" t="s">
        <v>101</v>
      </c>
      <c r="J78" s="30">
        <f>(0.007+0.0052)*$F$5*M78</f>
        <v>9.6514199999999981</v>
      </c>
      <c r="K78" s="30">
        <f t="shared" si="59"/>
        <v>4.5781290000000023</v>
      </c>
      <c r="L78" s="30">
        <f t="shared" ref="L78" si="93">H78+J78+K78</f>
        <v>39.119549000000006</v>
      </c>
      <c r="M78" s="88">
        <v>1.0548</v>
      </c>
      <c r="S78" t="s">
        <v>180</v>
      </c>
      <c r="T78">
        <v>3213</v>
      </c>
    </row>
    <row r="79" spans="1:20" ht="17.45" x14ac:dyDescent="0.3">
      <c r="A79" s="19">
        <v>59</v>
      </c>
      <c r="B79" s="19" t="s">
        <v>60</v>
      </c>
      <c r="C79" s="19" t="s">
        <v>118</v>
      </c>
      <c r="D79" s="114" t="s">
        <v>261</v>
      </c>
      <c r="E79" s="86"/>
      <c r="F79" s="18"/>
      <c r="G79" s="18"/>
      <c r="H79" s="18"/>
      <c r="I79" s="115"/>
      <c r="J79" s="18"/>
      <c r="K79" s="18"/>
      <c r="L79" s="18"/>
      <c r="M79" s="116"/>
      <c r="S79" t="s">
        <v>181</v>
      </c>
      <c r="T79">
        <v>3273</v>
      </c>
    </row>
    <row r="80" spans="1:20" ht="18" x14ac:dyDescent="0.25">
      <c r="A80" s="13">
        <v>60</v>
      </c>
      <c r="B80" s="13" t="s">
        <v>61</v>
      </c>
      <c r="C80" s="13" t="s">
        <v>319</v>
      </c>
      <c r="D80" s="83"/>
      <c r="E80" s="83" t="s">
        <v>278</v>
      </c>
      <c r="F80" s="30">
        <f>12.9+0.2+1.33-0.04-0.1+0.06+0.12+0.79+0.07</f>
        <v>15.330000000000002</v>
      </c>
      <c r="G80" s="30">
        <f>$F$5*(0.0143+0.0003+0.0003-0.0003+0.0001)</f>
        <v>11.025</v>
      </c>
      <c r="H80" s="30">
        <f t="shared" ref="H80" si="94">F80+G80</f>
        <v>26.355000000000004</v>
      </c>
      <c r="I80" s="14" t="s">
        <v>102</v>
      </c>
      <c r="J80" s="30">
        <f>(0.008+0.0035)*$F$5*M80</f>
        <v>8.9225624999999997</v>
      </c>
      <c r="K80" s="30">
        <f>(M80*$F$5-$F$5)*$O$5</f>
        <v>2.8822162499999999</v>
      </c>
      <c r="L80" s="30">
        <f t="shared" ref="L80" si="95">H80+J80+K80</f>
        <v>38.159778750000001</v>
      </c>
      <c r="M80" s="88">
        <v>1.0345</v>
      </c>
      <c r="T80">
        <v>20060</v>
      </c>
    </row>
    <row r="81" spans="1:20" ht="18" x14ac:dyDescent="0.25">
      <c r="A81" s="13">
        <v>61</v>
      </c>
      <c r="B81" s="13" t="s">
        <v>62</v>
      </c>
      <c r="C81" s="13" t="s">
        <v>100</v>
      </c>
      <c r="D81" s="84" t="s">
        <v>264</v>
      </c>
      <c r="E81" s="83" t="s">
        <v>278</v>
      </c>
      <c r="F81" s="30">
        <f>13.23+0.79+0.05</f>
        <v>14.07</v>
      </c>
      <c r="G81" s="30">
        <f>$F$5*(0.0137+0.0002)</f>
        <v>10.425000000000001</v>
      </c>
      <c r="H81" s="30">
        <f t="shared" ref="H81" si="96">F81+G81</f>
        <v>24.495000000000001</v>
      </c>
      <c r="I81" s="14" t="s">
        <v>102</v>
      </c>
      <c r="J81" s="30">
        <f>(0.0061+0)*$F$5*M81</f>
        <v>4.7987174999999995</v>
      </c>
      <c r="K81" s="30">
        <f>(M81*$F$5-$F$5)*$O$5</f>
        <v>4.0852282499999948</v>
      </c>
      <c r="L81" s="30">
        <f t="shared" ref="L81" si="97">H81+J81+K81</f>
        <v>33.378945749999993</v>
      </c>
      <c r="M81" s="88">
        <v>1.0488999999999999</v>
      </c>
      <c r="S81" t="s">
        <v>182</v>
      </c>
      <c r="T81">
        <v>38963</v>
      </c>
    </row>
    <row r="82" spans="1:20" ht="17.45" x14ac:dyDescent="0.3">
      <c r="A82">
        <v>62</v>
      </c>
      <c r="B82" t="s">
        <v>63</v>
      </c>
      <c r="C82" s="12" t="s">
        <v>92</v>
      </c>
      <c r="D82" s="80" t="s">
        <v>264</v>
      </c>
      <c r="E82" s="79"/>
      <c r="F82" s="22"/>
      <c r="G82" s="22"/>
      <c r="H82" s="22"/>
      <c r="I82" s="23"/>
      <c r="J82" s="22"/>
      <c r="K82" s="22"/>
      <c r="L82" s="22"/>
      <c r="M82" s="24"/>
      <c r="S82" t="s">
        <v>183</v>
      </c>
      <c r="T82">
        <v>14299</v>
      </c>
    </row>
    <row r="83" spans="1:20" ht="17.45" x14ac:dyDescent="0.3">
      <c r="A83">
        <v>63</v>
      </c>
      <c r="B83" t="s">
        <v>64</v>
      </c>
      <c r="C83" s="12" t="s">
        <v>92</v>
      </c>
      <c r="D83" s="80" t="s">
        <v>264</v>
      </c>
      <c r="E83" s="79"/>
      <c r="F83" s="22"/>
      <c r="G83" s="22"/>
      <c r="H83" s="22"/>
      <c r="I83" s="23"/>
      <c r="J83" s="22"/>
      <c r="K83" s="22"/>
      <c r="L83" s="22"/>
      <c r="M83" s="24"/>
      <c r="S83" t="s">
        <v>184</v>
      </c>
    </row>
    <row r="84" spans="1:20" ht="18" x14ac:dyDescent="0.25">
      <c r="A84" s="13">
        <v>64</v>
      </c>
      <c r="B84" s="13" t="s">
        <v>65</v>
      </c>
      <c r="C84" s="13" t="s">
        <v>100</v>
      </c>
      <c r="D84" s="84" t="s">
        <v>264</v>
      </c>
      <c r="E84" s="83" t="s">
        <v>278</v>
      </c>
      <c r="F84" s="30">
        <f>31.23+0.79</f>
        <v>32.020000000000003</v>
      </c>
      <c r="G84" s="30">
        <f>$F$5*(0.0089+0.0037-0.0032)</f>
        <v>7.0500000000000007</v>
      </c>
      <c r="H84" s="30">
        <f t="shared" ref="H84" si="98">F84+G84</f>
        <v>39.070000000000007</v>
      </c>
      <c r="I84" s="14" t="s">
        <v>102</v>
      </c>
      <c r="J84" s="30">
        <f>(0.0068+0.0017)*$F$5*M84</f>
        <v>6.9468374999999982</v>
      </c>
      <c r="K84" s="30">
        <f t="shared" ref="K84:K97" si="99">(M84*$F$5-$F$5)*$O$5</f>
        <v>7.4937622499999854</v>
      </c>
      <c r="L84" s="30">
        <f t="shared" ref="L84" si="100">H84+J84+K84</f>
        <v>53.510599749999997</v>
      </c>
      <c r="M84" s="88">
        <v>1.0896999999999999</v>
      </c>
      <c r="S84" t="s">
        <v>185</v>
      </c>
    </row>
    <row r="85" spans="1:20" ht="18" x14ac:dyDescent="0.25">
      <c r="A85" s="13">
        <v>65</v>
      </c>
      <c r="B85" s="13" t="s">
        <v>66</v>
      </c>
      <c r="C85" s="13" t="s">
        <v>100</v>
      </c>
      <c r="D85" s="84" t="s">
        <v>261</v>
      </c>
      <c r="E85" s="83" t="s">
        <v>278</v>
      </c>
      <c r="F85" s="30">
        <f>17.31+0.79+0.37</f>
        <v>18.47</v>
      </c>
      <c r="G85" s="30">
        <f>$F$5*(0.0128-0.0037)</f>
        <v>6.8250000000000002</v>
      </c>
      <c r="H85" s="30">
        <f t="shared" ref="H85" si="101">F85+G85</f>
        <v>25.294999999999998</v>
      </c>
      <c r="I85" s="14" t="s">
        <v>102</v>
      </c>
      <c r="J85" s="30">
        <f>(0.0074+0.0058)*$F$5*M85</f>
        <v>10.289069999999999</v>
      </c>
      <c r="K85" s="30">
        <f t="shared" si="99"/>
        <v>3.2832202499999901</v>
      </c>
      <c r="L85" s="30">
        <f t="shared" ref="L85" si="102">H85+J85+K85</f>
        <v>38.867290249999989</v>
      </c>
      <c r="M85" s="88">
        <v>1.0392999999999999</v>
      </c>
      <c r="S85" t="s">
        <v>186</v>
      </c>
    </row>
    <row r="86" spans="1:20" ht="18" x14ac:dyDescent="0.25">
      <c r="A86" s="13">
        <v>66</v>
      </c>
      <c r="B86" s="13" t="s">
        <v>67</v>
      </c>
      <c r="C86" s="13" t="s">
        <v>100</v>
      </c>
      <c r="D86" s="84" t="s">
        <v>264</v>
      </c>
      <c r="E86" s="83" t="s">
        <v>278</v>
      </c>
      <c r="F86" s="30">
        <f>15.24+0.79</f>
        <v>16.03</v>
      </c>
      <c r="G86" s="30">
        <f>$F$5*(0.0097-0.001)</f>
        <v>6.5249999999999995</v>
      </c>
      <c r="H86" s="30">
        <f t="shared" ref="H86" si="103">F86+G86</f>
        <v>22.555</v>
      </c>
      <c r="I86" s="10" t="s">
        <v>101</v>
      </c>
      <c r="J86" s="30">
        <f>(0.0061+0.0046)*$F$5*M86</f>
        <v>8.299455</v>
      </c>
      <c r="K86" s="30">
        <f t="shared" si="99"/>
        <v>2.8571534999999977</v>
      </c>
      <c r="L86" s="30">
        <f t="shared" ref="L86" si="104">H86+J86+K86</f>
        <v>33.711608499999997</v>
      </c>
      <c r="M86" s="88">
        <v>1.0342</v>
      </c>
      <c r="S86" t="s">
        <v>187</v>
      </c>
    </row>
    <row r="87" spans="1:20" ht="18" x14ac:dyDescent="0.25">
      <c r="A87" s="13">
        <v>67</v>
      </c>
      <c r="B87" s="13" t="s">
        <v>68</v>
      </c>
      <c r="C87" s="13" t="s">
        <v>98</v>
      </c>
      <c r="D87" s="84" t="s">
        <v>264</v>
      </c>
      <c r="E87" s="83" t="s">
        <v>278</v>
      </c>
      <c r="F87" s="30">
        <f>13.8+0.79</f>
        <v>14.59</v>
      </c>
      <c r="G87" s="30">
        <f>$F$5*(0.0197+0.0014)</f>
        <v>15.824999999999998</v>
      </c>
      <c r="H87" s="30">
        <f t="shared" ref="H87" si="105">F87+G87</f>
        <v>30.414999999999999</v>
      </c>
      <c r="I87" s="14" t="s">
        <v>102</v>
      </c>
      <c r="J87" s="30">
        <f>(0.0069+0.0056)*$F$5*M87</f>
        <v>9.6871875000000003</v>
      </c>
      <c r="K87" s="30">
        <f t="shared" si="99"/>
        <v>2.7819652500000154</v>
      </c>
      <c r="L87" s="30">
        <f t="shared" ref="L87" si="106">H87+J87+K87</f>
        <v>42.884152750000013</v>
      </c>
      <c r="M87" s="88">
        <v>1.0333000000000001</v>
      </c>
      <c r="S87" t="s">
        <v>188</v>
      </c>
    </row>
    <row r="88" spans="1:20" ht="18" x14ac:dyDescent="0.25">
      <c r="A88" s="13">
        <v>68</v>
      </c>
      <c r="B88" s="13" t="s">
        <v>69</v>
      </c>
      <c r="C88" s="13" t="s">
        <v>118</v>
      </c>
      <c r="D88" s="84" t="s">
        <v>261</v>
      </c>
      <c r="E88" s="83" t="s">
        <v>278</v>
      </c>
      <c r="F88" s="30">
        <f>22.78+0.08+0.78+0.06+0.28-0.17-0.08-0.03-0.48-1.48+0.1+0.03+0.46+0.88+0.28</f>
        <v>23.490000000000002</v>
      </c>
      <c r="G88" s="30">
        <f>$F$5*(0.0188+0.00006-0.00009)</f>
        <v>14.077500000000002</v>
      </c>
      <c r="H88" s="30">
        <f t="shared" ref="H88" si="107">F88+G88</f>
        <v>37.567500000000003</v>
      </c>
      <c r="I88" s="14" t="s">
        <v>102</v>
      </c>
      <c r="J88" s="30">
        <f>(0.00914+0.00786)*$F$5*M88</f>
        <v>13.229400000000004</v>
      </c>
      <c r="K88" s="30">
        <f t="shared" si="99"/>
        <v>3.141198000000005</v>
      </c>
      <c r="L88" s="30">
        <f t="shared" ref="L88" si="108">H88+J88+K88</f>
        <v>53.938098000000011</v>
      </c>
      <c r="M88" s="88">
        <v>1.0376000000000001</v>
      </c>
      <c r="S88" t="s">
        <v>189</v>
      </c>
    </row>
    <row r="89" spans="1:20" ht="18" x14ac:dyDescent="0.25">
      <c r="A89" s="13">
        <v>69</v>
      </c>
      <c r="B89" s="13" t="s">
        <v>113</v>
      </c>
      <c r="C89" s="13" t="s">
        <v>100</v>
      </c>
      <c r="D89" s="84" t="s">
        <v>264</v>
      </c>
      <c r="E89" s="83" t="s">
        <v>278</v>
      </c>
      <c r="F89" s="30">
        <f>16.3+0.79</f>
        <v>17.09</v>
      </c>
      <c r="G89" s="30">
        <f>$F$5*(0.0123+0.001)</f>
        <v>9.9749999999999996</v>
      </c>
      <c r="H89" s="30">
        <f t="shared" ref="H89" si="109">F89+G89</f>
        <v>27.064999999999998</v>
      </c>
      <c r="I89" s="14" t="s">
        <v>102</v>
      </c>
      <c r="J89" s="30">
        <f>(0.0068+0.0047)*$F$5*M89</f>
        <v>9.0407250000000001</v>
      </c>
      <c r="K89" s="30">
        <f t="shared" si="99"/>
        <v>4.0267484999999974</v>
      </c>
      <c r="L89" s="30">
        <f t="shared" ref="L89" si="110">H89+J89+K89</f>
        <v>40.132473499999996</v>
      </c>
      <c r="M89" s="88">
        <v>1.0482</v>
      </c>
      <c r="S89" t="s">
        <v>190</v>
      </c>
    </row>
    <row r="90" spans="1:20" ht="18" x14ac:dyDescent="0.25">
      <c r="A90" s="13">
        <v>70</v>
      </c>
      <c r="B90" s="13" t="s">
        <v>70</v>
      </c>
      <c r="C90" s="13" t="s">
        <v>92</v>
      </c>
      <c r="D90" s="84" t="s">
        <v>264</v>
      </c>
      <c r="E90" s="83" t="s">
        <v>278</v>
      </c>
      <c r="F90" s="30">
        <f>14.91+0.79</f>
        <v>15.7</v>
      </c>
      <c r="G90" s="30">
        <f>$F$5*(0.0118+0.0024+0.0013-0.0023)</f>
        <v>9.9</v>
      </c>
      <c r="H90" s="30">
        <f t="shared" ref="H90" si="111">F90+G90</f>
        <v>25.6</v>
      </c>
      <c r="I90" s="14" t="s">
        <v>102</v>
      </c>
      <c r="J90" s="30">
        <f>(0.007+0.0054)*$F$5*M90</f>
        <v>10.045860000000001</v>
      </c>
      <c r="K90" s="30">
        <f t="shared" si="99"/>
        <v>6.7001085000000105</v>
      </c>
      <c r="L90" s="30">
        <f t="shared" ref="L90" si="112">H90+J90+K90</f>
        <v>42.345968500000012</v>
      </c>
      <c r="M90" s="88">
        <v>1.0802</v>
      </c>
      <c r="S90" t="s">
        <v>191</v>
      </c>
    </row>
    <row r="91" spans="1:20" ht="18" x14ac:dyDescent="0.25">
      <c r="A91" s="13">
        <v>71</v>
      </c>
      <c r="B91" s="13" t="s">
        <v>71</v>
      </c>
      <c r="C91" s="13" t="s">
        <v>92</v>
      </c>
      <c r="D91" s="84" t="s">
        <v>261</v>
      </c>
      <c r="E91" s="83" t="s">
        <v>278</v>
      </c>
      <c r="F91" s="30">
        <f>19.71+0.79+0.58</f>
        <v>21.08</v>
      </c>
      <c r="G91" s="30">
        <f>$F$5*(0.0154+0.0002-0.0014+0.0016-0.0016+0.0002-0.0001)</f>
        <v>10.725000000000001</v>
      </c>
      <c r="H91" s="30">
        <f t="shared" ref="H91" si="113">F91+G91</f>
        <v>31.805</v>
      </c>
      <c r="I91" s="14" t="s">
        <v>102</v>
      </c>
      <c r="J91" s="30">
        <f>(0.0074+0.0023)*$F$5*M91</f>
        <v>7.5383550000000001</v>
      </c>
      <c r="K91" s="30">
        <f t="shared" si="99"/>
        <v>3.0242384999999974</v>
      </c>
      <c r="L91" s="30">
        <f t="shared" ref="L91" si="114">H91+J91+K91</f>
        <v>42.367593499999998</v>
      </c>
      <c r="M91" s="88">
        <v>1.0362</v>
      </c>
      <c r="S91" t="s">
        <v>192</v>
      </c>
    </row>
    <row r="92" spans="1:20" ht="18" x14ac:dyDescent="0.25">
      <c r="A92" s="13">
        <v>72</v>
      </c>
      <c r="B92" s="13" t="s">
        <v>72</v>
      </c>
      <c r="C92" s="13" t="s">
        <v>100</v>
      </c>
      <c r="D92" s="84" t="s">
        <v>264</v>
      </c>
      <c r="E92" s="83" t="s">
        <v>278</v>
      </c>
      <c r="F92" s="30">
        <f>18.76+0.45+0.05+0.79</f>
        <v>20.05</v>
      </c>
      <c r="G92" s="30">
        <f>$F$5*(0.0105-0.0019)</f>
        <v>6.45</v>
      </c>
      <c r="H92" s="30">
        <f t="shared" ref="H92" si="115">F92+G92</f>
        <v>26.5</v>
      </c>
      <c r="I92" s="14" t="s">
        <v>102</v>
      </c>
      <c r="J92" s="30">
        <f>(0.0078+0.0061)*$F$5*M92</f>
        <v>10.979609999999997</v>
      </c>
      <c r="K92" s="30">
        <f t="shared" si="99"/>
        <v>4.4444609999999978</v>
      </c>
      <c r="L92" s="30">
        <f t="shared" ref="L92" si="116">H92+J92+K92</f>
        <v>41.924070999999991</v>
      </c>
      <c r="M92" s="88">
        <v>1.0531999999999999</v>
      </c>
      <c r="S92" t="s">
        <v>193</v>
      </c>
    </row>
    <row r="93" spans="1:20" ht="18" x14ac:dyDescent="0.25">
      <c r="A93" s="13">
        <v>73</v>
      </c>
      <c r="B93" s="13" t="s">
        <v>73</v>
      </c>
      <c r="C93" s="13" t="s">
        <v>92</v>
      </c>
      <c r="D93" s="84" t="s">
        <v>264</v>
      </c>
      <c r="E93" s="83" t="s">
        <v>278</v>
      </c>
      <c r="F93" s="30">
        <f>23.97+0.79+0.34</f>
        <v>25.099999999999998</v>
      </c>
      <c r="G93" s="30">
        <f>$F$5*(0.0153+0.0029+0.0003+0.0001)</f>
        <v>13.950000000000001</v>
      </c>
      <c r="H93" s="30">
        <f t="shared" ref="H93" si="117">F93+G93</f>
        <v>39.049999999999997</v>
      </c>
      <c r="I93" s="14" t="s">
        <v>102</v>
      </c>
      <c r="J93" s="30">
        <f>(0.0067+0.0045)*$F$5*M93</f>
        <v>8.9510400000000008</v>
      </c>
      <c r="K93" s="30">
        <f t="shared" si="99"/>
        <v>5.4803880000000049</v>
      </c>
      <c r="L93" s="30">
        <f t="shared" ref="L93" si="118">H93+J93+K93</f>
        <v>53.481428000000001</v>
      </c>
      <c r="M93" s="88">
        <v>1.0656000000000001</v>
      </c>
      <c r="S93" t="s">
        <v>194</v>
      </c>
    </row>
    <row r="94" spans="1:20" ht="18" x14ac:dyDescent="0.25">
      <c r="A94" s="13">
        <v>74</v>
      </c>
      <c r="B94" s="13" t="s">
        <v>74</v>
      </c>
      <c r="C94" s="13" t="s">
        <v>100</v>
      </c>
      <c r="D94" s="84" t="s">
        <v>264</v>
      </c>
      <c r="E94" s="83" t="s">
        <v>278</v>
      </c>
      <c r="F94" s="30">
        <f>21.6+0.8+1.17+0.79</f>
        <v>24.36</v>
      </c>
      <c r="G94" s="30">
        <f>$F$5*(0.0173+0.0004-0.002)</f>
        <v>11.774999999999999</v>
      </c>
      <c r="H94" s="30">
        <f t="shared" ref="H94" si="119">F94+G94</f>
        <v>36.134999999999998</v>
      </c>
      <c r="I94" s="14" t="s">
        <v>102</v>
      </c>
      <c r="J94" s="30">
        <f>(0.0069+0.0058)*$F$5*M94</f>
        <v>9.9698174999999996</v>
      </c>
      <c r="K94" s="30">
        <f t="shared" si="99"/>
        <v>3.9014347499999977</v>
      </c>
      <c r="L94" s="30">
        <f t="shared" ref="L94" si="120">H94+J94+K94</f>
        <v>50.006252249999996</v>
      </c>
      <c r="M94" s="88">
        <v>1.0467</v>
      </c>
      <c r="S94" t="s">
        <v>195</v>
      </c>
    </row>
    <row r="95" spans="1:20" ht="18" x14ac:dyDescent="0.25">
      <c r="A95" s="13">
        <v>75</v>
      </c>
      <c r="B95" s="13" t="s">
        <v>75</v>
      </c>
      <c r="C95" s="13" t="s">
        <v>100</v>
      </c>
      <c r="D95" s="84" t="s">
        <v>264</v>
      </c>
      <c r="E95" s="83" t="s">
        <v>278</v>
      </c>
      <c r="F95" s="30">
        <f>16.31+0.19+0.79</f>
        <v>17.29</v>
      </c>
      <c r="G95" s="30">
        <f>$F$5*(0.0121+0.0018+0.0045)</f>
        <v>13.799999999999999</v>
      </c>
      <c r="H95" s="30">
        <f t="shared" ref="H95" si="121">F95+G95</f>
        <v>31.089999999999996</v>
      </c>
      <c r="I95" s="14" t="s">
        <v>102</v>
      </c>
      <c r="J95" s="30">
        <f>(0.0064+0.0045)*$F$5*M95</f>
        <v>8.7472500000000011</v>
      </c>
      <c r="K95" s="30">
        <f t="shared" si="99"/>
        <v>5.8479749999999999</v>
      </c>
      <c r="L95" s="30">
        <f t="shared" ref="L95" si="122">H95+J95+K95</f>
        <v>45.685224999999996</v>
      </c>
      <c r="M95" s="88">
        <v>1.07</v>
      </c>
      <c r="S95" t="s">
        <v>196</v>
      </c>
    </row>
    <row r="96" spans="1:20" ht="18" x14ac:dyDescent="0.25">
      <c r="A96" s="13">
        <v>76</v>
      </c>
      <c r="B96" s="13" t="s">
        <v>76</v>
      </c>
      <c r="C96" s="13" t="s">
        <v>98</v>
      </c>
      <c r="D96" s="84" t="s">
        <v>261</v>
      </c>
      <c r="E96" s="83" t="s">
        <v>278</v>
      </c>
      <c r="F96" s="30">
        <f>21.2-1.9+2.2+0.79</f>
        <v>22.29</v>
      </c>
      <c r="G96" s="30">
        <f>$F$5*(0.0113+0.0006-0.0008)</f>
        <v>8.3249999999999993</v>
      </c>
      <c r="H96" s="30">
        <f t="shared" ref="H96:H97" si="123">F96+G96</f>
        <v>30.614999999999998</v>
      </c>
      <c r="I96" s="14" t="s">
        <v>102</v>
      </c>
      <c r="J96" s="30">
        <f>(0.0081+0.0063)*$F$5*M96</f>
        <v>11.290319999999999</v>
      </c>
      <c r="K96" s="30">
        <f t="shared" si="99"/>
        <v>3.7928295000000078</v>
      </c>
      <c r="L96" s="30">
        <f t="shared" ref="L96" si="124">H96+J96+K96</f>
        <v>45.698149500000007</v>
      </c>
      <c r="M96" s="88">
        <v>1.0454000000000001</v>
      </c>
      <c r="S96" t="s">
        <v>197</v>
      </c>
    </row>
    <row r="97" spans="1:19" ht="18" x14ac:dyDescent="0.25">
      <c r="A97" s="13">
        <v>77</v>
      </c>
      <c r="B97" s="13" t="s">
        <v>77</v>
      </c>
      <c r="C97" s="19" t="s">
        <v>280</v>
      </c>
      <c r="D97" s="84" t="s">
        <v>261</v>
      </c>
      <c r="E97" s="83" t="s">
        <v>278</v>
      </c>
      <c r="F97" s="30">
        <f>16.38-0.16+0.79+0.64</f>
        <v>17.649999999999999</v>
      </c>
      <c r="G97" s="30">
        <f>$F$5*(0.0178-0.0002+0.0008)</f>
        <v>13.799999999999999</v>
      </c>
      <c r="H97" s="30">
        <f t="shared" si="123"/>
        <v>31.449999999999996</v>
      </c>
      <c r="I97" s="10" t="s">
        <v>101</v>
      </c>
      <c r="J97" s="30">
        <f>(0.0075+0.0054)*$F$5*M97</f>
        <v>10.0919925</v>
      </c>
      <c r="K97" s="30">
        <f t="shared" si="99"/>
        <v>3.6006817499999926</v>
      </c>
      <c r="L97" s="30">
        <f t="shared" ref="L97" si="125">H97+J97+K97</f>
        <v>45.142674249999985</v>
      </c>
      <c r="M97" s="88">
        <v>1.0430999999999999</v>
      </c>
      <c r="S97" t="s">
        <v>198</v>
      </c>
    </row>
    <row r="98" spans="1:19" x14ac:dyDescent="0.25">
      <c r="E98" s="12"/>
      <c r="F98" s="12"/>
      <c r="G98" s="12"/>
      <c r="H98" s="12"/>
      <c r="I98" s="12"/>
      <c r="J98" s="12"/>
      <c r="K98" s="12"/>
      <c r="L98" s="12"/>
      <c r="M98" s="12"/>
    </row>
    <row r="99" spans="1:19" x14ac:dyDescent="0.25">
      <c r="J99" s="4">
        <f>AVERAGE(J8:J97)</f>
        <v>9.0678882692307656</v>
      </c>
    </row>
    <row r="100" spans="1:19" x14ac:dyDescent="0.25">
      <c r="B100" s="3" t="s">
        <v>284</v>
      </c>
      <c r="D100">
        <f>COUNTA(D96,D85,D77,D66,D60,D56,D48,D47,D36,D22,D16,D13,D8)</f>
        <v>13</v>
      </c>
      <c r="J100" s="4">
        <f>MIN(J8:J97)</f>
        <v>4.7987174999999995</v>
      </c>
      <c r="N100" t="e">
        <f>AVERAGE(N8:N97)</f>
        <v>#DIV/0!</v>
      </c>
    </row>
    <row r="101" spans="1:19" x14ac:dyDescent="0.25">
      <c r="B101" s="3" t="s">
        <v>285</v>
      </c>
      <c r="D101">
        <f>COUNTA(D91, D41)</f>
        <v>2</v>
      </c>
      <c r="J101" s="4">
        <f>MAX(J8:J97)</f>
        <v>13.229400000000004</v>
      </c>
    </row>
    <row r="102" spans="1:19" x14ac:dyDescent="0.25">
      <c r="B102" s="3" t="s">
        <v>286</v>
      </c>
      <c r="D102">
        <f>COUNTA(D59)</f>
        <v>1</v>
      </c>
    </row>
    <row r="104" spans="1:19" x14ac:dyDescent="0.25">
      <c r="B104" s="3" t="s">
        <v>287</v>
      </c>
      <c r="D104">
        <f>SUM(D100:D102)</f>
        <v>16</v>
      </c>
    </row>
    <row r="108" spans="1:19" x14ac:dyDescent="0.25">
      <c r="B108" s="3" t="s">
        <v>289</v>
      </c>
    </row>
    <row r="109" spans="1:19" x14ac:dyDescent="0.25">
      <c r="B109" s="3" t="s">
        <v>287</v>
      </c>
      <c r="D109">
        <f>COUNTA(D97,D96,D91,D85,D79,D77,D69,D66,D60,D59,D56,D55,D48,D47,D45,D42,D41,D36,D22,D16,D13,D8)</f>
        <v>22</v>
      </c>
    </row>
    <row r="110" spans="1:19" x14ac:dyDescent="0.25">
      <c r="B110" s="3" t="s">
        <v>288</v>
      </c>
      <c r="D110">
        <f>COUNTA(D9,D11,D12,D14,D15,D19,D20,D21,D25,D26,D27,D31,D32,D35,D38,D39,D40,D42,D43,D46,D53,D58,D61,D63,D64,D65,D62,D67,D68,D70,D71,D72,D73,D74,D76,D78,D81,D82,D83,D84,D86,D87,D89,D90,D92,D93,D94,D95)</f>
        <v>48</v>
      </c>
    </row>
  </sheetData>
  <mergeCells count="1">
    <mergeCell ref="F6:H6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08"/>
  <sheetViews>
    <sheetView zoomScale="80" zoomScaleNormal="80" workbookViewId="0">
      <pane xSplit="4" ySplit="7" topLeftCell="E65" activePane="bottomRight" state="frozen"/>
      <selection pane="topRight" activeCell="D1" sqref="D1"/>
      <selection pane="bottomLeft" activeCell="A8" sqref="A8"/>
      <selection pane="bottomRight" activeCell="O79" sqref="O79"/>
    </sheetView>
  </sheetViews>
  <sheetFormatPr defaultRowHeight="15" x14ac:dyDescent="0.25"/>
  <cols>
    <col min="1" max="1" width="3.140625" customWidth="1"/>
    <col min="2" max="2" width="35.85546875" bestFit="1" customWidth="1"/>
    <col min="3" max="3" width="7.7109375" bestFit="1" customWidth="1"/>
    <col min="4" max="4" width="11.140625" bestFit="1" customWidth="1"/>
    <col min="5" max="5" width="13.85546875" bestFit="1" customWidth="1"/>
    <col min="6" max="6" width="8.42578125" bestFit="1" customWidth="1"/>
    <col min="7" max="7" width="9.5703125" bestFit="1" customWidth="1"/>
    <col min="8" max="8" width="4" customWidth="1"/>
    <col min="10" max="10" width="17.42578125" bestFit="1" customWidth="1"/>
    <col min="11" max="11" width="17.42578125" customWidth="1"/>
    <col min="12" max="12" width="17.42578125" bestFit="1" customWidth="1"/>
    <col min="14" max="14" width="9.7109375" bestFit="1" customWidth="1"/>
    <col min="15" max="15" width="9.7109375" customWidth="1"/>
    <col min="16" max="16" width="4" customWidth="1"/>
    <col min="18" max="18" width="9.140625" customWidth="1"/>
    <col min="21" max="21" width="46.28515625" bestFit="1" customWidth="1"/>
    <col min="22" max="22" width="13.28515625" bestFit="1" customWidth="1"/>
  </cols>
  <sheetData>
    <row r="1" spans="1:22" x14ac:dyDescent="0.25">
      <c r="R1" t="s">
        <v>85</v>
      </c>
    </row>
    <row r="2" spans="1:22" x14ac:dyDescent="0.25">
      <c r="R2" t="s">
        <v>86</v>
      </c>
      <c r="S2" s="8">
        <v>0.08</v>
      </c>
      <c r="T2" s="9">
        <v>0.64</v>
      </c>
    </row>
    <row r="3" spans="1:22" x14ac:dyDescent="0.25">
      <c r="B3" s="31">
        <v>42125</v>
      </c>
      <c r="R3" t="s">
        <v>87</v>
      </c>
      <c r="S3" s="8">
        <v>0.122</v>
      </c>
      <c r="T3" s="9">
        <v>0.18</v>
      </c>
    </row>
    <row r="4" spans="1:22" ht="21" x14ac:dyDescent="0.35">
      <c r="B4" s="1" t="s">
        <v>0</v>
      </c>
      <c r="H4" s="14" t="s">
        <v>102</v>
      </c>
      <c r="I4" s="13" t="s">
        <v>115</v>
      </c>
      <c r="J4" s="13"/>
      <c r="R4" t="s">
        <v>88</v>
      </c>
      <c r="S4" s="8">
        <v>0.161</v>
      </c>
      <c r="T4" s="9">
        <v>0.18</v>
      </c>
    </row>
    <row r="5" spans="1:22" x14ac:dyDescent="0.25">
      <c r="B5" t="str">
        <f>CONCATENATE("Residential @ ",E5,"kWh/month")</f>
        <v>Residential @ 750kWh/month</v>
      </c>
      <c r="E5" s="3">
        <v>750</v>
      </c>
      <c r="F5" t="s">
        <v>81</v>
      </c>
      <c r="R5" t="s">
        <v>89</v>
      </c>
      <c r="S5" s="8">
        <f>T2*S2+T3*S3+T4*S4</f>
        <v>0.10214000000000001</v>
      </c>
    </row>
    <row r="6" spans="1:22" ht="19.5" thickBot="1" x14ac:dyDescent="0.35">
      <c r="B6" s="2" t="s">
        <v>1</v>
      </c>
      <c r="E6" s="128"/>
      <c r="F6" s="128"/>
      <c r="G6" s="128"/>
    </row>
    <row r="7" spans="1:22" ht="18.75" x14ac:dyDescent="0.3">
      <c r="B7" s="2"/>
      <c r="E7" s="7" t="s">
        <v>78</v>
      </c>
      <c r="F7" s="7" t="s">
        <v>79</v>
      </c>
      <c r="G7" s="7" t="s">
        <v>80</v>
      </c>
      <c r="I7" s="3" t="s">
        <v>82</v>
      </c>
      <c r="J7" s="3" t="s">
        <v>90</v>
      </c>
      <c r="K7" s="3" t="s">
        <v>91</v>
      </c>
      <c r="L7" s="3" t="s">
        <v>84</v>
      </c>
      <c r="M7" s="3" t="s">
        <v>93</v>
      </c>
      <c r="N7" s="3" t="s">
        <v>94</v>
      </c>
      <c r="O7" s="3" t="s">
        <v>95</v>
      </c>
      <c r="Q7" s="5" t="s">
        <v>83</v>
      </c>
      <c r="V7" s="3" t="s">
        <v>127</v>
      </c>
    </row>
    <row r="8" spans="1:22" ht="18" x14ac:dyDescent="0.25">
      <c r="A8">
        <v>1</v>
      </c>
      <c r="B8" t="s">
        <v>2</v>
      </c>
      <c r="C8" t="s">
        <v>92</v>
      </c>
      <c r="D8" t="s">
        <v>97</v>
      </c>
      <c r="E8" s="4">
        <f>23.34+0.79+2.05</f>
        <v>26.18</v>
      </c>
      <c r="F8" s="4">
        <f>$E$5*(0.0328-0.0141+0.0002-0.0019)</f>
        <v>12.750000000000002</v>
      </c>
      <c r="G8" s="4">
        <f>E8+F8</f>
        <v>38.93</v>
      </c>
      <c r="H8" s="14" t="s">
        <v>102</v>
      </c>
      <c r="I8" s="4">
        <f>(0.0071+0.0053)*$E$5*Q8</f>
        <v>10.051440000000001</v>
      </c>
      <c r="J8" s="4">
        <f>(Q8*$E$5-$E$5)*$S$5</f>
        <v>6.1896840000000024</v>
      </c>
      <c r="K8" s="4">
        <f>G8+I8+J8</f>
        <v>55.171123999999999</v>
      </c>
      <c r="L8" s="4">
        <f>$E$5*Q8*(0.0044+0.0013)+0.25</f>
        <v>4.8704200000000002</v>
      </c>
      <c r="M8" s="4">
        <f>0.002*$E$5</f>
        <v>1.5</v>
      </c>
      <c r="N8" s="4">
        <f>$E$5*$S$5</f>
        <v>76.605000000000004</v>
      </c>
      <c r="O8" s="4">
        <f>K8+L8+M8+N8</f>
        <v>138.14654400000001</v>
      </c>
      <c r="Q8" s="6">
        <v>1.0808</v>
      </c>
      <c r="U8" t="s">
        <v>128</v>
      </c>
      <c r="V8" s="37">
        <v>11607</v>
      </c>
    </row>
    <row r="9" spans="1:22" ht="18" x14ac:dyDescent="0.25">
      <c r="A9">
        <v>2</v>
      </c>
      <c r="B9" t="s">
        <v>3</v>
      </c>
      <c r="C9" t="s">
        <v>100</v>
      </c>
      <c r="D9" t="s">
        <v>96</v>
      </c>
      <c r="E9" s="4">
        <f>34.98+0.48+2.79+0.39+1.06+0.79</f>
        <v>40.489999999999995</v>
      </c>
      <c r="F9" s="4">
        <f>$E$5*(0.0139+0.0009-0.0075)</f>
        <v>5.4749999999999996</v>
      </c>
      <c r="G9" s="4">
        <f>E9+F9</f>
        <v>45.964999999999996</v>
      </c>
      <c r="H9" s="14" t="s">
        <v>102</v>
      </c>
      <c r="I9" s="4">
        <f>(0.0067+0.0039)*$E$5*Q9</f>
        <v>8.5685100000000016</v>
      </c>
      <c r="J9" s="4">
        <f>(Q9*$E$5-$E$5)*$S$5</f>
        <v>5.959869000000003</v>
      </c>
      <c r="K9" s="4">
        <f>G9+I9+J9</f>
        <v>60.493379000000004</v>
      </c>
      <c r="L9" s="4">
        <f>$E$5*Q9*(0.0044+0.0013)+0.25</f>
        <v>4.8575949999999999</v>
      </c>
      <c r="M9" s="4">
        <f>0.007*$E$5</f>
        <v>5.25</v>
      </c>
      <c r="N9" s="4">
        <f>$E$5*$S$5</f>
        <v>76.605000000000004</v>
      </c>
      <c r="O9" s="4">
        <f>K9+L9+M9+N9</f>
        <v>147.20597400000003</v>
      </c>
      <c r="Q9" s="6">
        <v>1.0778000000000001</v>
      </c>
      <c r="U9" t="s">
        <v>129</v>
      </c>
      <c r="V9" s="37">
        <v>1408</v>
      </c>
    </row>
    <row r="10" spans="1:22" ht="18" x14ac:dyDescent="0.25">
      <c r="A10">
        <v>3</v>
      </c>
      <c r="B10" t="s">
        <v>4</v>
      </c>
      <c r="D10" s="11" t="s">
        <v>122</v>
      </c>
      <c r="E10" s="17"/>
      <c r="F10" s="4"/>
      <c r="G10" s="4"/>
      <c r="H10" s="14" t="s">
        <v>102</v>
      </c>
      <c r="V10" s="37"/>
    </row>
    <row r="11" spans="1:22" ht="18" x14ac:dyDescent="0.25">
      <c r="A11">
        <v>4</v>
      </c>
      <c r="B11" t="s">
        <v>5</v>
      </c>
      <c r="C11" t="s">
        <v>100</v>
      </c>
      <c r="D11" t="s">
        <v>96</v>
      </c>
      <c r="E11" s="4">
        <f>15.9+0.79</f>
        <v>16.690000000000001</v>
      </c>
      <c r="F11" s="4">
        <f>$E$5*(0.0217+0.0002-0.0016)</f>
        <v>15.225</v>
      </c>
      <c r="G11" s="4">
        <f t="shared" ref="G11:G20" si="0">E11+F11</f>
        <v>31.914999999999999</v>
      </c>
      <c r="H11" s="14" t="s">
        <v>102</v>
      </c>
      <c r="I11" s="4">
        <f>(0.0068+0.0058)*$E$5*Q11</f>
        <v>9.8478449999999995</v>
      </c>
      <c r="J11" s="4">
        <f t="shared" ref="J11:J20" si="1">(Q11*$E$5-$E$5)*$S$5</f>
        <v>3.2250705000000051</v>
      </c>
      <c r="K11" s="4">
        <f t="shared" ref="K11:K19" si="2">G11+I11+J11</f>
        <v>44.987915500000007</v>
      </c>
      <c r="L11" s="4">
        <f t="shared" ref="L11:L20" si="3">$E$5*Q11*(0.0044+0.0013)+0.25</f>
        <v>4.7049775</v>
      </c>
      <c r="M11" s="4">
        <f>0.007*$E$5</f>
        <v>5.25</v>
      </c>
      <c r="N11" s="4">
        <f t="shared" ref="N11:N20" si="4">$E$5*$S$5</f>
        <v>76.605000000000004</v>
      </c>
      <c r="O11" s="4">
        <f t="shared" ref="O11:O19" si="5">K11+L11+M11+N11</f>
        <v>131.54789300000002</v>
      </c>
      <c r="Q11" s="6">
        <v>1.0421</v>
      </c>
      <c r="U11" t="s">
        <v>130</v>
      </c>
      <c r="V11" s="37">
        <v>32215</v>
      </c>
    </row>
    <row r="12" spans="1:22" ht="18" x14ac:dyDescent="0.25">
      <c r="A12">
        <v>5</v>
      </c>
      <c r="B12" t="s">
        <v>6</v>
      </c>
      <c r="C12" t="s">
        <v>210</v>
      </c>
      <c r="D12" t="s">
        <v>96</v>
      </c>
      <c r="E12" s="4">
        <f>11.22+1.75+0.79</f>
        <v>13.760000000000002</v>
      </c>
      <c r="F12" s="4">
        <f>$E$5*(0.0211+0.0024-0.007)</f>
        <v>12.375</v>
      </c>
      <c r="G12" s="4">
        <f t="shared" si="0"/>
        <v>26.135000000000002</v>
      </c>
      <c r="H12" s="14" t="s">
        <v>102</v>
      </c>
      <c r="I12" s="4">
        <f>(0.0048+0.0019)*$E$5*Q12</f>
        <v>5.2737375000000002</v>
      </c>
      <c r="J12" s="4">
        <f t="shared" si="1"/>
        <v>3.791947500000012</v>
      </c>
      <c r="K12" s="4">
        <f t="shared" si="2"/>
        <v>35.200685000000014</v>
      </c>
      <c r="L12" s="4">
        <f t="shared" si="3"/>
        <v>4.7366125000000006</v>
      </c>
      <c r="M12" s="4">
        <f>0.007*$E$5</f>
        <v>5.25</v>
      </c>
      <c r="N12" s="4">
        <f t="shared" si="4"/>
        <v>76.605000000000004</v>
      </c>
      <c r="O12" s="4">
        <f t="shared" si="5"/>
        <v>121.79229750000002</v>
      </c>
      <c r="Q12" s="6">
        <v>1.0495000000000001</v>
      </c>
      <c r="U12" t="s">
        <v>131</v>
      </c>
      <c r="V12" s="37">
        <v>8569</v>
      </c>
    </row>
    <row r="13" spans="1:22" ht="18" x14ac:dyDescent="0.25">
      <c r="A13">
        <v>6</v>
      </c>
      <c r="B13" t="s">
        <v>7</v>
      </c>
      <c r="C13" t="s">
        <v>98</v>
      </c>
      <c r="D13" t="s">
        <v>97</v>
      </c>
      <c r="E13" s="4">
        <f>11.98+0.79-0.48+1.47</f>
        <v>13.76</v>
      </c>
      <c r="F13" s="4">
        <f>$E$5*(0.0144-0.002+0.0003+0.0002)</f>
        <v>9.6750000000000007</v>
      </c>
      <c r="G13" s="4">
        <f t="shared" si="0"/>
        <v>23.435000000000002</v>
      </c>
      <c r="H13" s="10" t="s">
        <v>101</v>
      </c>
      <c r="I13" s="4">
        <f>(0.0087+0.0058)*$E$5*Q13</f>
        <v>11.2545375</v>
      </c>
      <c r="J13" s="4">
        <f t="shared" si="1"/>
        <v>2.6735144999999956</v>
      </c>
      <c r="K13" s="4">
        <f t="shared" si="2"/>
        <v>37.363051999999996</v>
      </c>
      <c r="L13" s="4">
        <f t="shared" si="3"/>
        <v>4.6741975</v>
      </c>
      <c r="M13" s="4">
        <f>0.007*$E$5</f>
        <v>5.25</v>
      </c>
      <c r="N13" s="4">
        <f t="shared" si="4"/>
        <v>76.605000000000004</v>
      </c>
      <c r="O13" s="4">
        <f t="shared" si="5"/>
        <v>123.89224949999999</v>
      </c>
      <c r="Q13" s="6">
        <v>1.0348999999999999</v>
      </c>
      <c r="U13" t="s">
        <v>132</v>
      </c>
      <c r="V13" s="37">
        <v>35576</v>
      </c>
    </row>
    <row r="14" spans="1:22" ht="18" x14ac:dyDescent="0.25">
      <c r="A14">
        <v>7</v>
      </c>
      <c r="B14" t="s">
        <v>103</v>
      </c>
      <c r="C14" t="s">
        <v>98</v>
      </c>
      <c r="D14" t="s">
        <v>96</v>
      </c>
      <c r="E14" s="4">
        <f>12.03+1.73+0.79+0.38</f>
        <v>14.930000000000001</v>
      </c>
      <c r="F14" s="4">
        <f>$E$5*(0.0164-0.0014-0.0008-0.0015)</f>
        <v>9.5250000000000004</v>
      </c>
      <c r="G14" s="4">
        <f t="shared" si="0"/>
        <v>24.455000000000002</v>
      </c>
      <c r="H14" s="15" t="s">
        <v>102</v>
      </c>
      <c r="I14" s="4">
        <f>(0.0078+0.0062)*$E$5*Q14</f>
        <v>10.891649999999998</v>
      </c>
      <c r="J14" s="4">
        <f t="shared" si="1"/>
        <v>2.8573665000000141</v>
      </c>
      <c r="K14" s="4">
        <f t="shared" si="2"/>
        <v>38.204016500000009</v>
      </c>
      <c r="L14" s="4">
        <f t="shared" si="3"/>
        <v>4.6844575000000006</v>
      </c>
      <c r="M14" s="4">
        <f>0.007*$E$5</f>
        <v>5.25</v>
      </c>
      <c r="N14" s="4">
        <f t="shared" si="4"/>
        <v>76.605000000000004</v>
      </c>
      <c r="O14" s="4">
        <f t="shared" si="5"/>
        <v>124.74347400000002</v>
      </c>
      <c r="Q14" s="6">
        <v>1.0373000000000001</v>
      </c>
      <c r="U14" t="s">
        <v>103</v>
      </c>
      <c r="V14" s="37">
        <v>60095</v>
      </c>
    </row>
    <row r="15" spans="1:22" ht="18" x14ac:dyDescent="0.25">
      <c r="A15">
        <v>8</v>
      </c>
      <c r="B15" t="s">
        <v>104</v>
      </c>
      <c r="C15" t="s">
        <v>98</v>
      </c>
      <c r="D15" t="s">
        <v>96</v>
      </c>
      <c r="E15" s="4">
        <f>11.14+0.79+0.44</f>
        <v>12.37</v>
      </c>
      <c r="F15" s="4">
        <f>$E$5*(0.018+0.0001-0.0016+0.0001)</f>
        <v>12.449999999999998</v>
      </c>
      <c r="G15" s="4">
        <f t="shared" si="0"/>
        <v>24.819999999999997</v>
      </c>
      <c r="H15" s="14" t="s">
        <v>102</v>
      </c>
      <c r="I15" s="4">
        <f>(0.0065+0.0041)*$E$5*Q15</f>
        <v>8.2163250000000012</v>
      </c>
      <c r="J15" s="4">
        <f t="shared" si="1"/>
        <v>2.5662675000000119</v>
      </c>
      <c r="K15" s="4">
        <f t="shared" si="2"/>
        <v>35.602592500000007</v>
      </c>
      <c r="L15" s="4">
        <f t="shared" si="3"/>
        <v>4.668212500000001</v>
      </c>
      <c r="M15" s="4">
        <f>0.007*$E$5</f>
        <v>5.25</v>
      </c>
      <c r="N15" s="4">
        <f t="shared" si="4"/>
        <v>76.605000000000004</v>
      </c>
      <c r="O15" s="4">
        <f t="shared" si="5"/>
        <v>122.12580500000001</v>
      </c>
      <c r="Q15" s="6">
        <v>1.0335000000000001</v>
      </c>
      <c r="U15" t="s">
        <v>133</v>
      </c>
      <c r="V15" s="37">
        <v>47143</v>
      </c>
    </row>
    <row r="16" spans="1:22" ht="18" x14ac:dyDescent="0.25">
      <c r="A16">
        <v>9</v>
      </c>
      <c r="B16" t="s">
        <v>8</v>
      </c>
      <c r="C16" t="s">
        <v>98</v>
      </c>
      <c r="D16" t="s">
        <v>97</v>
      </c>
      <c r="E16" s="4">
        <f>19.43+0.79</f>
        <v>20.22</v>
      </c>
      <c r="F16" s="4">
        <f>$E$5*(0.0202+0.0002+0.0003+0.0001)</f>
        <v>15.6</v>
      </c>
      <c r="G16" s="4">
        <f t="shared" si="0"/>
        <v>35.82</v>
      </c>
      <c r="H16" s="14" t="s">
        <v>102</v>
      </c>
      <c r="I16" s="4">
        <f>(0.0073+0.0057)*$E$5*Q16</f>
        <v>10.278449999999999</v>
      </c>
      <c r="J16" s="4">
        <f t="shared" si="1"/>
        <v>4.151990999999998</v>
      </c>
      <c r="K16" s="4">
        <f t="shared" si="2"/>
        <v>50.250440999999995</v>
      </c>
      <c r="L16" s="4">
        <f t="shared" si="3"/>
        <v>4.7567050000000002</v>
      </c>
      <c r="M16" s="4">
        <f>0.0051*$E$5</f>
        <v>3.8250000000000002</v>
      </c>
      <c r="N16" s="4">
        <f t="shared" si="4"/>
        <v>76.605000000000004</v>
      </c>
      <c r="O16" s="4">
        <f t="shared" si="5"/>
        <v>135.43714599999998</v>
      </c>
      <c r="Q16" s="6">
        <v>1.0542</v>
      </c>
      <c r="U16" t="s">
        <v>134</v>
      </c>
      <c r="V16" s="37">
        <v>25896</v>
      </c>
    </row>
    <row r="17" spans="1:22" ht="18" x14ac:dyDescent="0.25">
      <c r="A17">
        <v>9</v>
      </c>
      <c r="B17" s="12" t="s">
        <v>9</v>
      </c>
      <c r="C17" s="12" t="s">
        <v>98</v>
      </c>
      <c r="D17" s="12" t="s">
        <v>97</v>
      </c>
      <c r="E17" s="4">
        <f>19.43+0.79</f>
        <v>20.22</v>
      </c>
      <c r="F17" s="4">
        <f>$E$5*(0.0202+0.0002+0.0008+0.0001)</f>
        <v>15.974999999999998</v>
      </c>
      <c r="G17" s="4">
        <f t="shared" si="0"/>
        <v>36.194999999999993</v>
      </c>
      <c r="H17" s="14" t="s">
        <v>102</v>
      </c>
      <c r="I17" s="4">
        <f>(0.0073+0.0057)*$E$5*Q17</f>
        <v>10.278449999999999</v>
      </c>
      <c r="J17" s="4">
        <f t="shared" si="1"/>
        <v>4.151990999999998</v>
      </c>
      <c r="K17" s="4">
        <f t="shared" si="2"/>
        <v>50.625440999999988</v>
      </c>
      <c r="L17" s="4">
        <f t="shared" si="3"/>
        <v>4.7567050000000002</v>
      </c>
      <c r="M17" s="4">
        <f>0*$E$5</f>
        <v>0</v>
      </c>
      <c r="N17" s="4">
        <f t="shared" si="4"/>
        <v>76.605000000000004</v>
      </c>
      <c r="O17" s="4">
        <f t="shared" si="5"/>
        <v>131.987146</v>
      </c>
      <c r="Q17" s="6">
        <v>1.0542</v>
      </c>
      <c r="V17" s="37"/>
    </row>
    <row r="18" spans="1:22" ht="18" x14ac:dyDescent="0.25">
      <c r="A18">
        <v>9</v>
      </c>
      <c r="B18" s="12" t="s">
        <v>10</v>
      </c>
      <c r="C18" s="12" t="s">
        <v>98</v>
      </c>
      <c r="D18" s="12" t="s">
        <v>97</v>
      </c>
      <c r="E18" s="4">
        <f>18.76+0.79</f>
        <v>19.55</v>
      </c>
      <c r="F18" s="4">
        <f>$E$5*(0.0213+0.0002-0.0007+0.0007+0.0001)</f>
        <v>16.2</v>
      </c>
      <c r="G18" s="4">
        <f t="shared" si="0"/>
        <v>35.75</v>
      </c>
      <c r="H18" s="14" t="s">
        <v>102</v>
      </c>
      <c r="I18" s="4">
        <f>(0.0073+0.0057)*$E$5*Q18</f>
        <v>10.278449999999999</v>
      </c>
      <c r="J18" s="4">
        <f t="shared" si="1"/>
        <v>4.151990999999998</v>
      </c>
      <c r="K18" s="4">
        <f t="shared" si="2"/>
        <v>50.180440999999995</v>
      </c>
      <c r="L18" s="4">
        <f t="shared" si="3"/>
        <v>4.7567050000000002</v>
      </c>
      <c r="M18" s="4">
        <f>0.007*$E$5</f>
        <v>5.25</v>
      </c>
      <c r="N18" s="4">
        <f t="shared" si="4"/>
        <v>76.605000000000004</v>
      </c>
      <c r="O18" s="4">
        <f t="shared" si="5"/>
        <v>136.792146</v>
      </c>
      <c r="Q18" s="6">
        <v>1.0542</v>
      </c>
      <c r="V18" s="37"/>
    </row>
    <row r="19" spans="1:22" ht="18" x14ac:dyDescent="0.25">
      <c r="A19">
        <v>10</v>
      </c>
      <c r="B19" t="s">
        <v>11</v>
      </c>
      <c r="C19" s="12" t="s">
        <v>98</v>
      </c>
      <c r="D19" t="s">
        <v>96</v>
      </c>
      <c r="E19" s="4">
        <f>15.63+0.79</f>
        <v>16.420000000000002</v>
      </c>
      <c r="F19" s="4">
        <f>$E$5*(0.0144+0.0018+0.0033-0.0033)</f>
        <v>12.149999999999999</v>
      </c>
      <c r="G19" s="4">
        <f t="shared" si="0"/>
        <v>28.57</v>
      </c>
      <c r="H19" s="14" t="s">
        <v>102</v>
      </c>
      <c r="I19" s="4">
        <f>(0.0067+0.0049)*$E$5*Q19</f>
        <v>9.1323899999999991</v>
      </c>
      <c r="J19" s="4">
        <f t="shared" si="1"/>
        <v>3.8072685000000095</v>
      </c>
      <c r="K19" s="4">
        <f t="shared" si="2"/>
        <v>41.509658500000008</v>
      </c>
      <c r="L19" s="4">
        <f t="shared" si="3"/>
        <v>4.7374675000000011</v>
      </c>
      <c r="M19" s="4">
        <f>0.007*$E$5</f>
        <v>5.25</v>
      </c>
      <c r="N19" s="4">
        <f t="shared" si="4"/>
        <v>76.605000000000004</v>
      </c>
      <c r="O19" s="4">
        <f t="shared" si="5"/>
        <v>128.102126</v>
      </c>
      <c r="Q19" s="6">
        <v>1.0497000000000001</v>
      </c>
      <c r="U19" t="s">
        <v>135</v>
      </c>
      <c r="V19" s="37">
        <v>5955</v>
      </c>
    </row>
    <row r="20" spans="1:22" ht="18" x14ac:dyDescent="0.25">
      <c r="A20">
        <v>11</v>
      </c>
      <c r="B20" t="s">
        <v>12</v>
      </c>
      <c r="C20" s="12" t="s">
        <v>100</v>
      </c>
      <c r="D20" t="s">
        <v>96</v>
      </c>
      <c r="E20" s="4">
        <f>24.04+2.26+0.9+0.79</f>
        <v>27.989999999999995</v>
      </c>
      <c r="F20" s="4">
        <f>$E$5*(0.014+0.0006-0.0034-0.0021-0.0014)</f>
        <v>5.7750000000000004</v>
      </c>
      <c r="G20" s="4">
        <f t="shared" si="0"/>
        <v>33.764999999999993</v>
      </c>
      <c r="H20" s="14" t="s">
        <v>102</v>
      </c>
      <c r="I20" s="4">
        <f>(0.0068+0.0016)*$E$5*Q20</f>
        <v>6.712019999999999</v>
      </c>
      <c r="J20" s="4">
        <f t="shared" si="1"/>
        <v>5.0099669999999961</v>
      </c>
      <c r="K20" s="4">
        <f t="shared" ref="K20:K31" si="6">G20+I20+J20</f>
        <v>45.486986999999992</v>
      </c>
      <c r="L20" s="4">
        <f t="shared" si="3"/>
        <v>4.8045850000000003</v>
      </c>
      <c r="M20" s="4">
        <f>0.007*$E$5</f>
        <v>5.25</v>
      </c>
      <c r="N20" s="4">
        <f t="shared" si="4"/>
        <v>76.605000000000004</v>
      </c>
      <c r="O20" s="4">
        <f t="shared" ref="O20" si="7">K20+L20+M20+N20</f>
        <v>132.14657199999999</v>
      </c>
      <c r="Q20" s="6">
        <v>1.0653999999999999</v>
      </c>
      <c r="U20" t="s">
        <v>136</v>
      </c>
      <c r="V20" s="37">
        <v>1068</v>
      </c>
    </row>
    <row r="21" spans="1:22" ht="18" x14ac:dyDescent="0.25">
      <c r="A21">
        <v>12</v>
      </c>
      <c r="B21" t="s">
        <v>13</v>
      </c>
      <c r="C21" t="s">
        <v>100</v>
      </c>
      <c r="D21" t="s">
        <v>96</v>
      </c>
      <c r="E21" s="4">
        <f>10.15+0.79</f>
        <v>10.940000000000001</v>
      </c>
      <c r="F21" s="4">
        <f>$E$5*(0.0199+0.0016+0.0017)</f>
        <v>17.400000000000002</v>
      </c>
      <c r="G21" s="4">
        <f t="shared" ref="G21:G34" si="8">E21+F21</f>
        <v>28.340000000000003</v>
      </c>
      <c r="H21" s="14" t="s">
        <v>102</v>
      </c>
      <c r="I21" s="4">
        <f>(0.007+0.0036)*$E$5*Q21</f>
        <v>8.5144500000000001</v>
      </c>
      <c r="J21" s="4">
        <f t="shared" ref="J21:J31" si="9">(Q21*$E$5-$E$5)*$S$5</f>
        <v>5.4389550000000009</v>
      </c>
      <c r="K21" s="4">
        <f t="shared" si="6"/>
        <v>42.293405</v>
      </c>
      <c r="L21" s="4">
        <f t="shared" ref="L21:L31" si="10">$E$5*Q21*(0.0044+0.0013)+0.25</f>
        <v>4.828525</v>
      </c>
      <c r="M21" s="4">
        <f t="shared" ref="M21:M34" si="11">0.007*$E$5</f>
        <v>5.25</v>
      </c>
      <c r="N21" s="4">
        <f t="shared" ref="N21:N34" si="12">$E$5*$S$5</f>
        <v>76.605000000000004</v>
      </c>
      <c r="O21" s="4">
        <f t="shared" ref="O21:O31" si="13">K21+L21+M21+N21</f>
        <v>128.97693000000001</v>
      </c>
      <c r="Q21" s="6">
        <v>1.071</v>
      </c>
      <c r="U21" t="s">
        <v>137</v>
      </c>
      <c r="V21" s="37">
        <v>14591</v>
      </c>
    </row>
    <row r="22" spans="1:22" ht="18" x14ac:dyDescent="0.25">
      <c r="A22">
        <v>13</v>
      </c>
      <c r="B22" t="s">
        <v>105</v>
      </c>
      <c r="C22" t="s">
        <v>100</v>
      </c>
      <c r="D22" t="s">
        <v>97</v>
      </c>
      <c r="E22" s="4">
        <f>14.77+0.79</f>
        <v>15.559999999999999</v>
      </c>
      <c r="F22" s="4">
        <f>$E$5*(0.0138+0.0018-0.0007)</f>
        <v>11.175000000000001</v>
      </c>
      <c r="G22" s="4">
        <f t="shared" si="8"/>
        <v>26.734999999999999</v>
      </c>
      <c r="H22" s="14" t="s">
        <v>102</v>
      </c>
      <c r="I22" s="4">
        <f>(0.0071+0.0051)*$E$5*Q22</f>
        <v>9.7566450000000007</v>
      </c>
      <c r="J22" s="4">
        <f t="shared" si="9"/>
        <v>5.0789115000000029</v>
      </c>
      <c r="K22" s="4">
        <f t="shared" si="6"/>
        <v>41.570556500000002</v>
      </c>
      <c r="L22" s="4">
        <f t="shared" si="10"/>
        <v>4.8084325000000003</v>
      </c>
      <c r="M22" s="4">
        <f t="shared" si="11"/>
        <v>5.25</v>
      </c>
      <c r="N22" s="4">
        <f t="shared" si="12"/>
        <v>76.605000000000004</v>
      </c>
      <c r="O22" s="4">
        <f t="shared" si="13"/>
        <v>128.23398900000001</v>
      </c>
      <c r="Q22" s="6">
        <v>1.0663</v>
      </c>
      <c r="U22" t="s">
        <v>138</v>
      </c>
      <c r="V22" s="37">
        <v>1809</v>
      </c>
    </row>
    <row r="23" spans="1:22" ht="18" x14ac:dyDescent="0.25">
      <c r="A23">
        <v>14</v>
      </c>
      <c r="B23" t="s">
        <v>14</v>
      </c>
      <c r="C23" t="s">
        <v>100</v>
      </c>
      <c r="D23" t="s">
        <v>96</v>
      </c>
      <c r="E23" s="4">
        <f>11.44+0.79</f>
        <v>12.23</v>
      </c>
      <c r="F23" s="4">
        <f>$E$5*(0.0081+0.0012-0.0008-0.0013-0.001-0.0001)</f>
        <v>4.5749999999999993</v>
      </c>
      <c r="G23" s="4">
        <f t="shared" si="8"/>
        <v>16.805</v>
      </c>
      <c r="H23" s="14" t="s">
        <v>102</v>
      </c>
      <c r="I23" s="4">
        <f>(0.0046+0.0033)*$E$5*Q23</f>
        <v>6.4049250000000004</v>
      </c>
      <c r="J23" s="4">
        <f t="shared" si="9"/>
        <v>6.2050050000000008</v>
      </c>
      <c r="K23" s="4">
        <f t="shared" si="6"/>
        <v>29.414929999999998</v>
      </c>
      <c r="L23" s="4">
        <f t="shared" si="10"/>
        <v>4.8712749999999998</v>
      </c>
      <c r="M23" s="4">
        <f t="shared" si="11"/>
        <v>5.25</v>
      </c>
      <c r="N23" s="4">
        <f t="shared" si="12"/>
        <v>76.605000000000004</v>
      </c>
      <c r="O23" s="4">
        <f t="shared" si="13"/>
        <v>116.141205</v>
      </c>
      <c r="Q23" s="6">
        <v>1.081</v>
      </c>
      <c r="U23" t="s">
        <v>139</v>
      </c>
      <c r="V23" s="37">
        <v>10852</v>
      </c>
    </row>
    <row r="24" spans="1:22" ht="18" x14ac:dyDescent="0.25">
      <c r="A24">
        <v>15</v>
      </c>
      <c r="B24" t="s">
        <v>15</v>
      </c>
      <c r="C24" t="s">
        <v>98</v>
      </c>
      <c r="D24" t="s">
        <v>97</v>
      </c>
      <c r="E24" s="4">
        <f>13.22+0.79</f>
        <v>14.010000000000002</v>
      </c>
      <c r="F24" s="4">
        <f>$E$5*(0.0133+0.0002)</f>
        <v>10.125</v>
      </c>
      <c r="G24" s="4">
        <f t="shared" si="8"/>
        <v>24.135000000000002</v>
      </c>
      <c r="H24" s="14" t="s">
        <v>102</v>
      </c>
      <c r="I24" s="4">
        <f>(0.0081+0.0062)*$E$5*Q24</f>
        <v>11.1111</v>
      </c>
      <c r="J24" s="4">
        <f t="shared" si="9"/>
        <v>2.7577800000000003</v>
      </c>
      <c r="K24" s="4">
        <f t="shared" si="6"/>
        <v>38.003879999999995</v>
      </c>
      <c r="L24" s="4">
        <f t="shared" si="10"/>
        <v>4.6789000000000005</v>
      </c>
      <c r="M24" s="4">
        <f t="shared" si="11"/>
        <v>5.25</v>
      </c>
      <c r="N24" s="4">
        <f t="shared" si="12"/>
        <v>76.605000000000004</v>
      </c>
      <c r="O24" s="4">
        <f t="shared" si="13"/>
        <v>124.53778</v>
      </c>
      <c r="Q24" s="6">
        <v>1.036</v>
      </c>
      <c r="U24" t="s">
        <v>140</v>
      </c>
      <c r="V24" s="37">
        <v>179182</v>
      </c>
    </row>
    <row r="25" spans="1:22" ht="18" x14ac:dyDescent="0.25">
      <c r="A25">
        <v>16</v>
      </c>
      <c r="B25" t="s">
        <v>16</v>
      </c>
      <c r="C25" s="12" t="s">
        <v>98</v>
      </c>
      <c r="D25" t="s">
        <v>96</v>
      </c>
      <c r="E25" s="4">
        <f>18.98+0.28+0.79</f>
        <v>20.05</v>
      </c>
      <c r="F25" s="4">
        <f>$E$5*(0.0088+0.0003+0.0022+0.0001-0.0002)</f>
        <v>8.4</v>
      </c>
      <c r="G25" s="4">
        <f t="shared" si="8"/>
        <v>28.450000000000003</v>
      </c>
      <c r="H25" s="14" t="s">
        <v>102</v>
      </c>
      <c r="I25" s="4">
        <f>(0.0074+0.0053)*$E$5*Q25</f>
        <v>9.9326699999999999</v>
      </c>
      <c r="J25" s="4">
        <f t="shared" si="9"/>
        <v>3.2786939999999909</v>
      </c>
      <c r="K25" s="4">
        <f t="shared" si="6"/>
        <v>41.661363999999992</v>
      </c>
      <c r="L25" s="4">
        <f t="shared" si="10"/>
        <v>4.7079699999999995</v>
      </c>
      <c r="M25" s="4">
        <f t="shared" si="11"/>
        <v>5.25</v>
      </c>
      <c r="N25" s="4">
        <f t="shared" si="12"/>
        <v>76.605000000000004</v>
      </c>
      <c r="O25" s="4">
        <f t="shared" si="13"/>
        <v>128.224334</v>
      </c>
      <c r="Q25" s="6">
        <v>1.0427999999999999</v>
      </c>
      <c r="U25" t="s">
        <v>141</v>
      </c>
      <c r="V25" s="37">
        <v>36131</v>
      </c>
    </row>
    <row r="26" spans="1:22" ht="18" x14ac:dyDescent="0.25">
      <c r="A26">
        <v>16</v>
      </c>
      <c r="B26" t="s">
        <v>17</v>
      </c>
      <c r="C26" s="12" t="s">
        <v>98</v>
      </c>
      <c r="D26" t="s">
        <v>96</v>
      </c>
      <c r="E26" s="4">
        <f>14.43+1.23+0.77+0.38+0.79</f>
        <v>17.599999999999998</v>
      </c>
      <c r="F26" s="4">
        <f>$E$5*(0.0146+0.0003+0.0014+0.0002+0.0002-0.0002)</f>
        <v>12.374999999999998</v>
      </c>
      <c r="G26" s="4">
        <f t="shared" si="8"/>
        <v>29.974999999999994</v>
      </c>
      <c r="H26" s="14" t="s">
        <v>102</v>
      </c>
      <c r="I26" s="4">
        <f>(0.0072+0.0051)*$E$5*Q26</f>
        <v>9.7858799999999988</v>
      </c>
      <c r="J26" s="4">
        <f t="shared" si="9"/>
        <v>4.6575840000000026</v>
      </c>
      <c r="K26" s="4">
        <f t="shared" si="6"/>
        <v>44.418463999999993</v>
      </c>
      <c r="L26" s="4">
        <f t="shared" si="10"/>
        <v>4.7849200000000005</v>
      </c>
      <c r="M26" s="4">
        <f t="shared" si="11"/>
        <v>5.25</v>
      </c>
      <c r="N26" s="4">
        <f t="shared" si="12"/>
        <v>76.605000000000004</v>
      </c>
      <c r="O26" s="4">
        <f t="shared" si="13"/>
        <v>131.05838399999999</v>
      </c>
      <c r="Q26" s="6">
        <v>1.0608</v>
      </c>
      <c r="V26" s="37"/>
    </row>
    <row r="27" spans="1:22" ht="18" x14ac:dyDescent="0.25">
      <c r="A27">
        <v>16</v>
      </c>
      <c r="B27" t="s">
        <v>18</v>
      </c>
      <c r="C27" s="12" t="s">
        <v>98</v>
      </c>
      <c r="D27" t="s">
        <v>96</v>
      </c>
      <c r="E27" s="4">
        <f>13.44+1.2+2.33+0.79</f>
        <v>17.759999999999998</v>
      </c>
      <c r="F27" s="4">
        <f>$E$5*(0.0127+0.0014+0.0004+0.0016)</f>
        <v>12.074999999999999</v>
      </c>
      <c r="G27" s="4">
        <f t="shared" si="8"/>
        <v>29.834999999999997</v>
      </c>
      <c r="H27" s="14" t="s">
        <v>102</v>
      </c>
      <c r="I27" s="4">
        <f>(0.0076+0.0056)*$E$5*Q27</f>
        <v>10.555380000000001</v>
      </c>
      <c r="J27" s="4">
        <f t="shared" si="9"/>
        <v>5.0712509999999984</v>
      </c>
      <c r="K27" s="4">
        <f t="shared" si="6"/>
        <v>45.461630999999997</v>
      </c>
      <c r="L27" s="4">
        <f t="shared" si="10"/>
        <v>4.8080049999999996</v>
      </c>
      <c r="M27" s="4">
        <f t="shared" si="11"/>
        <v>5.25</v>
      </c>
      <c r="N27" s="4">
        <f t="shared" si="12"/>
        <v>76.605000000000004</v>
      </c>
      <c r="O27" s="4">
        <f t="shared" si="13"/>
        <v>132.12463600000001</v>
      </c>
      <c r="Q27" s="6">
        <v>1.0662</v>
      </c>
      <c r="V27" s="37"/>
    </row>
    <row r="28" spans="1:22" ht="18" x14ac:dyDescent="0.25">
      <c r="A28">
        <v>16</v>
      </c>
      <c r="B28" t="s">
        <v>19</v>
      </c>
      <c r="C28" s="12" t="s">
        <v>98</v>
      </c>
      <c r="D28" t="s">
        <v>96</v>
      </c>
      <c r="E28" s="4">
        <f>12.52+0.77+2.4+0.79</f>
        <v>16.48</v>
      </c>
      <c r="F28" s="4">
        <f>$E$5*(0.0126+0.0043+0.0023+0.0052)</f>
        <v>18.299999999999997</v>
      </c>
      <c r="G28" s="4">
        <f t="shared" si="8"/>
        <v>34.78</v>
      </c>
      <c r="H28" s="14" t="s">
        <v>102</v>
      </c>
      <c r="I28" s="4">
        <f>(0.0074+0.0038)*$E$5*Q28</f>
        <v>8.8872</v>
      </c>
      <c r="J28" s="4">
        <f t="shared" si="9"/>
        <v>4.4430900000000007</v>
      </c>
      <c r="K28" s="4">
        <f t="shared" si="6"/>
        <v>48.110289999999999</v>
      </c>
      <c r="L28" s="4">
        <f t="shared" si="10"/>
        <v>4.7729499999999998</v>
      </c>
      <c r="M28" s="4">
        <f t="shared" si="11"/>
        <v>5.25</v>
      </c>
      <c r="N28" s="4">
        <f t="shared" si="12"/>
        <v>76.605000000000004</v>
      </c>
      <c r="O28" s="4">
        <f t="shared" si="13"/>
        <v>134.73824000000002</v>
      </c>
      <c r="Q28" s="6">
        <v>1.0580000000000001</v>
      </c>
      <c r="V28" s="37"/>
    </row>
    <row r="29" spans="1:22" ht="18" x14ac:dyDescent="0.25">
      <c r="A29">
        <v>17</v>
      </c>
      <c r="B29" t="s">
        <v>20</v>
      </c>
      <c r="C29" t="s">
        <v>210</v>
      </c>
      <c r="D29" t="s">
        <v>96</v>
      </c>
      <c r="E29" s="4">
        <f>11.05-0.42+0.69+0.79</f>
        <v>12.11</v>
      </c>
      <c r="F29" s="4">
        <f>$E$5*(0.0206+0.001-0.0052+0.0003-0.0021-0.0003)</f>
        <v>10.725000000000003</v>
      </c>
      <c r="G29" s="4">
        <f t="shared" si="8"/>
        <v>22.835000000000001</v>
      </c>
      <c r="H29" s="14" t="s">
        <v>102</v>
      </c>
      <c r="I29" s="4">
        <f>(0.0079+0.0047)*$E$5*Q29</f>
        <v>9.8062649999999998</v>
      </c>
      <c r="J29" s="4">
        <f t="shared" si="9"/>
        <v>2.8880085000000095</v>
      </c>
      <c r="K29" s="4">
        <f t="shared" si="6"/>
        <v>35.529273500000016</v>
      </c>
      <c r="L29" s="4">
        <f t="shared" si="10"/>
        <v>4.6861675000000007</v>
      </c>
      <c r="M29" s="4">
        <f t="shared" si="11"/>
        <v>5.25</v>
      </c>
      <c r="N29" s="4">
        <f t="shared" si="12"/>
        <v>76.605000000000004</v>
      </c>
      <c r="O29" s="4">
        <f t="shared" si="13"/>
        <v>122.07044100000002</v>
      </c>
      <c r="Q29" s="6">
        <v>1.0377000000000001</v>
      </c>
      <c r="U29" t="s">
        <v>142</v>
      </c>
      <c r="V29" s="37">
        <v>78144</v>
      </c>
    </row>
    <row r="30" spans="1:22" ht="18" x14ac:dyDescent="0.25">
      <c r="A30">
        <v>18</v>
      </c>
      <c r="B30" t="s">
        <v>21</v>
      </c>
      <c r="C30" t="s">
        <v>100</v>
      </c>
      <c r="D30" t="s">
        <v>96</v>
      </c>
      <c r="E30" s="4">
        <f>15.64+0.79</f>
        <v>16.43</v>
      </c>
      <c r="F30" s="4">
        <f>$E$5*(0.0182+0.0021-0.0037+0.0046)</f>
        <v>15.900000000000002</v>
      </c>
      <c r="G30" s="4">
        <f t="shared" si="8"/>
        <v>32.33</v>
      </c>
      <c r="H30" s="14" t="s">
        <v>102</v>
      </c>
      <c r="I30" s="4">
        <f>(0.0063+0.0049)*$E$5*Q30</f>
        <v>8.7788399999999989</v>
      </c>
      <c r="J30" s="4">
        <f t="shared" si="9"/>
        <v>3.4548854999999934</v>
      </c>
      <c r="K30" s="4">
        <f t="shared" si="6"/>
        <v>44.563725499999997</v>
      </c>
      <c r="L30" s="4">
        <f t="shared" si="10"/>
        <v>4.7178024999999995</v>
      </c>
      <c r="M30" s="4">
        <f t="shared" si="11"/>
        <v>5.25</v>
      </c>
      <c r="N30" s="4">
        <f t="shared" si="12"/>
        <v>76.605000000000004</v>
      </c>
      <c r="O30" s="4">
        <f t="shared" si="13"/>
        <v>131.136528</v>
      </c>
      <c r="Q30" s="6">
        <v>1.0450999999999999</v>
      </c>
      <c r="U30" t="s">
        <v>143</v>
      </c>
      <c r="V30" s="37">
        <v>16327</v>
      </c>
    </row>
    <row r="31" spans="1:22" ht="18" x14ac:dyDescent="0.25">
      <c r="A31">
        <v>18</v>
      </c>
      <c r="B31" t="s">
        <v>21</v>
      </c>
      <c r="C31" t="s">
        <v>100</v>
      </c>
      <c r="D31" t="s">
        <v>96</v>
      </c>
      <c r="E31" s="4">
        <f>15.64+0.79</f>
        <v>16.43</v>
      </c>
      <c r="F31" s="4">
        <f>$E$5*(0.0182+0.0021+0.0073-0.0037+0.0046)</f>
        <v>21.375000000000004</v>
      </c>
      <c r="G31" s="4">
        <f t="shared" si="8"/>
        <v>37.805000000000007</v>
      </c>
      <c r="H31" s="14" t="s">
        <v>102</v>
      </c>
      <c r="I31" s="4">
        <f>(0.0063+0.0049)*$E$5*Q31</f>
        <v>8.7788399999999989</v>
      </c>
      <c r="J31" s="4">
        <f t="shared" si="9"/>
        <v>3.4548854999999934</v>
      </c>
      <c r="K31" s="4">
        <f t="shared" si="6"/>
        <v>50.038725500000005</v>
      </c>
      <c r="L31" s="4">
        <f t="shared" si="10"/>
        <v>4.7178024999999995</v>
      </c>
      <c r="M31" s="4">
        <f t="shared" si="11"/>
        <v>5.25</v>
      </c>
      <c r="N31" s="4">
        <f t="shared" si="12"/>
        <v>76.605000000000004</v>
      </c>
      <c r="O31" s="4">
        <f t="shared" si="13"/>
        <v>136.61152800000002</v>
      </c>
      <c r="Q31" s="6">
        <v>1.0450999999999999</v>
      </c>
      <c r="V31" s="37"/>
    </row>
    <row r="32" spans="1:22" ht="18" x14ac:dyDescent="0.25">
      <c r="A32">
        <v>19</v>
      </c>
      <c r="B32" t="s">
        <v>24</v>
      </c>
      <c r="C32" s="12" t="s">
        <v>98</v>
      </c>
      <c r="D32" t="s">
        <v>96</v>
      </c>
      <c r="E32" s="4">
        <f>14.07+1.12+0.52+1.39+0.79</f>
        <v>17.89</v>
      </c>
      <c r="F32" s="4">
        <f>$E$5*(0.017+0.0037+0.0004+0.0012+0.0017-0.0028)</f>
        <v>15.900000000000002</v>
      </c>
      <c r="G32" s="4">
        <f t="shared" si="8"/>
        <v>33.790000000000006</v>
      </c>
      <c r="H32" s="14" t="s">
        <v>102</v>
      </c>
      <c r="I32" s="4">
        <f>(0.0063+0.004)*$E$5*Q32</f>
        <v>8.2557074999999998</v>
      </c>
      <c r="J32" s="4">
        <f t="shared" ref="J32:J34" si="14">(Q32*$E$5-$E$5)*$S$5</f>
        <v>5.2627634999999984</v>
      </c>
      <c r="K32" s="4">
        <f t="shared" ref="K32:K34" si="15">G32+I32+J32</f>
        <v>47.308471000000004</v>
      </c>
      <c r="L32" s="4">
        <f t="shared" ref="L32:L34" si="16">$E$5*Q32*(0.0044+0.0013)+0.25</f>
        <v>4.8186925</v>
      </c>
      <c r="M32" s="4">
        <f t="shared" si="11"/>
        <v>5.25</v>
      </c>
      <c r="N32" s="4">
        <f t="shared" si="12"/>
        <v>76.605000000000004</v>
      </c>
      <c r="O32" s="4">
        <f t="shared" ref="O32" si="17">K32+L32+M32+N32</f>
        <v>133.98216350000001</v>
      </c>
      <c r="Q32" s="6">
        <v>1.0687</v>
      </c>
      <c r="U32" t="s">
        <v>144</v>
      </c>
      <c r="V32" s="37">
        <v>2862</v>
      </c>
    </row>
    <row r="33" spans="1:22" ht="18" x14ac:dyDescent="0.25">
      <c r="A33">
        <v>20</v>
      </c>
      <c r="B33" t="s">
        <v>25</v>
      </c>
      <c r="C33" s="12" t="s">
        <v>98</v>
      </c>
      <c r="D33" t="s">
        <v>116</v>
      </c>
      <c r="E33" s="4">
        <f>12.94+0.79-0.04+1.17</f>
        <v>14.860000000000001</v>
      </c>
      <c r="F33" s="4">
        <f>$E$5*(0.0152+0.001-0.0002-0.0066-0.0023)</f>
        <v>5.3250000000000002</v>
      </c>
      <c r="G33" s="4">
        <f t="shared" si="8"/>
        <v>20.185000000000002</v>
      </c>
      <c r="H33" s="14" t="s">
        <v>102</v>
      </c>
      <c r="I33" s="4">
        <f>(0.0071+0.0034)*$E$5*Q33</f>
        <v>8.3490750000000009</v>
      </c>
      <c r="J33" s="4">
        <f t="shared" si="14"/>
        <v>4.6116209999999977</v>
      </c>
      <c r="K33" s="4">
        <f t="shared" si="15"/>
        <v>33.145696000000001</v>
      </c>
      <c r="L33" s="4">
        <f t="shared" si="16"/>
        <v>4.7823549999999999</v>
      </c>
      <c r="M33" s="4">
        <f t="shared" si="11"/>
        <v>5.25</v>
      </c>
      <c r="N33" s="4">
        <f t="shared" si="12"/>
        <v>76.605000000000004</v>
      </c>
      <c r="O33" s="4">
        <f t="shared" ref="O33" si="18">K33+L33+M33+N33</f>
        <v>119.783051</v>
      </c>
      <c r="Q33" s="6">
        <v>1.0602</v>
      </c>
      <c r="U33" t="s">
        <v>145</v>
      </c>
      <c r="V33" s="37">
        <v>26471</v>
      </c>
    </row>
    <row r="34" spans="1:22" ht="18" x14ac:dyDescent="0.25">
      <c r="A34">
        <v>21</v>
      </c>
      <c r="B34" t="s">
        <v>26</v>
      </c>
      <c r="C34" t="s">
        <v>92</v>
      </c>
      <c r="D34" t="s">
        <v>96</v>
      </c>
      <c r="E34" s="4">
        <f>16.27+0.79+1.34+1.42</f>
        <v>19.82</v>
      </c>
      <c r="F34" s="4">
        <f>$E$5*(0.0164+0.0004-0.0047-0.0044+0.0014-0.0003+0.0008)</f>
        <v>7.200000000000002</v>
      </c>
      <c r="G34" s="4">
        <f t="shared" si="8"/>
        <v>27.020000000000003</v>
      </c>
      <c r="H34" s="10" t="s">
        <v>101</v>
      </c>
      <c r="I34" s="4">
        <f>(0.0073+0.0045)*$E$5*Q34</f>
        <v>9.1075349999999986</v>
      </c>
      <c r="J34" s="4">
        <f t="shared" si="14"/>
        <v>2.2292054999999933</v>
      </c>
      <c r="K34" s="4">
        <f t="shared" si="15"/>
        <v>38.356740499999994</v>
      </c>
      <c r="L34" s="4">
        <f t="shared" si="16"/>
        <v>4.6494024999999999</v>
      </c>
      <c r="M34" s="4">
        <f t="shared" si="11"/>
        <v>5.25</v>
      </c>
      <c r="N34" s="4">
        <f t="shared" si="12"/>
        <v>76.605000000000004</v>
      </c>
      <c r="O34" s="4">
        <f t="shared" ref="O34" si="19">K34+L34+M34+N34</f>
        <v>124.861143</v>
      </c>
      <c r="Q34" s="6">
        <v>1.0290999999999999</v>
      </c>
      <c r="U34" t="s">
        <v>146</v>
      </c>
      <c r="V34" s="37">
        <v>18099</v>
      </c>
    </row>
    <row r="35" spans="1:22" x14ac:dyDescent="0.25">
      <c r="A35">
        <v>22</v>
      </c>
      <c r="B35" t="s">
        <v>28</v>
      </c>
      <c r="D35" s="11" t="s">
        <v>122</v>
      </c>
      <c r="E35" s="17"/>
      <c r="F35" s="4"/>
      <c r="G35" s="4"/>
      <c r="V35" s="37"/>
    </row>
    <row r="36" spans="1:22" ht="18" x14ac:dyDescent="0.25">
      <c r="A36">
        <v>23</v>
      </c>
      <c r="B36" t="s">
        <v>106</v>
      </c>
      <c r="C36" t="s">
        <v>100</v>
      </c>
      <c r="D36" t="s">
        <v>96</v>
      </c>
      <c r="E36" s="4">
        <f>18.88+0.86+0.79</f>
        <v>20.529999999999998</v>
      </c>
      <c r="F36" s="4">
        <f>$E$5*(0.0138+0.0001-0.001-0.0004+0.0004)</f>
        <v>9.6749999999999989</v>
      </c>
      <c r="G36" s="4">
        <f t="shared" ref="G36:G49" si="20">E36+F36</f>
        <v>30.204999999999998</v>
      </c>
      <c r="H36" s="14" t="s">
        <v>102</v>
      </c>
      <c r="I36" s="4">
        <f>(0.007+0.0018)*$E$5*Q36</f>
        <v>6.9101999999999997</v>
      </c>
      <c r="J36" s="4">
        <f t="shared" ref="J36" si="21">(Q36*$E$5-$E$5)*$S$5</f>
        <v>3.6004350000000005</v>
      </c>
      <c r="K36" s="4">
        <f t="shared" ref="K36" si="22">G36+I36+J36</f>
        <v>40.715634999999999</v>
      </c>
      <c r="L36" s="4">
        <f t="shared" ref="L36" si="23">$E$5*Q36*(0.0044+0.0013)+0.25</f>
        <v>4.7259250000000002</v>
      </c>
      <c r="M36" s="20">
        <f>0.0047*$E$5</f>
        <v>3.5250000000000004</v>
      </c>
      <c r="N36" s="29">
        <f>$E$5*($S$5-0.0175)</f>
        <v>63.480000000000004</v>
      </c>
      <c r="O36" s="4">
        <f t="shared" ref="O36" si="24">K36+L36+M36+N36</f>
        <v>112.44656000000001</v>
      </c>
      <c r="Q36" s="6">
        <v>1.0469999999999999</v>
      </c>
      <c r="U36" t="s">
        <v>147</v>
      </c>
      <c r="V36" s="37">
        <v>3298</v>
      </c>
    </row>
    <row r="37" spans="1:22" ht="18" x14ac:dyDescent="0.25">
      <c r="A37">
        <v>24</v>
      </c>
      <c r="B37" t="s">
        <v>29</v>
      </c>
      <c r="C37" t="s">
        <v>100</v>
      </c>
      <c r="D37" t="s">
        <v>96</v>
      </c>
      <c r="E37" s="4">
        <f>16.19+0.41+0.79</f>
        <v>17.39</v>
      </c>
      <c r="F37" s="4">
        <f>$E$5*(0.0124+0.0002-0.0014)</f>
        <v>8.4</v>
      </c>
      <c r="G37" s="4">
        <f t="shared" si="20"/>
        <v>25.79</v>
      </c>
      <c r="H37" s="14" t="s">
        <v>102</v>
      </c>
      <c r="I37" s="4">
        <f>(0.0064+0.0044)*$E$5*Q37</f>
        <v>8.5373999999999999</v>
      </c>
      <c r="J37" s="4">
        <f t="shared" ref="J37" si="25">(Q37*$E$5-$E$5)*$S$5</f>
        <v>4.1366700000000005</v>
      </c>
      <c r="K37" s="4">
        <f t="shared" ref="K37" si="26">G37+I37+J37</f>
        <v>38.46407</v>
      </c>
      <c r="L37" s="4">
        <f t="shared" ref="L37" si="27">$E$5*Q37*(0.0044+0.0013)+0.25</f>
        <v>4.7558500000000006</v>
      </c>
      <c r="M37" s="4">
        <f t="shared" ref="M37:M49" si="28">0.007*$E$5</f>
        <v>5.25</v>
      </c>
      <c r="N37" s="4">
        <f t="shared" ref="N37:N49" si="29">$E$5*$S$5</f>
        <v>76.605000000000004</v>
      </c>
      <c r="O37" s="4">
        <f t="shared" ref="O37" si="30">K37+L37+M37+N37</f>
        <v>125.07492000000001</v>
      </c>
      <c r="Q37" s="6">
        <v>1.054</v>
      </c>
      <c r="U37" t="s">
        <v>148</v>
      </c>
      <c r="V37" s="37">
        <v>42680</v>
      </c>
    </row>
    <row r="38" spans="1:22" ht="18" x14ac:dyDescent="0.25">
      <c r="A38">
        <v>25</v>
      </c>
      <c r="B38" t="s">
        <v>30</v>
      </c>
      <c r="C38" s="12" t="s">
        <v>98</v>
      </c>
      <c r="D38" t="s">
        <v>97</v>
      </c>
      <c r="E38" s="4">
        <f>15.69+0.79</f>
        <v>16.48</v>
      </c>
      <c r="F38" s="4">
        <f>$E$5*(0.0121+0.0007+0.0032)</f>
        <v>12</v>
      </c>
      <c r="G38" s="4">
        <f t="shared" si="20"/>
        <v>28.48</v>
      </c>
      <c r="H38" s="14" t="s">
        <v>102</v>
      </c>
      <c r="I38" s="4">
        <f>(0.0076+0.0057)*$E$5*Q38</f>
        <v>10.499684999999999</v>
      </c>
      <c r="J38" s="4">
        <f t="shared" ref="J38" si="31">(Q38*$E$5-$E$5)*$S$5</f>
        <v>4.0294229999999933</v>
      </c>
      <c r="K38" s="4">
        <f t="shared" ref="K38" si="32">G38+I38+J38</f>
        <v>43.009107999999998</v>
      </c>
      <c r="L38" s="4">
        <f t="shared" ref="L38" si="33">$E$5*Q38*(0.0044+0.0013)+0.25</f>
        <v>4.7498649999999998</v>
      </c>
      <c r="M38" s="4">
        <f t="shared" si="28"/>
        <v>5.25</v>
      </c>
      <c r="N38" s="4">
        <f t="shared" si="29"/>
        <v>76.605000000000004</v>
      </c>
      <c r="O38" s="4">
        <f t="shared" ref="O38" si="34">K38+L38+M38+N38</f>
        <v>129.61397299999999</v>
      </c>
      <c r="Q38" s="6">
        <v>1.0526</v>
      </c>
      <c r="U38" t="s">
        <v>149</v>
      </c>
      <c r="V38" s="37">
        <v>10180</v>
      </c>
    </row>
    <row r="39" spans="1:22" ht="18" x14ac:dyDescent="0.25">
      <c r="A39">
        <v>26</v>
      </c>
      <c r="B39" t="s">
        <v>31</v>
      </c>
      <c r="C39" s="12" t="s">
        <v>98</v>
      </c>
      <c r="D39" t="s">
        <v>97</v>
      </c>
      <c r="E39" s="4">
        <f>14.49+0.15+0.73-0.18+0.79</f>
        <v>15.98</v>
      </c>
      <c r="F39" s="4">
        <f>$E$5*(0.0176+0.0007+0.0003+0.002)</f>
        <v>15.450000000000001</v>
      </c>
      <c r="G39" s="4">
        <f t="shared" si="20"/>
        <v>31.43</v>
      </c>
      <c r="H39" s="14" t="s">
        <v>102</v>
      </c>
      <c r="I39" s="4">
        <f>(0.0078+0.0058)*$E$5*Q39</f>
        <v>10.413179999999999</v>
      </c>
      <c r="J39" s="4">
        <f t="shared" ref="J39:J40" si="35">(Q39*$E$5-$E$5)*$S$5</f>
        <v>1.6010444999999955</v>
      </c>
      <c r="K39" s="4">
        <f t="shared" ref="K39" si="36">G39+I39+J39</f>
        <v>43.44422449999999</v>
      </c>
      <c r="L39" s="4">
        <f t="shared" ref="L39" si="37">$E$5*Q39*(0.0044+0.0013)+0.25</f>
        <v>4.6143475</v>
      </c>
      <c r="M39" s="4">
        <f t="shared" si="28"/>
        <v>5.25</v>
      </c>
      <c r="N39" s="4">
        <f t="shared" si="29"/>
        <v>76.605000000000004</v>
      </c>
      <c r="O39" s="4">
        <f t="shared" ref="O39" si="38">K39+L39+M39+N39</f>
        <v>129.91357199999999</v>
      </c>
      <c r="Q39" s="6">
        <v>1.0208999999999999</v>
      </c>
      <c r="U39" t="s">
        <v>150</v>
      </c>
      <c r="V39" s="37">
        <v>48384</v>
      </c>
    </row>
    <row r="40" spans="1:22" ht="18.75" x14ac:dyDescent="0.3">
      <c r="A40">
        <v>27</v>
      </c>
      <c r="B40" t="s">
        <v>107</v>
      </c>
      <c r="D40" s="11" t="s">
        <v>119</v>
      </c>
      <c r="E40" s="4">
        <f>17.01-0.17+0.79</f>
        <v>17.63</v>
      </c>
      <c r="F40" s="4">
        <f>$E$5*(0.0248+0.0004-0.0002-0.0015+0.0002)</f>
        <v>17.774999999999999</v>
      </c>
      <c r="G40" s="4">
        <f t="shared" si="20"/>
        <v>35.405000000000001</v>
      </c>
      <c r="H40" s="16" t="s">
        <v>120</v>
      </c>
      <c r="I40" s="4">
        <f>(0.0068+0.0052)*$E$5*Q40</f>
        <v>9.5894999999999992</v>
      </c>
      <c r="J40" s="4">
        <f t="shared" si="35"/>
        <v>5.017627499999989</v>
      </c>
      <c r="K40" s="4">
        <f t="shared" ref="K40" si="39">G40+I40+J40</f>
        <v>50.012127499999991</v>
      </c>
      <c r="L40" s="4">
        <f t="shared" ref="L40" si="40">$E$5*Q40*(0.0044+0.0013)+0.25</f>
        <v>4.8050124999999992</v>
      </c>
      <c r="M40" s="4">
        <f t="shared" si="28"/>
        <v>5.25</v>
      </c>
      <c r="N40" s="4">
        <f t="shared" si="29"/>
        <v>76.605000000000004</v>
      </c>
      <c r="O40" s="4">
        <f t="shared" ref="O40" si="41">K40+L40+M40+N40</f>
        <v>136.67213999999998</v>
      </c>
      <c r="Q40" s="6">
        <v>1.0654999999999999</v>
      </c>
      <c r="U40" t="s">
        <v>151</v>
      </c>
      <c r="V40" s="37">
        <v>18819</v>
      </c>
    </row>
    <row r="41" spans="1:22" ht="18" x14ac:dyDescent="0.25">
      <c r="A41">
        <v>28</v>
      </c>
      <c r="B41" t="s">
        <v>32</v>
      </c>
      <c r="C41" s="12" t="s">
        <v>98</v>
      </c>
      <c r="D41" t="s">
        <v>96</v>
      </c>
      <c r="E41" s="4">
        <f>12.72+1.31+1.13+0.79+2.23</f>
        <v>18.18</v>
      </c>
      <c r="F41" s="4">
        <f>$E$5*(0.012+0.0012+0.0033)</f>
        <v>12.375</v>
      </c>
      <c r="G41" s="4">
        <f t="shared" si="20"/>
        <v>30.555</v>
      </c>
      <c r="H41" s="14" t="s">
        <v>102</v>
      </c>
      <c r="I41" s="4">
        <f>(0.0074+0.0051)*$E$5*Q41</f>
        <v>9.9393750000000001</v>
      </c>
      <c r="J41" s="4">
        <f t="shared" ref="J41" si="42">(Q41*$E$5-$E$5)*$S$5</f>
        <v>4.6116209999999977</v>
      </c>
      <c r="K41" s="4">
        <f t="shared" ref="K41" si="43">G41+I41+J41</f>
        <v>45.105995999999998</v>
      </c>
      <c r="L41" s="4">
        <f t="shared" ref="L41" si="44">$E$5*Q41*(0.0044+0.0013)+0.25</f>
        <v>4.7823549999999999</v>
      </c>
      <c r="M41" s="4">
        <f t="shared" si="28"/>
        <v>5.25</v>
      </c>
      <c r="N41" s="4">
        <f t="shared" si="29"/>
        <v>76.605000000000004</v>
      </c>
      <c r="O41" s="4">
        <f t="shared" ref="O41" si="45">K41+L41+M41+N41</f>
        <v>131.74335100000002</v>
      </c>
      <c r="Q41" s="6">
        <v>1.0602</v>
      </c>
      <c r="U41" t="s">
        <v>152</v>
      </c>
      <c r="V41" s="37">
        <v>19623</v>
      </c>
    </row>
    <row r="42" spans="1:22" x14ac:dyDescent="0.25">
      <c r="A42">
        <v>29</v>
      </c>
      <c r="B42" t="s">
        <v>33</v>
      </c>
      <c r="C42" s="12" t="s">
        <v>92</v>
      </c>
      <c r="D42" s="11" t="s">
        <v>117</v>
      </c>
      <c r="E42" s="17"/>
      <c r="F42" s="4"/>
      <c r="G42" s="4"/>
      <c r="U42" t="s">
        <v>153</v>
      </c>
      <c r="V42" s="37">
        <v>2264</v>
      </c>
    </row>
    <row r="43" spans="1:22" ht="18" x14ac:dyDescent="0.25">
      <c r="A43">
        <v>30</v>
      </c>
      <c r="B43" t="s">
        <v>34</v>
      </c>
      <c r="C43" t="s">
        <v>118</v>
      </c>
      <c r="D43" t="s">
        <v>97</v>
      </c>
      <c r="E43" s="4">
        <f>15.72+0.79+0.01+0.8</f>
        <v>17.320000000000004</v>
      </c>
      <c r="F43" s="4">
        <f>$E$5*(0.0155+0.00006-0.0007+0.0001-0.0001)</f>
        <v>11.145</v>
      </c>
      <c r="G43" s="4">
        <f t="shared" si="20"/>
        <v>28.465000000000003</v>
      </c>
      <c r="H43" s="14" t="s">
        <v>102</v>
      </c>
      <c r="I43" s="4">
        <f>(0.008+0.0059)*$E$5*Q43</f>
        <v>10.820107499999999</v>
      </c>
      <c r="J43" s="4">
        <f t="shared" ref="J43:J50" si="46">(Q43*$E$5-$E$5)*$S$5</f>
        <v>2.903329500000007</v>
      </c>
      <c r="K43" s="4">
        <f t="shared" ref="K43:K49" si="47">G43+I43+J43</f>
        <v>42.188437000000008</v>
      </c>
      <c r="L43" s="4">
        <f t="shared" ref="L43:L50" si="48">$E$5*Q43*(0.0044+0.0013)+0.25</f>
        <v>4.6870225000000003</v>
      </c>
      <c r="M43" s="20">
        <f>(0.764*0.007+0.236*0.0068)*$E$5</f>
        <v>5.2145999999999999</v>
      </c>
      <c r="N43" s="4">
        <f t="shared" si="29"/>
        <v>76.605000000000004</v>
      </c>
      <c r="O43" s="4">
        <f t="shared" ref="O43" si="49">K43+L43+M43+N43</f>
        <v>128.69505950000001</v>
      </c>
      <c r="Q43" s="6">
        <v>1.0379</v>
      </c>
      <c r="U43" t="s">
        <v>154</v>
      </c>
      <c r="V43" s="37">
        <v>219536</v>
      </c>
    </row>
    <row r="44" spans="1:22" ht="18" x14ac:dyDescent="0.25">
      <c r="A44">
        <v>31</v>
      </c>
      <c r="B44" t="s">
        <v>35</v>
      </c>
      <c r="C44" t="s">
        <v>100</v>
      </c>
      <c r="D44" t="s">
        <v>96</v>
      </c>
      <c r="E44" s="4">
        <f>14.87+0.26+0.79</f>
        <v>15.919999999999998</v>
      </c>
      <c r="F44" s="4">
        <f>$E$5*(0.015+0.0054-0.0022)</f>
        <v>13.65</v>
      </c>
      <c r="G44" s="4">
        <f t="shared" si="20"/>
        <v>29.57</v>
      </c>
      <c r="H44" s="14" t="s">
        <v>102</v>
      </c>
      <c r="I44" s="4">
        <f>(0.0067+0.0047)*$E$5*Q44</f>
        <v>9.2100600000000004</v>
      </c>
      <c r="J44" s="4">
        <f t="shared" si="46"/>
        <v>5.9139059999999981</v>
      </c>
      <c r="K44" s="4">
        <f t="shared" si="47"/>
        <v>44.693965999999996</v>
      </c>
      <c r="L44" s="4">
        <f t="shared" si="48"/>
        <v>4.8550300000000002</v>
      </c>
      <c r="M44" s="4">
        <f t="shared" si="28"/>
        <v>5.25</v>
      </c>
      <c r="N44" s="4">
        <f t="shared" si="29"/>
        <v>76.605000000000004</v>
      </c>
      <c r="O44" s="4">
        <f t="shared" ref="O44" si="50">K44+L44+M44+N44</f>
        <v>131.40399600000001</v>
      </c>
      <c r="Q44" s="6">
        <v>1.0771999999999999</v>
      </c>
      <c r="U44" t="s">
        <v>155</v>
      </c>
      <c r="V44" s="37">
        <v>1069</v>
      </c>
    </row>
    <row r="45" spans="1:22" ht="18" x14ac:dyDescent="0.25">
      <c r="A45">
        <v>32</v>
      </c>
      <c r="B45" t="s">
        <v>108</v>
      </c>
      <c r="C45" t="s">
        <v>100</v>
      </c>
      <c r="D45" t="s">
        <v>97</v>
      </c>
      <c r="E45" s="4">
        <f>7.17+0.79</f>
        <v>7.96</v>
      </c>
      <c r="F45" s="4">
        <f>$E$5*(0.0098+0.0007-0.001)</f>
        <v>7.1249999999999982</v>
      </c>
      <c r="G45" s="4">
        <f t="shared" si="20"/>
        <v>15.084999999999997</v>
      </c>
      <c r="H45" s="14" t="s">
        <v>102</v>
      </c>
      <c r="I45" s="4">
        <f>(0.0072+0.0031)*$E$5*Q45</f>
        <v>8.142922500000001</v>
      </c>
      <c r="J45" s="4">
        <f t="shared" si="46"/>
        <v>4.144330500000005</v>
      </c>
      <c r="K45" s="4">
        <f t="shared" si="47"/>
        <v>27.372253000000004</v>
      </c>
      <c r="L45" s="4">
        <f t="shared" si="48"/>
        <v>4.7562775000000004</v>
      </c>
      <c r="M45" s="4">
        <f t="shared" si="28"/>
        <v>5.25</v>
      </c>
      <c r="N45" s="4">
        <f t="shared" si="29"/>
        <v>76.605000000000004</v>
      </c>
      <c r="O45" s="4">
        <f t="shared" ref="O45" si="51">K45+L45+M45+N45</f>
        <v>113.9835305</v>
      </c>
      <c r="Q45" s="6">
        <v>1.0541</v>
      </c>
      <c r="U45" t="s">
        <v>156</v>
      </c>
      <c r="V45" s="37">
        <v>4818</v>
      </c>
    </row>
    <row r="46" spans="1:22" ht="18" x14ac:dyDescent="0.25">
      <c r="A46">
        <v>33</v>
      </c>
      <c r="B46" t="s">
        <v>36</v>
      </c>
      <c r="C46" t="s">
        <v>92</v>
      </c>
      <c r="D46" t="s">
        <v>97</v>
      </c>
      <c r="E46" s="4">
        <f>11.07+0.79+0.13</f>
        <v>11.99</v>
      </c>
      <c r="F46" s="4">
        <f>$E$5*(0.0155-0.0013-0.0005+0.0002+0.0005)</f>
        <v>10.8</v>
      </c>
      <c r="G46" s="4">
        <f t="shared" si="20"/>
        <v>22.79</v>
      </c>
      <c r="H46" s="14" t="s">
        <v>102</v>
      </c>
      <c r="I46" s="4">
        <f>(0.0081+0.0058)*$E$5*Q46</f>
        <v>10.780492499999999</v>
      </c>
      <c r="J46" s="4">
        <f t="shared" si="46"/>
        <v>2.6122305000000048</v>
      </c>
      <c r="K46" s="4">
        <f t="shared" si="47"/>
        <v>36.182723000000003</v>
      </c>
      <c r="L46" s="4">
        <f t="shared" si="48"/>
        <v>4.6707775000000007</v>
      </c>
      <c r="M46" s="4">
        <f t="shared" si="28"/>
        <v>5.25</v>
      </c>
      <c r="N46" s="4">
        <f t="shared" si="29"/>
        <v>76.605000000000004</v>
      </c>
      <c r="O46" s="4">
        <f t="shared" ref="O46" si="52">K46+L46+M46+N46</f>
        <v>122.70850050000001</v>
      </c>
      <c r="Q46" s="6">
        <v>1.0341</v>
      </c>
      <c r="U46" t="s">
        <v>157</v>
      </c>
      <c r="V46" s="37">
        <v>138992</v>
      </c>
    </row>
    <row r="47" spans="1:22" ht="18" x14ac:dyDescent="0.25">
      <c r="A47">
        <v>34</v>
      </c>
      <c r="B47" t="s">
        <v>37</v>
      </c>
      <c r="C47" t="s">
        <v>118</v>
      </c>
      <c r="D47" s="11" t="s">
        <v>97</v>
      </c>
      <c r="E47" s="4">
        <f>26.03+1.14+0.56+0.79</f>
        <v>28.52</v>
      </c>
      <c r="F47" s="4">
        <f>$E$5*(0.0331)</f>
        <v>24.824999999999999</v>
      </c>
      <c r="G47" s="4">
        <f t="shared" si="20"/>
        <v>53.344999999999999</v>
      </c>
      <c r="H47" s="14" t="s">
        <v>102</v>
      </c>
      <c r="I47" s="4">
        <f>(0.0066+0.0048)*$E$5*Q47</f>
        <v>9.1998000000000015</v>
      </c>
      <c r="J47" s="4">
        <f t="shared" si="46"/>
        <v>5.8219800000000008</v>
      </c>
      <c r="K47" s="4">
        <f>G47+I47+J47</f>
        <v>68.366780000000006</v>
      </c>
      <c r="L47" s="4">
        <f t="shared" si="48"/>
        <v>4.8498999999999999</v>
      </c>
      <c r="M47" s="4">
        <f t="shared" si="28"/>
        <v>5.25</v>
      </c>
      <c r="N47" s="4">
        <f t="shared" si="29"/>
        <v>76.605000000000004</v>
      </c>
      <c r="O47" s="4">
        <f t="shared" ref="O47" si="53">K47+L47+M47+N47</f>
        <v>155.07168000000001</v>
      </c>
      <c r="P47" s="4"/>
      <c r="Q47" s="6">
        <v>1.0760000000000001</v>
      </c>
      <c r="U47" t="s">
        <v>158</v>
      </c>
      <c r="V47" s="37">
        <v>1106663</v>
      </c>
    </row>
    <row r="48" spans="1:22" ht="18" x14ac:dyDescent="0.25">
      <c r="A48">
        <v>34</v>
      </c>
      <c r="B48" t="s">
        <v>38</v>
      </c>
      <c r="C48" t="s">
        <v>118</v>
      </c>
      <c r="D48" s="11" t="s">
        <v>97</v>
      </c>
      <c r="E48" s="17">
        <f>65.52+1.85+5.55+0.79-31.5</f>
        <v>42.209999999999994</v>
      </c>
      <c r="F48" s="4">
        <f>$E$5*(0.0424+0.0001)</f>
        <v>31.875000000000004</v>
      </c>
      <c r="G48" s="4">
        <f t="shared" si="20"/>
        <v>74.084999999999994</v>
      </c>
      <c r="H48" s="14" t="s">
        <v>102</v>
      </c>
      <c r="I48" s="4">
        <f>(0.0063+0.0045)*$E$5*Q48</f>
        <v>8.9504999999999999</v>
      </c>
      <c r="J48" s="4">
        <f t="shared" si="46"/>
        <v>8.0435250000000007</v>
      </c>
      <c r="K48" s="4">
        <f t="shared" si="47"/>
        <v>91.079025000000001</v>
      </c>
      <c r="L48" s="4">
        <f t="shared" si="48"/>
        <v>4.9738750000000005</v>
      </c>
      <c r="M48" s="4">
        <f t="shared" si="28"/>
        <v>5.25</v>
      </c>
      <c r="N48" s="4">
        <f t="shared" si="29"/>
        <v>76.605000000000004</v>
      </c>
      <c r="O48" s="4">
        <f t="shared" ref="O48" si="54">K48+L48+M48+N48</f>
        <v>177.90790000000001</v>
      </c>
      <c r="Q48" s="6">
        <v>1.105</v>
      </c>
      <c r="V48" s="37"/>
    </row>
    <row r="49" spans="1:22" ht="18" x14ac:dyDescent="0.25">
      <c r="A49">
        <v>34</v>
      </c>
      <c r="B49" t="s">
        <v>121</v>
      </c>
      <c r="C49" t="s">
        <v>118</v>
      </c>
      <c r="D49" s="11" t="s">
        <v>97</v>
      </c>
      <c r="E49" s="4">
        <f>28.62+1.16+1.08+0.79</f>
        <v>31.65</v>
      </c>
      <c r="F49" s="4">
        <f>$E$5*(0.0764+0.0008)</f>
        <v>57.899999999999991</v>
      </c>
      <c r="G49" s="4">
        <f t="shared" si="20"/>
        <v>89.549999999999983</v>
      </c>
      <c r="H49" s="14" t="s">
        <v>102</v>
      </c>
      <c r="I49" s="4">
        <f>(0.0054+0.0042)*$E$5*Q49</f>
        <v>7.9488000000000021</v>
      </c>
      <c r="J49" s="4">
        <f t="shared" si="46"/>
        <v>7.9669200000000124</v>
      </c>
      <c r="K49" s="4">
        <f t="shared" si="47"/>
        <v>105.46572</v>
      </c>
      <c r="L49" s="4">
        <f t="shared" si="48"/>
        <v>4.9696000000000007</v>
      </c>
      <c r="M49" s="4">
        <f t="shared" si="28"/>
        <v>5.25</v>
      </c>
      <c r="N49" s="4">
        <f t="shared" si="29"/>
        <v>76.605000000000004</v>
      </c>
      <c r="O49" s="4">
        <f t="shared" ref="O49" si="55">K49+L49+M49+N49</f>
        <v>192.29032000000001</v>
      </c>
      <c r="Q49" s="6">
        <v>1.1040000000000001</v>
      </c>
      <c r="V49" s="37"/>
    </row>
    <row r="50" spans="1:22" ht="18" x14ac:dyDescent="0.25">
      <c r="A50">
        <v>34</v>
      </c>
      <c r="B50" t="s">
        <v>39</v>
      </c>
      <c r="C50" t="s">
        <v>118</v>
      </c>
      <c r="D50" s="11" t="s">
        <v>97</v>
      </c>
      <c r="E50" s="4">
        <f>19.07+1.01-0.8+0.79</f>
        <v>20.07</v>
      </c>
      <c r="F50" s="4">
        <f>$E$5*(0.0208-0.0002)</f>
        <v>15.450000000000001</v>
      </c>
      <c r="G50" s="4">
        <f t="shared" ref="G50:G71" si="56">E50+F50</f>
        <v>35.520000000000003</v>
      </c>
      <c r="H50" s="14" t="s">
        <v>102</v>
      </c>
      <c r="I50" s="4">
        <f>(0.007+0.005)*$E$5*Q50</f>
        <v>9.5129999999999999</v>
      </c>
      <c r="J50" s="4">
        <f t="shared" si="46"/>
        <v>4.3664849999999999</v>
      </c>
      <c r="K50" s="4">
        <f t="shared" ref="K50" si="57">G50+I50+J50</f>
        <v>49.399484999999999</v>
      </c>
      <c r="L50" s="4">
        <f t="shared" si="48"/>
        <v>4.768675</v>
      </c>
      <c r="M50" s="4">
        <f t="shared" ref="M50:M70" si="58">0.007*$E$5</f>
        <v>5.25</v>
      </c>
      <c r="N50" s="4">
        <f t="shared" ref="N50:N71" si="59">$E$5*$S$5</f>
        <v>76.605000000000004</v>
      </c>
      <c r="O50" s="4">
        <f t="shared" ref="O50" si="60">K50+L50+M50+N50</f>
        <v>136.02316000000002</v>
      </c>
      <c r="Q50" s="6">
        <v>1.0569999999999999</v>
      </c>
      <c r="V50" s="37"/>
    </row>
    <row r="51" spans="1:22" x14ac:dyDescent="0.25">
      <c r="A51">
        <v>34</v>
      </c>
      <c r="B51" t="s">
        <v>40</v>
      </c>
      <c r="C51" t="s">
        <v>100</v>
      </c>
      <c r="D51" t="s">
        <v>96</v>
      </c>
      <c r="E51" s="4">
        <f>18.7</f>
        <v>18.7</v>
      </c>
      <c r="F51" s="4">
        <f>IF(E5&lt;=1000,E5*0.088,IF(E5&lt;=2500,1000*0.088+(E5-1000)*0.1173,1000*0.088+1500*0.1173+(E5-2500)*0.1769))</f>
        <v>66</v>
      </c>
      <c r="G51" s="18"/>
      <c r="H51" s="19"/>
      <c r="I51" s="19"/>
      <c r="J51" s="19"/>
      <c r="K51" s="19"/>
      <c r="L51" s="19"/>
      <c r="M51" s="19"/>
      <c r="N51" s="19"/>
      <c r="O51" s="4">
        <f>E51+F51</f>
        <v>84.7</v>
      </c>
      <c r="Q51" s="19"/>
      <c r="V51" s="37"/>
    </row>
    <row r="52" spans="1:22" ht="18" x14ac:dyDescent="0.25">
      <c r="A52">
        <v>35</v>
      </c>
      <c r="B52" t="s">
        <v>41</v>
      </c>
      <c r="C52" t="s">
        <v>100</v>
      </c>
      <c r="D52" t="s">
        <v>97</v>
      </c>
      <c r="E52" s="4">
        <f>9.67+0.79</f>
        <v>10.46</v>
      </c>
      <c r="F52" s="4">
        <f>$E$5*(0.0234+0.00006)</f>
        <v>17.595000000000002</v>
      </c>
      <c r="G52" s="4">
        <f t="shared" si="56"/>
        <v>28.055000000000003</v>
      </c>
      <c r="H52" s="14" t="s">
        <v>102</v>
      </c>
      <c r="I52" s="4">
        <f>(0.0077+0.0042)*$E$5*Q52</f>
        <v>9.2445150000000016</v>
      </c>
      <c r="J52" s="4">
        <f t="shared" ref="J52:J53" si="61">(Q52*$E$5-$E$5)*$S$5</f>
        <v>2.7424590000000024</v>
      </c>
      <c r="K52" s="4">
        <f t="shared" ref="K52:K53" si="62">G52+I52+J52</f>
        <v>40.04197400000001</v>
      </c>
      <c r="L52" s="4">
        <f t="shared" ref="L52:L53" si="63">$E$5*Q52*(0.0044+0.0013)+0.25</f>
        <v>4.678045</v>
      </c>
      <c r="M52" s="20">
        <f>0.00694*$E$5</f>
        <v>5.2050000000000001</v>
      </c>
      <c r="N52" s="4">
        <f t="shared" si="59"/>
        <v>76.605000000000004</v>
      </c>
      <c r="O52" s="4">
        <f t="shared" ref="O52:O53" si="64">K52+L52+M52+N52</f>
        <v>126.53001900000001</v>
      </c>
      <c r="Q52" s="6">
        <v>1.0358000000000001</v>
      </c>
      <c r="U52" t="s">
        <v>159</v>
      </c>
      <c r="V52" s="37">
        <v>291759</v>
      </c>
    </row>
    <row r="53" spans="1:22" ht="18" x14ac:dyDescent="0.25">
      <c r="A53">
        <v>36</v>
      </c>
      <c r="B53" t="s">
        <v>42</v>
      </c>
      <c r="C53" s="12" t="s">
        <v>98</v>
      </c>
      <c r="D53" t="s">
        <v>97</v>
      </c>
      <c r="E53" s="4">
        <f>20.45+0.83+0.79+2.21</f>
        <v>24.279999999999998</v>
      </c>
      <c r="F53" s="4">
        <f>$E$5*(0.0182+0.0022+0.002-0.0007+0.003)</f>
        <v>18.525000000000002</v>
      </c>
      <c r="G53" s="4">
        <f t="shared" si="56"/>
        <v>42.805</v>
      </c>
      <c r="H53" s="14" t="s">
        <v>102</v>
      </c>
      <c r="I53" s="4">
        <f>(0.0065+0.0044)*$E$5*Q53</f>
        <v>8.7660525000000007</v>
      </c>
      <c r="J53" s="4">
        <f t="shared" si="61"/>
        <v>5.5385415000000027</v>
      </c>
      <c r="K53" s="4">
        <f t="shared" si="62"/>
        <v>57.109594000000001</v>
      </c>
      <c r="L53" s="4">
        <f t="shared" si="63"/>
        <v>4.8340825000000001</v>
      </c>
      <c r="M53" s="4">
        <f t="shared" si="58"/>
        <v>5.25</v>
      </c>
      <c r="N53" s="4">
        <f t="shared" si="59"/>
        <v>76.605000000000004</v>
      </c>
      <c r="O53" s="4">
        <f t="shared" si="64"/>
        <v>143.7986765</v>
      </c>
      <c r="Q53" s="6">
        <v>1.0723</v>
      </c>
      <c r="U53" t="s">
        <v>160</v>
      </c>
      <c r="V53" s="37">
        <v>14728</v>
      </c>
    </row>
    <row r="54" spans="1:22" x14ac:dyDescent="0.25">
      <c r="A54">
        <v>37</v>
      </c>
      <c r="B54" t="s">
        <v>43</v>
      </c>
      <c r="D54" s="11" t="s">
        <v>122</v>
      </c>
      <c r="E54" s="17"/>
      <c r="F54" s="4"/>
      <c r="G54" s="4"/>
      <c r="V54" s="37"/>
    </row>
    <row r="55" spans="1:22" ht="18" x14ac:dyDescent="0.25">
      <c r="A55">
        <v>38</v>
      </c>
      <c r="B55" t="s">
        <v>44</v>
      </c>
      <c r="C55" t="s">
        <v>210</v>
      </c>
      <c r="D55" t="s">
        <v>96</v>
      </c>
      <c r="E55" s="4">
        <f>19.43+0.79</f>
        <v>20.22</v>
      </c>
      <c r="F55" s="4">
        <f>$E$5*(0.0142)</f>
        <v>10.65</v>
      </c>
      <c r="G55" s="4">
        <f t="shared" si="56"/>
        <v>30.869999999999997</v>
      </c>
      <c r="H55" s="21" t="s">
        <v>102</v>
      </c>
      <c r="I55" s="4">
        <f>(0.0072+0.0019)*$E$5*Q55</f>
        <v>7.1184750000000001</v>
      </c>
      <c r="J55" s="4">
        <f t="shared" ref="J55" si="65">(Q55*$E$5-$E$5)*$S$5</f>
        <v>3.2940150000000004</v>
      </c>
      <c r="K55" s="4">
        <f t="shared" ref="K55" si="66">G55+I55+J55</f>
        <v>41.282489999999996</v>
      </c>
      <c r="L55" s="4">
        <f t="shared" ref="L55" si="67">$E$5*Q55*(0.0044+0.0013)+0.25</f>
        <v>4.708825</v>
      </c>
      <c r="M55" s="4">
        <f t="shared" si="58"/>
        <v>5.25</v>
      </c>
      <c r="N55" s="4">
        <f t="shared" si="59"/>
        <v>76.605000000000004</v>
      </c>
      <c r="O55" s="4">
        <f t="shared" ref="O55" si="68">K55+L55+M55+N55</f>
        <v>127.846315</v>
      </c>
      <c r="Q55" s="6">
        <v>1.0429999999999999</v>
      </c>
      <c r="U55" t="s">
        <v>161</v>
      </c>
      <c r="V55" s="37">
        <v>4751</v>
      </c>
    </row>
    <row r="56" spans="1:22" ht="18" x14ac:dyDescent="0.25">
      <c r="A56">
        <v>39</v>
      </c>
      <c r="B56" t="s">
        <v>45</v>
      </c>
      <c r="C56" t="s">
        <v>100</v>
      </c>
      <c r="D56" t="s">
        <v>96</v>
      </c>
      <c r="E56" s="4">
        <f>12.56+2.63+0.79</f>
        <v>15.98</v>
      </c>
      <c r="F56" s="4">
        <f>$E$5*(0.0154+0.0007-0.0001)</f>
        <v>12</v>
      </c>
      <c r="G56" s="4">
        <f t="shared" si="56"/>
        <v>27.98</v>
      </c>
      <c r="H56" s="14" t="s">
        <v>102</v>
      </c>
      <c r="I56" s="4">
        <f>(0.0067+0.0051)*$E$5*Q56</f>
        <v>9.154440000000001</v>
      </c>
      <c r="J56" s="4">
        <f t="shared" ref="J56:J58" si="69">(Q56*$E$5-$E$5)*$S$5</f>
        <v>2.6352119999999957</v>
      </c>
      <c r="K56" s="4">
        <f t="shared" ref="K56:K58" si="70">G56+I56+J56</f>
        <v>39.769651999999994</v>
      </c>
      <c r="L56" s="4">
        <f t="shared" ref="L56:L58" si="71">$E$5*Q56*(0.0044+0.0013)+0.25</f>
        <v>4.6720600000000001</v>
      </c>
      <c r="M56" s="4">
        <f t="shared" si="58"/>
        <v>5.25</v>
      </c>
      <c r="N56" s="4">
        <f t="shared" si="59"/>
        <v>76.605000000000004</v>
      </c>
      <c r="O56" s="4">
        <f t="shared" ref="O56" si="72">K56+L56+M56+N56</f>
        <v>126.296712</v>
      </c>
      <c r="Q56" s="6">
        <v>1.0344</v>
      </c>
      <c r="U56" t="s">
        <v>162</v>
      </c>
      <c r="V56" s="37">
        <v>24046</v>
      </c>
    </row>
    <row r="57" spans="1:22" ht="18" x14ac:dyDescent="0.25">
      <c r="A57">
        <v>40</v>
      </c>
      <c r="B57" t="s">
        <v>109</v>
      </c>
      <c r="C57" t="s">
        <v>100</v>
      </c>
      <c r="D57" t="s">
        <v>97</v>
      </c>
      <c r="E57" s="4">
        <f>10.65+0.79</f>
        <v>11.440000000000001</v>
      </c>
      <c r="F57" s="4">
        <f>$E$5*(0.0164-0.0017)</f>
        <v>11.025</v>
      </c>
      <c r="G57" s="4">
        <f t="shared" si="56"/>
        <v>22.465000000000003</v>
      </c>
      <c r="H57" s="14" t="s">
        <v>102</v>
      </c>
      <c r="I57" s="4">
        <f>(0.0072+0.0015)*$E$5*Q57</f>
        <v>6.7540274999999985</v>
      </c>
      <c r="J57" s="4">
        <f t="shared" si="69"/>
        <v>2.6888354999999931</v>
      </c>
      <c r="K57" s="4">
        <f t="shared" si="70"/>
        <v>31.907862999999995</v>
      </c>
      <c r="L57" s="4">
        <f t="shared" si="71"/>
        <v>4.6750524999999996</v>
      </c>
      <c r="M57" s="4">
        <f t="shared" si="58"/>
        <v>5.25</v>
      </c>
      <c r="N57" s="4">
        <f t="shared" si="59"/>
        <v>76.605000000000004</v>
      </c>
      <c r="O57" s="4">
        <f t="shared" ref="O57" si="73">K57+L57+M57+N57</f>
        <v>118.4379155</v>
      </c>
      <c r="Q57" s="6">
        <v>1.0350999999999999</v>
      </c>
      <c r="U57" t="s">
        <v>163</v>
      </c>
      <c r="V57" s="37">
        <v>82425</v>
      </c>
    </row>
    <row r="58" spans="1:22" ht="18" x14ac:dyDescent="0.25">
      <c r="A58">
        <v>41</v>
      </c>
      <c r="B58" t="s">
        <v>46</v>
      </c>
      <c r="C58" s="12" t="s">
        <v>98</v>
      </c>
      <c r="D58" t="s">
        <v>96</v>
      </c>
      <c r="E58" s="4">
        <f>10.27+0.79</f>
        <v>11.059999999999999</v>
      </c>
      <c r="F58" s="4">
        <f>$E$5*(0.0148+0.0013-0.0013+0.0022)</f>
        <v>12.750000000000002</v>
      </c>
      <c r="G58" s="4">
        <f t="shared" si="56"/>
        <v>23.810000000000002</v>
      </c>
      <c r="H58" s="14" t="s">
        <v>102</v>
      </c>
      <c r="I58" s="4">
        <f>(0.0067+0.0047)*$E$5*Q58</f>
        <v>9.0330750000000002</v>
      </c>
      <c r="J58" s="4">
        <f t="shared" si="69"/>
        <v>4.3281825000000005</v>
      </c>
      <c r="K58" s="4">
        <f t="shared" si="70"/>
        <v>37.171257499999996</v>
      </c>
      <c r="L58" s="4">
        <f t="shared" si="71"/>
        <v>4.7665375000000001</v>
      </c>
      <c r="M58" s="4">
        <f t="shared" si="58"/>
        <v>5.25</v>
      </c>
      <c r="N58" s="4">
        <f t="shared" si="59"/>
        <v>76.605000000000004</v>
      </c>
      <c r="O58" s="4">
        <f t="shared" ref="O58" si="74">K58+L58+M58+N58</f>
        <v>123.792795</v>
      </c>
      <c r="Q58" s="6">
        <v>1.0565</v>
      </c>
      <c r="U58" t="s">
        <v>164</v>
      </c>
      <c r="V58" s="37">
        <v>8800</v>
      </c>
    </row>
    <row r="59" spans="1:22" ht="18" x14ac:dyDescent="0.25">
      <c r="A59">
        <v>42</v>
      </c>
      <c r="B59" t="s">
        <v>47</v>
      </c>
      <c r="C59" t="s">
        <v>100</v>
      </c>
      <c r="D59" t="s">
        <v>97</v>
      </c>
      <c r="E59" s="4">
        <f>20.23+0.79</f>
        <v>21.02</v>
      </c>
      <c r="F59" s="4">
        <f>$E$5*(0.0148+0.0034)</f>
        <v>13.65</v>
      </c>
      <c r="G59" s="4">
        <f t="shared" si="56"/>
        <v>34.67</v>
      </c>
      <c r="H59" s="14" t="s">
        <v>102</v>
      </c>
      <c r="I59" s="4">
        <f>(0.0059+0.0042)*$E$5*Q59</f>
        <v>8.1378224999999986</v>
      </c>
      <c r="J59" s="4">
        <f t="shared" ref="J59" si="75">(Q59*$E$5-$E$5)*$S$5</f>
        <v>5.6917515000000032</v>
      </c>
      <c r="K59" s="4">
        <f t="shared" ref="K59" si="76">G59+I59+J59</f>
        <v>48.499574000000003</v>
      </c>
      <c r="L59" s="4">
        <f t="shared" ref="L59" si="77">$E$5*Q59*(0.0044+0.0013)+0.25</f>
        <v>4.8426325000000006</v>
      </c>
      <c r="M59" s="4">
        <f t="shared" si="58"/>
        <v>5.25</v>
      </c>
      <c r="N59" s="4">
        <f t="shared" si="59"/>
        <v>76.605000000000004</v>
      </c>
      <c r="O59" s="4">
        <f t="shared" ref="O59" si="78">K59+L59+M59+N59</f>
        <v>135.19720649999999</v>
      </c>
      <c r="Q59" s="6">
        <v>1.0743</v>
      </c>
      <c r="U59" t="s">
        <v>165</v>
      </c>
      <c r="V59" s="37">
        <f>(8073/(2884+8073))*10986</f>
        <v>8094.3668887469194</v>
      </c>
    </row>
    <row r="60" spans="1:22" ht="18" x14ac:dyDescent="0.25">
      <c r="A60">
        <v>43</v>
      </c>
      <c r="B60" t="s">
        <v>48</v>
      </c>
      <c r="C60" t="s">
        <v>100</v>
      </c>
      <c r="D60" t="s">
        <v>96</v>
      </c>
      <c r="E60" s="4">
        <f>13.5+0.79</f>
        <v>14.29</v>
      </c>
      <c r="F60" s="4">
        <f>$E$5*(0.0159)</f>
        <v>11.925000000000001</v>
      </c>
      <c r="G60" s="4">
        <f t="shared" si="56"/>
        <v>26.215</v>
      </c>
      <c r="H60" s="14" t="s">
        <v>102</v>
      </c>
      <c r="I60" s="4">
        <f>(0.0073+0.0059)*$E$5*Q60</f>
        <v>10.246499999999999</v>
      </c>
      <c r="J60" s="4">
        <f t="shared" ref="J60" si="79">(Q60*$E$5-$E$5)*$S$5</f>
        <v>2.6811749999999885</v>
      </c>
      <c r="K60" s="4">
        <f t="shared" ref="K60" si="80">G60+I60+J60</f>
        <v>39.14267499999999</v>
      </c>
      <c r="L60" s="4">
        <f t="shared" ref="L60" si="81">$E$5*Q60*(0.0044+0.0013)+0.25</f>
        <v>4.6746249999999998</v>
      </c>
      <c r="M60" s="4">
        <f t="shared" si="58"/>
        <v>5.25</v>
      </c>
      <c r="N60" s="4">
        <f t="shared" si="59"/>
        <v>76.605000000000004</v>
      </c>
      <c r="O60" s="4">
        <f t="shared" ref="O60" si="82">K60+L60+M60+N60</f>
        <v>125.67229999999999</v>
      </c>
      <c r="Q60" s="6">
        <v>1.0349999999999999</v>
      </c>
      <c r="U60" t="s">
        <v>166</v>
      </c>
      <c r="V60" s="37">
        <v>138568</v>
      </c>
    </row>
    <row r="61" spans="1:22" ht="18" x14ac:dyDescent="0.25">
      <c r="A61">
        <v>44</v>
      </c>
      <c r="B61" t="s">
        <v>49</v>
      </c>
      <c r="C61" t="s">
        <v>100</v>
      </c>
      <c r="D61" t="s">
        <v>96</v>
      </c>
      <c r="E61" s="4">
        <f>15.6+0.88+0.79</f>
        <v>17.27</v>
      </c>
      <c r="F61" s="4">
        <f>$E$5*(0.0205+0.002+0.0006)</f>
        <v>17.324999999999999</v>
      </c>
      <c r="G61" s="4">
        <f t="shared" si="56"/>
        <v>34.594999999999999</v>
      </c>
      <c r="H61" s="14" t="s">
        <v>102</v>
      </c>
      <c r="I61" s="4">
        <f>(0.0069+0.0049)*$E$5*Q61</f>
        <v>9.4535699999999991</v>
      </c>
      <c r="J61" s="4">
        <f t="shared" ref="J61" si="83">(Q61*$E$5-$E$5)*$S$5</f>
        <v>5.224460999999998</v>
      </c>
      <c r="K61" s="4">
        <f t="shared" ref="K61" si="84">G61+I61+J61</f>
        <v>49.273030999999996</v>
      </c>
      <c r="L61" s="4">
        <f t="shared" ref="L61" si="85">$E$5*Q61*(0.0044+0.0013)+0.25</f>
        <v>4.8165550000000001</v>
      </c>
      <c r="M61" s="4">
        <f t="shared" si="58"/>
        <v>5.25</v>
      </c>
      <c r="N61" s="4">
        <f t="shared" si="59"/>
        <v>76.605000000000004</v>
      </c>
      <c r="O61" s="4">
        <f t="shared" ref="O61" si="86">K61+L61+M61+N61</f>
        <v>135.94458600000002</v>
      </c>
      <c r="Q61" s="6">
        <v>1.0682</v>
      </c>
      <c r="U61" t="s">
        <v>167</v>
      </c>
      <c r="V61" s="37">
        <v>6163</v>
      </c>
    </row>
    <row r="62" spans="1:22" ht="18" x14ac:dyDescent="0.25">
      <c r="A62">
        <v>45</v>
      </c>
      <c r="B62" t="s">
        <v>50</v>
      </c>
      <c r="C62" s="12" t="s">
        <v>98</v>
      </c>
      <c r="D62" t="s">
        <v>96</v>
      </c>
      <c r="E62" s="4">
        <f>15.43+1.09+0.08+0.79</f>
        <v>17.389999999999997</v>
      </c>
      <c r="F62" s="4">
        <f>$E$5*(0.0144+0.0002)</f>
        <v>10.95</v>
      </c>
      <c r="G62" s="4">
        <f t="shared" si="56"/>
        <v>28.339999999999996</v>
      </c>
      <c r="H62" s="14" t="s">
        <v>102</v>
      </c>
      <c r="I62" s="4">
        <f>(0.0079+0.006)*$E$5*Q62</f>
        <v>10.802385000000001</v>
      </c>
      <c r="J62" s="4">
        <f t="shared" ref="J62" si="87">(Q62*$E$5-$E$5)*$S$5</f>
        <v>2.7731009999999978</v>
      </c>
      <c r="K62" s="4">
        <f t="shared" ref="K62" si="88">G62+I62+J62</f>
        <v>41.915485999999994</v>
      </c>
      <c r="L62" s="4">
        <f t="shared" ref="L62" si="89">$E$5*Q62*(0.0044+0.0013)+0.25</f>
        <v>4.6797550000000001</v>
      </c>
      <c r="M62" s="4">
        <f t="shared" si="58"/>
        <v>5.25</v>
      </c>
      <c r="N62" s="4">
        <f t="shared" si="59"/>
        <v>76.605000000000004</v>
      </c>
      <c r="O62" s="4">
        <f t="shared" ref="O62" si="90">K62+L62+M62+N62</f>
        <v>128.45024100000001</v>
      </c>
      <c r="Q62" s="6">
        <v>1.0362</v>
      </c>
      <c r="U62" t="s">
        <v>168</v>
      </c>
      <c r="V62" s="37">
        <v>32268</v>
      </c>
    </row>
    <row r="63" spans="1:22" x14ac:dyDescent="0.25">
      <c r="A63">
        <v>46</v>
      </c>
      <c r="B63" t="s">
        <v>51</v>
      </c>
      <c r="C63" s="11" t="s">
        <v>293</v>
      </c>
      <c r="D63" s="11"/>
      <c r="E63" s="22">
        <f>15+0.79</f>
        <v>15.79</v>
      </c>
      <c r="F63" s="4">
        <f>$E$5*(0.0146)</f>
        <v>10.95</v>
      </c>
      <c r="G63" s="4">
        <f t="shared" si="56"/>
        <v>26.74</v>
      </c>
      <c r="I63" s="4">
        <f>(0.0082+0.006)*$E$5*Q63</f>
        <v>11.057895</v>
      </c>
      <c r="J63" s="4">
        <f t="shared" ref="J63" si="91">(Q63*$E$5-$E$5)*$S$5</f>
        <v>2.9339715000000024</v>
      </c>
      <c r="K63" s="4">
        <f t="shared" ref="K63" si="92">G63+I63+J63</f>
        <v>40.731866500000002</v>
      </c>
      <c r="L63" s="4">
        <f t="shared" ref="L63" si="93">$E$5*Q63*(0.0044+0.0013)+0.25</f>
        <v>4.6887325000000004</v>
      </c>
      <c r="M63" s="4">
        <f t="shared" si="58"/>
        <v>5.25</v>
      </c>
      <c r="N63" s="4">
        <f t="shared" si="59"/>
        <v>76.605000000000004</v>
      </c>
      <c r="O63" s="4">
        <f t="shared" ref="O63" si="94">K63+L63+M63+N63</f>
        <v>127.275599</v>
      </c>
      <c r="Q63" s="6">
        <v>1.0383</v>
      </c>
      <c r="U63" t="s">
        <v>169</v>
      </c>
      <c r="V63" s="37">
        <v>31349</v>
      </c>
    </row>
    <row r="64" spans="1:22" ht="18" x14ac:dyDescent="0.25">
      <c r="A64">
        <v>47</v>
      </c>
      <c r="B64" t="s">
        <v>110</v>
      </c>
      <c r="C64" s="12" t="s">
        <v>98</v>
      </c>
      <c r="D64" t="s">
        <v>96</v>
      </c>
      <c r="E64" s="4">
        <f>18.17+0.79</f>
        <v>18.96</v>
      </c>
      <c r="F64" s="4">
        <f>$E$5*(0.0128-0.001+0.0007+0.0002)</f>
        <v>9.5250000000000004</v>
      </c>
      <c r="G64" s="4">
        <f t="shared" si="56"/>
        <v>28.484999999999999</v>
      </c>
      <c r="H64" s="14" t="s">
        <v>102</v>
      </c>
      <c r="I64" s="4">
        <f>(0.0076+0.0014)*$E$5*Q64</f>
        <v>7.0058249999999997</v>
      </c>
      <c r="J64" s="4">
        <f t="shared" ref="J64" si="95">(Q64*$E$5-$E$5)*$S$5</f>
        <v>2.903329500000007</v>
      </c>
      <c r="K64" s="4">
        <f t="shared" ref="K64" si="96">G64+I64+J64</f>
        <v>38.394154500000006</v>
      </c>
      <c r="L64" s="4">
        <f t="shared" ref="L64" si="97">$E$5*Q64*(0.0044+0.0013)+0.25</f>
        <v>4.6870225000000003</v>
      </c>
      <c r="M64" s="4">
        <f t="shared" si="58"/>
        <v>5.25</v>
      </c>
      <c r="N64" s="4">
        <f t="shared" si="59"/>
        <v>76.605000000000004</v>
      </c>
      <c r="O64" s="4">
        <f t="shared" ref="O64" si="98">K64+L64+M64+N64</f>
        <v>124.93617700000001</v>
      </c>
      <c r="Q64" s="6">
        <v>1.0379</v>
      </c>
      <c r="U64" s="12" t="s">
        <v>171</v>
      </c>
      <c r="V64" s="37">
        <v>7230</v>
      </c>
    </row>
    <row r="65" spans="1:22" ht="18.75" x14ac:dyDescent="0.3">
      <c r="A65">
        <v>48</v>
      </c>
      <c r="B65" t="s">
        <v>124</v>
      </c>
      <c r="C65" t="s">
        <v>92</v>
      </c>
      <c r="D65" t="s">
        <v>123</v>
      </c>
      <c r="E65" s="4">
        <f>18.43+0.79+0.93</f>
        <v>20.149999999999999</v>
      </c>
      <c r="F65" s="4">
        <f>$E$5*(0.0185+0.0005-0.0005-0.003)</f>
        <v>11.625</v>
      </c>
      <c r="G65" s="4">
        <f t="shared" si="56"/>
        <v>31.774999999999999</v>
      </c>
      <c r="H65" s="16" t="s">
        <v>120</v>
      </c>
      <c r="I65" s="4">
        <f>(0.0076+0.0053)*$E$5*Q65</f>
        <v>10.1384325</v>
      </c>
      <c r="J65" s="4">
        <f t="shared" ref="J65" si="99">(Q65*$E$5-$E$5)*$S$5</f>
        <v>3.6693795000000073</v>
      </c>
      <c r="K65" s="4">
        <f t="shared" ref="K65" si="100">G65+I65+J65</f>
        <v>45.582812000000004</v>
      </c>
      <c r="L65" s="4">
        <f t="shared" ref="L65" si="101">$E$5*Q65*(0.0044+0.0013)+0.25</f>
        <v>4.7297725000000002</v>
      </c>
      <c r="M65" s="4">
        <f t="shared" si="58"/>
        <v>5.25</v>
      </c>
      <c r="N65" s="4">
        <f t="shared" si="59"/>
        <v>76.605000000000004</v>
      </c>
      <c r="O65" s="4">
        <f t="shared" ref="O65" si="102">K65+L65+M65+N65</f>
        <v>132.1675845</v>
      </c>
      <c r="Q65" s="6">
        <v>1.0479000000000001</v>
      </c>
      <c r="U65" s="12" t="s">
        <v>170</v>
      </c>
      <c r="V65" s="37">
        <v>46600</v>
      </c>
    </row>
    <row r="66" spans="1:22" ht="18.75" x14ac:dyDescent="0.3">
      <c r="A66">
        <v>49</v>
      </c>
      <c r="B66" t="s">
        <v>52</v>
      </c>
      <c r="D66" s="11" t="s">
        <v>119</v>
      </c>
      <c r="E66" s="4">
        <f>20.87+0.1+0.93+0.79-0.31</f>
        <v>22.380000000000003</v>
      </c>
      <c r="F66" s="4">
        <f>$E$5*(0.0218-0.0003+0.0009+0.0002)</f>
        <v>16.95</v>
      </c>
      <c r="G66" s="4">
        <f t="shared" si="56"/>
        <v>39.33</v>
      </c>
      <c r="H66" s="16" t="s">
        <v>120</v>
      </c>
      <c r="I66" s="4">
        <f>(0.0067+0.0032)*$E$5*Q66</f>
        <v>7.843770000000001</v>
      </c>
      <c r="J66" s="4">
        <f t="shared" ref="J66:J67" si="103">(Q66*$E$5-$E$5)*$S$5</f>
        <v>4.320521999999996</v>
      </c>
      <c r="K66" s="4">
        <f t="shared" ref="K66:K67" si="104">G66+I66+J66</f>
        <v>51.494291999999994</v>
      </c>
      <c r="L66" s="4">
        <f t="shared" ref="L66:L67" si="105">$E$5*Q66*(0.0044+0.0013)+0.25</f>
        <v>4.7661100000000003</v>
      </c>
      <c r="M66" s="4">
        <f t="shared" si="58"/>
        <v>5.25</v>
      </c>
      <c r="N66" s="4">
        <f t="shared" si="59"/>
        <v>76.605000000000004</v>
      </c>
      <c r="O66" s="4">
        <f t="shared" ref="O66" si="106">K66+L66+M66+N66</f>
        <v>138.11540199999999</v>
      </c>
      <c r="Q66" s="6">
        <v>1.0564</v>
      </c>
      <c r="U66" t="s">
        <v>172</v>
      </c>
      <c r="V66" s="37">
        <v>17393</v>
      </c>
    </row>
    <row r="67" spans="1:22" ht="18.75" x14ac:dyDescent="0.3">
      <c r="A67">
        <v>50</v>
      </c>
      <c r="B67" s="11" t="s">
        <v>53</v>
      </c>
      <c r="C67" t="s">
        <v>92</v>
      </c>
      <c r="D67" s="11" t="s">
        <v>276</v>
      </c>
      <c r="E67" s="22">
        <f>15.71+0.79+0.85</f>
        <v>17.350000000000001</v>
      </c>
      <c r="F67" s="4">
        <f>$E$5*(0.0141+0.00007)</f>
        <v>10.6275</v>
      </c>
      <c r="G67" s="4">
        <f t="shared" ref="G67" si="107">E67+F67</f>
        <v>27.977499999999999</v>
      </c>
      <c r="H67" s="16" t="s">
        <v>120</v>
      </c>
      <c r="I67" s="4">
        <f>(0.0075+0.0059)*$E$5*Q67</f>
        <v>10.523354999999999</v>
      </c>
      <c r="J67" s="4">
        <f t="shared" si="103"/>
        <v>3.6080954999999935</v>
      </c>
      <c r="K67" s="4">
        <f t="shared" si="104"/>
        <v>42.108950499999992</v>
      </c>
      <c r="L67" s="4">
        <f t="shared" si="105"/>
        <v>4.7263525</v>
      </c>
      <c r="M67" s="4">
        <f t="shared" si="58"/>
        <v>5.25</v>
      </c>
      <c r="N67" s="4">
        <f t="shared" si="59"/>
        <v>76.605000000000004</v>
      </c>
      <c r="O67" s="4">
        <f t="shared" ref="O67" si="108">K67+L67+M67+N67</f>
        <v>128.690303</v>
      </c>
      <c r="Q67" s="6">
        <v>1.0470999999999999</v>
      </c>
      <c r="U67" t="s">
        <v>173</v>
      </c>
      <c r="V67" s="37">
        <v>21067</v>
      </c>
    </row>
    <row r="68" spans="1:22" ht="18" x14ac:dyDescent="0.25">
      <c r="A68">
        <v>51</v>
      </c>
      <c r="B68" t="s">
        <v>54</v>
      </c>
      <c r="C68" t="s">
        <v>100</v>
      </c>
      <c r="D68" t="s">
        <v>96</v>
      </c>
      <c r="E68" s="4">
        <f>21.03+0.79</f>
        <v>21.82</v>
      </c>
      <c r="F68" s="4">
        <f>$E$5*(0.016+0.0013-0.0027)</f>
        <v>10.95</v>
      </c>
      <c r="G68" s="4">
        <f t="shared" si="56"/>
        <v>32.769999999999996</v>
      </c>
      <c r="H68" s="14" t="s">
        <v>102</v>
      </c>
      <c r="I68" s="4">
        <f>(0.0052+0.0022)*$E$5*Q68</f>
        <v>5.945714999999999</v>
      </c>
      <c r="J68" s="4">
        <f t="shared" ref="J68" si="109">(Q68*$E$5-$E$5)*$S$5</f>
        <v>5.4619364999999913</v>
      </c>
      <c r="K68" s="4">
        <f t="shared" ref="K68" si="110">G68+I68+J68</f>
        <v>44.177651499999989</v>
      </c>
      <c r="L68" s="4">
        <f t="shared" ref="L68" si="111">$E$5*Q68*(0.0044+0.0013)+0.25</f>
        <v>4.8298074999999994</v>
      </c>
      <c r="M68" s="4">
        <f t="shared" si="58"/>
        <v>5.25</v>
      </c>
      <c r="N68" s="4">
        <f t="shared" si="59"/>
        <v>76.605000000000004</v>
      </c>
      <c r="O68" s="4">
        <f t="shared" ref="O68" si="112">K68+L68+M68+N68</f>
        <v>130.862459</v>
      </c>
      <c r="Q68" s="6">
        <v>1.0712999999999999</v>
      </c>
      <c r="U68" t="s">
        <v>174</v>
      </c>
      <c r="V68" s="37">
        <v>5237</v>
      </c>
    </row>
    <row r="69" spans="1:22" ht="18" x14ac:dyDescent="0.25">
      <c r="A69">
        <v>52</v>
      </c>
      <c r="B69" t="s">
        <v>111</v>
      </c>
      <c r="C69" s="12" t="s">
        <v>98</v>
      </c>
      <c r="D69" t="s">
        <v>97</v>
      </c>
      <c r="E69" s="4">
        <f>14.59+0.77+0.79+0.26</f>
        <v>16.41</v>
      </c>
      <c r="F69" s="4">
        <f>$E$5*(0.0159+0.0004-0.0005-0.0006+0.0003+0.0002)</f>
        <v>11.775000000000002</v>
      </c>
      <c r="G69" s="4">
        <f t="shared" si="56"/>
        <v>28.185000000000002</v>
      </c>
      <c r="H69" s="14" t="s">
        <v>102</v>
      </c>
      <c r="I69" s="4">
        <f>(0.0083+0.0056)*$E$5*Q69</f>
        <v>10.816979999999999</v>
      </c>
      <c r="J69" s="4">
        <f t="shared" ref="J69" si="113">(Q69*$E$5-$E$5)*$S$5</f>
        <v>2.880348000000005</v>
      </c>
      <c r="K69" s="4">
        <f t="shared" ref="K69" si="114">G69+I69+J69</f>
        <v>41.882328000000008</v>
      </c>
      <c r="L69" s="4">
        <f t="shared" ref="L69" si="115">$E$5*Q69*(0.0044+0.0013)+0.25</f>
        <v>4.68574</v>
      </c>
      <c r="M69" s="4">
        <f t="shared" si="58"/>
        <v>5.25</v>
      </c>
      <c r="N69" s="4">
        <f t="shared" si="59"/>
        <v>76.605000000000004</v>
      </c>
      <c r="O69" s="4">
        <f t="shared" ref="O69" si="116">K69+L69+M69+N69</f>
        <v>128.423068</v>
      </c>
      <c r="Q69" s="6">
        <v>1.0376000000000001</v>
      </c>
      <c r="U69" t="s">
        <v>175</v>
      </c>
      <c r="V69" s="37">
        <v>60486</v>
      </c>
    </row>
    <row r="70" spans="1:22" ht="18" x14ac:dyDescent="0.25">
      <c r="A70">
        <v>53</v>
      </c>
      <c r="B70" t="s">
        <v>112</v>
      </c>
      <c r="C70" t="s">
        <v>100</v>
      </c>
      <c r="D70" t="s">
        <v>96</v>
      </c>
      <c r="E70" s="4">
        <f>15.45+1.04+0.79</f>
        <v>17.279999999999998</v>
      </c>
      <c r="F70" s="4">
        <f>$E$5*(0.0133+0.0017-0.0014+0.001)</f>
        <v>10.95</v>
      </c>
      <c r="G70" s="4">
        <f t="shared" si="56"/>
        <v>28.229999999999997</v>
      </c>
      <c r="H70" s="14" t="s">
        <v>102</v>
      </c>
      <c r="I70" s="4">
        <f>(0.0068+0.0035)*$E$5*Q70</f>
        <v>8.0965725000000006</v>
      </c>
      <c r="J70" s="4">
        <f t="shared" ref="J70" si="117">(Q70*$E$5-$E$5)*$S$5</f>
        <v>3.6847005000000048</v>
      </c>
      <c r="K70" s="4">
        <f t="shared" ref="K70" si="118">G70+I70+J70</f>
        <v>40.011273000000003</v>
      </c>
      <c r="L70" s="4">
        <f t="shared" ref="L70" si="119">$E$5*Q70*(0.0044+0.0013)+0.25</f>
        <v>4.7306275000000007</v>
      </c>
      <c r="M70" s="4">
        <f t="shared" si="58"/>
        <v>5.25</v>
      </c>
      <c r="N70" s="4">
        <f t="shared" si="59"/>
        <v>76.605000000000004</v>
      </c>
      <c r="O70" s="4">
        <f t="shared" ref="O70" si="120">K70+L70+M70+N70</f>
        <v>126.5969005</v>
      </c>
      <c r="Q70" s="6">
        <v>1.0481</v>
      </c>
      <c r="U70" t="s">
        <v>176</v>
      </c>
      <c r="V70" s="37">
        <v>10407</v>
      </c>
    </row>
    <row r="71" spans="1:22" ht="18" x14ac:dyDescent="0.25">
      <c r="A71">
        <v>54</v>
      </c>
      <c r="B71" t="s">
        <v>55</v>
      </c>
      <c r="C71" s="12" t="s">
        <v>98</v>
      </c>
      <c r="D71" t="s">
        <v>96</v>
      </c>
      <c r="E71" s="4">
        <f>14.02+2.56+0.79</f>
        <v>17.369999999999997</v>
      </c>
      <c r="F71" s="4">
        <f>$E$5*(0.0167+0.0006-0.0002)</f>
        <v>12.825000000000001</v>
      </c>
      <c r="G71" s="4">
        <f t="shared" si="56"/>
        <v>30.195</v>
      </c>
      <c r="H71" s="14" t="s">
        <v>102</v>
      </c>
      <c r="I71" s="4">
        <f>(0.0054+0.0038)*$E$5*Q71</f>
        <v>7.2870900000000001</v>
      </c>
      <c r="J71" s="4">
        <f t="shared" ref="J71" si="121">(Q71*$E$5-$E$5)*$S$5</f>
        <v>4.2975405000000046</v>
      </c>
      <c r="K71" s="4">
        <f t="shared" ref="K71" si="122">G71+I71+J71</f>
        <v>41.779630500000003</v>
      </c>
      <c r="L71" s="4">
        <f t="shared" ref="L71" si="123">$E$5*Q71*(0.0044+0.0013)+0.25</f>
        <v>4.7648275</v>
      </c>
      <c r="M71" s="20">
        <f>0.0049*$E$5</f>
        <v>3.6749999999999998</v>
      </c>
      <c r="N71" s="4">
        <f t="shared" si="59"/>
        <v>76.605000000000004</v>
      </c>
      <c r="O71" s="4">
        <f t="shared" ref="O71" si="124">K71+L71+M71+N71</f>
        <v>126.82445800000001</v>
      </c>
      <c r="Q71" s="6">
        <v>1.0561</v>
      </c>
      <c r="U71" t="s">
        <v>177</v>
      </c>
      <c r="V71" s="37">
        <v>11816</v>
      </c>
    </row>
    <row r="72" spans="1:22" x14ac:dyDescent="0.25">
      <c r="A72">
        <v>55</v>
      </c>
      <c r="B72" t="s">
        <v>56</v>
      </c>
      <c r="C72" s="12" t="s">
        <v>118</v>
      </c>
      <c r="D72" s="11" t="s">
        <v>117</v>
      </c>
      <c r="E72" s="4"/>
      <c r="F72" s="4"/>
      <c r="G72" s="4"/>
      <c r="U72" t="s">
        <v>178</v>
      </c>
      <c r="V72" s="37">
        <v>50365</v>
      </c>
    </row>
    <row r="73" spans="1:22" x14ac:dyDescent="0.25">
      <c r="A73">
        <v>56</v>
      </c>
      <c r="B73" t="s">
        <v>57</v>
      </c>
      <c r="D73" s="11" t="s">
        <v>126</v>
      </c>
      <c r="E73" s="17"/>
      <c r="F73" s="4"/>
      <c r="G73" s="4"/>
      <c r="U73" t="s">
        <v>179</v>
      </c>
      <c r="V73" s="37">
        <v>9358</v>
      </c>
    </row>
    <row r="74" spans="1:22" ht="18" x14ac:dyDescent="0.25">
      <c r="A74">
        <v>57</v>
      </c>
      <c r="B74" s="11" t="s">
        <v>58</v>
      </c>
      <c r="C74" t="s">
        <v>100</v>
      </c>
      <c r="D74" t="s">
        <v>97</v>
      </c>
      <c r="E74" s="4">
        <f>22.5+4.11+0.79</f>
        <v>27.4</v>
      </c>
      <c r="F74" s="4">
        <f>$E$5*(0.0179+0.0011)</f>
        <v>14.25</v>
      </c>
      <c r="G74" s="4">
        <f t="shared" ref="G74:G79" si="125">E74+F74</f>
        <v>41.65</v>
      </c>
      <c r="H74" s="14" t="s">
        <v>102</v>
      </c>
      <c r="I74" s="4">
        <f>(0.0061+0.0043)*$E$5*Q74</f>
        <v>8.4310200000000002</v>
      </c>
      <c r="J74" s="4">
        <f t="shared" ref="J74:J79" si="126">(Q74*$E$5-$E$5)*$S$5</f>
        <v>6.1973444999999963</v>
      </c>
      <c r="K74" s="4">
        <f t="shared" ref="K74:K79" si="127">G74+I74+J74</f>
        <v>56.278364499999995</v>
      </c>
      <c r="L74" s="4">
        <f t="shared" ref="L74:L79" si="128">$E$5*Q74*(0.0044+0.0013)+0.25</f>
        <v>4.8708475</v>
      </c>
      <c r="M74" s="20">
        <f>0.0065*$E$5</f>
        <v>4.875</v>
      </c>
      <c r="N74" s="4">
        <f t="shared" ref="N74:N94" si="129">$E$5*$S$5</f>
        <v>76.605000000000004</v>
      </c>
      <c r="O74" s="4">
        <f t="shared" ref="O74:O77" si="130">K74+L74+M74+N74</f>
        <v>142.629212</v>
      </c>
      <c r="Q74" s="6">
        <v>1.0809</v>
      </c>
      <c r="U74" s="11" t="s">
        <v>58</v>
      </c>
      <c r="V74" s="37">
        <f>(2884/(2884+8073))*10986</f>
        <v>2891.6331112530802</v>
      </c>
    </row>
    <row r="75" spans="1:22" ht="18" x14ac:dyDescent="0.25">
      <c r="A75">
        <v>58</v>
      </c>
      <c r="B75" t="s">
        <v>59</v>
      </c>
      <c r="C75" t="s">
        <v>100</v>
      </c>
      <c r="D75" t="s">
        <v>96</v>
      </c>
      <c r="E75" s="4">
        <f>12.57+0.79</f>
        <v>13.36</v>
      </c>
      <c r="F75" s="4">
        <f>$E$5*(0.0123+0.001-0.0002-0.001)</f>
        <v>9.0749999999999993</v>
      </c>
      <c r="G75" s="4">
        <f t="shared" si="125"/>
        <v>22.434999999999999</v>
      </c>
      <c r="H75" s="14" t="s">
        <v>102</v>
      </c>
      <c r="I75" s="4">
        <f>(0.0072+0.005)*$E$5*Q75</f>
        <v>9.6514199999999981</v>
      </c>
      <c r="J75" s="4">
        <f t="shared" si="126"/>
        <v>4.1979540000000028</v>
      </c>
      <c r="K75" s="4">
        <f t="shared" si="127"/>
        <v>36.284374</v>
      </c>
      <c r="L75" s="4">
        <f t="shared" si="128"/>
        <v>4.7592699999999999</v>
      </c>
      <c r="M75" s="20">
        <f>0.0067*$E$5</f>
        <v>5.0250000000000004</v>
      </c>
      <c r="N75" s="4">
        <f t="shared" si="129"/>
        <v>76.605000000000004</v>
      </c>
      <c r="O75" s="4">
        <f t="shared" si="130"/>
        <v>122.673644</v>
      </c>
      <c r="Q75" s="6">
        <v>1.0548</v>
      </c>
      <c r="U75" t="s">
        <v>180</v>
      </c>
      <c r="V75" s="37">
        <v>32140</v>
      </c>
    </row>
    <row r="76" spans="1:22" ht="18" x14ac:dyDescent="0.25">
      <c r="A76">
        <v>59</v>
      </c>
      <c r="B76" t="s">
        <v>60</v>
      </c>
      <c r="C76" s="12" t="s">
        <v>98</v>
      </c>
      <c r="D76" t="s">
        <v>97</v>
      </c>
      <c r="E76" s="4">
        <f>12.67+0.2+0.07+0.79</f>
        <v>13.73</v>
      </c>
      <c r="F76" s="4">
        <f>$E$5*(0.014+0.0003-0.0006+0.0001+0.0001+0.0002)</f>
        <v>10.574999999999999</v>
      </c>
      <c r="G76" s="4">
        <f t="shared" si="125"/>
        <v>24.305</v>
      </c>
      <c r="H76" s="10" t="s">
        <v>102</v>
      </c>
      <c r="I76" s="4">
        <f>(0.008+0.0035)*$E$5*Q76</f>
        <v>8.9225624999999997</v>
      </c>
      <c r="J76" s="4">
        <f t="shared" si="126"/>
        <v>2.6428725000000002</v>
      </c>
      <c r="K76" s="4">
        <f t="shared" si="127"/>
        <v>35.870435000000001</v>
      </c>
      <c r="L76" s="4">
        <f t="shared" si="128"/>
        <v>4.6724874999999999</v>
      </c>
      <c r="M76" s="4">
        <f t="shared" ref="M76:M94" si="131">0.007*$E$5</f>
        <v>5.25</v>
      </c>
      <c r="N76" s="4">
        <f t="shared" si="129"/>
        <v>76.605000000000004</v>
      </c>
      <c r="O76" s="4">
        <f t="shared" si="130"/>
        <v>122.39792250000001</v>
      </c>
      <c r="Q76" s="6">
        <v>1.0345</v>
      </c>
      <c r="U76" t="s">
        <v>181</v>
      </c>
      <c r="V76" s="37">
        <v>316596</v>
      </c>
    </row>
    <row r="77" spans="1:22" ht="18" x14ac:dyDescent="0.25">
      <c r="A77">
        <v>60</v>
      </c>
      <c r="B77" t="s">
        <v>61</v>
      </c>
      <c r="C77" s="12" t="s">
        <v>98</v>
      </c>
      <c r="D77" t="s">
        <v>97</v>
      </c>
      <c r="E77" s="4">
        <f>12.67+0.2+0.07+0.79</f>
        <v>13.73</v>
      </c>
      <c r="F77" s="4">
        <f>$E$5*(0.014+0.0003-0.0006+0.0001+0.0001)</f>
        <v>10.424999999999999</v>
      </c>
      <c r="G77" s="4">
        <f t="shared" si="125"/>
        <v>24.155000000000001</v>
      </c>
      <c r="H77" s="10" t="s">
        <v>102</v>
      </c>
      <c r="I77" s="4">
        <f>(0.008+0.0035)*$E$5*Q77</f>
        <v>8.9225624999999997</v>
      </c>
      <c r="J77" s="4">
        <f t="shared" si="126"/>
        <v>2.6428725000000002</v>
      </c>
      <c r="K77" s="4">
        <f t="shared" si="127"/>
        <v>35.720435000000002</v>
      </c>
      <c r="L77" s="4">
        <f t="shared" si="128"/>
        <v>4.6724874999999999</v>
      </c>
      <c r="M77" s="4">
        <f t="shared" si="131"/>
        <v>5.25</v>
      </c>
      <c r="N77" s="4">
        <f t="shared" si="129"/>
        <v>76.605000000000004</v>
      </c>
      <c r="O77" s="4">
        <f t="shared" si="130"/>
        <v>122.24792250000002</v>
      </c>
      <c r="Q77" s="6">
        <v>1.0345</v>
      </c>
      <c r="V77" s="37"/>
    </row>
    <row r="78" spans="1:22" ht="18" x14ac:dyDescent="0.25">
      <c r="A78">
        <v>61</v>
      </c>
      <c r="B78" t="s">
        <v>62</v>
      </c>
      <c r="C78" t="s">
        <v>100</v>
      </c>
      <c r="D78" t="s">
        <v>96</v>
      </c>
      <c r="E78" s="4">
        <f>9.91+0.79</f>
        <v>10.7</v>
      </c>
      <c r="F78" s="4">
        <f>$E$5*(0.0171)</f>
        <v>12.825000000000001</v>
      </c>
      <c r="G78" s="4">
        <f t="shared" si="125"/>
        <v>23.524999999999999</v>
      </c>
      <c r="H78" s="14" t="s">
        <v>102</v>
      </c>
      <c r="I78" s="4">
        <f>(0.0065)*$E$5*Q78</f>
        <v>5.1133875</v>
      </c>
      <c r="J78" s="4">
        <f t="shared" si="126"/>
        <v>3.7459844999999956</v>
      </c>
      <c r="K78" s="4">
        <f t="shared" si="127"/>
        <v>32.384371999999999</v>
      </c>
      <c r="L78" s="4">
        <f t="shared" si="128"/>
        <v>4.7340475</v>
      </c>
      <c r="M78" s="20">
        <f>0.002*$E$5</f>
        <v>1.5</v>
      </c>
      <c r="N78" s="4">
        <f t="shared" si="129"/>
        <v>76.605000000000004</v>
      </c>
      <c r="O78" s="4">
        <f t="shared" ref="O78" si="132">K78+L78+M78+N78</f>
        <v>115.22341950000001</v>
      </c>
      <c r="Q78" s="6">
        <v>1.0488999999999999</v>
      </c>
      <c r="U78" t="s">
        <v>182</v>
      </c>
      <c r="V78" s="37">
        <v>29635</v>
      </c>
    </row>
    <row r="79" spans="1:22" ht="18" x14ac:dyDescent="0.25">
      <c r="A79">
        <v>62</v>
      </c>
      <c r="B79" t="s">
        <v>63</v>
      </c>
      <c r="C79" t="s">
        <v>210</v>
      </c>
      <c r="D79" t="s">
        <v>96</v>
      </c>
      <c r="E79" s="4">
        <f>13.97+0.79</f>
        <v>14.760000000000002</v>
      </c>
      <c r="F79" s="4">
        <f>$E$5*(0.0145+0.0011-0.0026)</f>
        <v>9.75</v>
      </c>
      <c r="G79" s="4">
        <f t="shared" si="125"/>
        <v>24.51</v>
      </c>
      <c r="H79" s="14" t="s">
        <v>102</v>
      </c>
      <c r="I79" s="4">
        <f>(0.0064+0.0033)*$E$5*Q79</f>
        <v>7.8642750000000001</v>
      </c>
      <c r="J79" s="4">
        <f t="shared" si="126"/>
        <v>6.2050050000000008</v>
      </c>
      <c r="K79" s="4">
        <f t="shared" si="127"/>
        <v>38.579280000000004</v>
      </c>
      <c r="L79" s="4">
        <f t="shared" si="128"/>
        <v>4.8712749999999998</v>
      </c>
      <c r="M79" s="20">
        <f>0.0061*$E$5</f>
        <v>4.5750000000000002</v>
      </c>
      <c r="N79" s="4">
        <f t="shared" si="129"/>
        <v>76.605000000000004</v>
      </c>
      <c r="O79" s="4">
        <f t="shared" ref="O79:O80" si="133">K79+L79+M79+N79</f>
        <v>124.63055500000002</v>
      </c>
      <c r="Q79" s="6">
        <v>1.081</v>
      </c>
      <c r="U79" t="s">
        <v>183</v>
      </c>
      <c r="V79" s="37">
        <v>3756</v>
      </c>
    </row>
    <row r="80" spans="1:22" ht="18" x14ac:dyDescent="0.25">
      <c r="A80">
        <v>63</v>
      </c>
      <c r="B80" t="s">
        <v>64</v>
      </c>
      <c r="C80" t="s">
        <v>100</v>
      </c>
      <c r="D80" t="s">
        <v>96</v>
      </c>
      <c r="E80" s="4">
        <f>13.19+0.79</f>
        <v>13.98</v>
      </c>
      <c r="F80" s="4">
        <f>$E$5*(0.015+0.0024+0.0029)</f>
        <v>15.225</v>
      </c>
      <c r="G80" s="4">
        <f t="shared" ref="G80" si="134">E80+F80</f>
        <v>29.204999999999998</v>
      </c>
      <c r="H80" s="14" t="s">
        <v>102</v>
      </c>
      <c r="I80" s="4">
        <f>(0.0082+0.0059)*$E$5*Q80</f>
        <v>11.417827500000003</v>
      </c>
      <c r="J80" s="4">
        <f t="shared" ref="J80" si="135">(Q80*$E$5-$E$5)*$S$5</f>
        <v>6.1054185000000096</v>
      </c>
      <c r="K80" s="4">
        <f t="shared" ref="K80" si="136">G80+I80+J80</f>
        <v>46.728246000000013</v>
      </c>
      <c r="L80" s="4">
        <f t="shared" ref="L80" si="137">$E$5*Q80*(0.0044+0.0013)+0.25</f>
        <v>4.8657175000000006</v>
      </c>
      <c r="M80" s="4">
        <f t="shared" si="131"/>
        <v>5.25</v>
      </c>
      <c r="N80" s="4">
        <f t="shared" si="129"/>
        <v>76.605000000000004</v>
      </c>
      <c r="O80" s="4">
        <f t="shared" si="133"/>
        <v>133.44896350000002</v>
      </c>
      <c r="Q80" s="6">
        <v>1.0797000000000001</v>
      </c>
      <c r="U80" t="s">
        <v>184</v>
      </c>
      <c r="V80" s="37">
        <v>5040</v>
      </c>
    </row>
    <row r="81" spans="1:22" ht="18" x14ac:dyDescent="0.25">
      <c r="A81">
        <v>64</v>
      </c>
      <c r="B81" t="s">
        <v>65</v>
      </c>
      <c r="C81" t="s">
        <v>100</v>
      </c>
      <c r="D81" t="s">
        <v>96</v>
      </c>
      <c r="E81" s="4">
        <f>27+2.8+0.79</f>
        <v>30.59</v>
      </c>
      <c r="F81" s="4">
        <f>$E$5*(0.0116+0.0037+0.0026)</f>
        <v>13.424999999999999</v>
      </c>
      <c r="G81" s="4">
        <f t="shared" ref="G81:G82" si="138">E81+F81</f>
        <v>44.015000000000001</v>
      </c>
      <c r="H81" s="14" t="s">
        <v>102</v>
      </c>
      <c r="I81" s="4">
        <f>(0.0066+0.0015)*$E$5*Q81</f>
        <v>6.6199274999999984</v>
      </c>
      <c r="J81" s="4">
        <f t="shared" ref="J81" si="139">(Q81*$E$5-$E$5)*$S$5</f>
        <v>6.8714684999999864</v>
      </c>
      <c r="K81" s="4">
        <f t="shared" ref="K81" si="140">G81+I81+J81</f>
        <v>57.506395999999981</v>
      </c>
      <c r="L81" s="4">
        <f t="shared" ref="L81" si="141">$E$5*Q81*(0.0044+0.0013)+0.25</f>
        <v>4.9084674999999995</v>
      </c>
      <c r="M81" s="4">
        <f t="shared" si="131"/>
        <v>5.25</v>
      </c>
      <c r="N81" s="4">
        <f t="shared" si="129"/>
        <v>76.605000000000004</v>
      </c>
      <c r="O81" s="4">
        <f t="shared" ref="O81" si="142">K81+L81+M81+N81</f>
        <v>144.26986349999999</v>
      </c>
      <c r="Q81" s="6">
        <v>1.0896999999999999</v>
      </c>
      <c r="U81" t="s">
        <v>185</v>
      </c>
      <c r="V81" s="37">
        <v>2335</v>
      </c>
    </row>
    <row r="82" spans="1:22" ht="18" x14ac:dyDescent="0.25">
      <c r="A82">
        <v>65</v>
      </c>
      <c r="B82" t="s">
        <v>66</v>
      </c>
      <c r="C82" t="s">
        <v>92</v>
      </c>
      <c r="D82" t="s">
        <v>97</v>
      </c>
      <c r="E82" s="4">
        <f>14.21+0.79+0.37</f>
        <v>15.37</v>
      </c>
      <c r="F82" s="4">
        <f>$E$5*(0.0168-0.0064-0.0026+0.00005)</f>
        <v>5.8874999999999993</v>
      </c>
      <c r="G82" s="4">
        <f t="shared" si="138"/>
        <v>21.2575</v>
      </c>
      <c r="H82" s="10" t="s">
        <v>101</v>
      </c>
      <c r="I82" s="4">
        <f>(0.0075+0.0058)*$E$5*Q82</f>
        <v>10.367017499999999</v>
      </c>
      <c r="J82" s="4">
        <f t="shared" ref="J82" si="143">(Q82*$E$5-$E$5)*$S$5</f>
        <v>3.0105764999999911</v>
      </c>
      <c r="K82" s="4">
        <f t="shared" ref="K82" si="144">G82+I82+J82</f>
        <v>34.635093999999988</v>
      </c>
      <c r="L82" s="4">
        <f t="shared" ref="L82" si="145">$E$5*Q82*(0.0044+0.0013)+0.25</f>
        <v>4.6930074999999993</v>
      </c>
      <c r="M82" s="4">
        <f t="shared" si="131"/>
        <v>5.25</v>
      </c>
      <c r="N82" s="4">
        <f t="shared" si="129"/>
        <v>76.605000000000004</v>
      </c>
      <c r="O82" s="4">
        <f t="shared" ref="O82" si="146">K82+L82+M82+N82</f>
        <v>121.18310149999999</v>
      </c>
      <c r="Q82" s="6">
        <v>1.0392999999999999</v>
      </c>
      <c r="U82" t="s">
        <v>186</v>
      </c>
      <c r="V82" s="37">
        <v>15046</v>
      </c>
    </row>
    <row r="83" spans="1:22" ht="18" x14ac:dyDescent="0.25">
      <c r="A83">
        <v>66</v>
      </c>
      <c r="B83" t="s">
        <v>67</v>
      </c>
      <c r="C83" t="s">
        <v>100</v>
      </c>
      <c r="D83" t="s">
        <v>96</v>
      </c>
      <c r="E83" s="4">
        <f>12.98+0.79</f>
        <v>13.77</v>
      </c>
      <c r="F83" s="4">
        <f>$E$5*(0.0126-0.0016)</f>
        <v>8.25</v>
      </c>
      <c r="G83" s="4">
        <f t="shared" ref="G83" si="147">E83+F83</f>
        <v>22.02</v>
      </c>
      <c r="H83" s="14" t="s">
        <v>102</v>
      </c>
      <c r="I83" s="4">
        <f>(0.0066+0.0046)*$E$5*Q83</f>
        <v>8.6872800000000012</v>
      </c>
      <c r="J83" s="4">
        <f t="shared" ref="J83" si="148">(Q83*$E$5-$E$5)*$S$5</f>
        <v>2.6198909999999977</v>
      </c>
      <c r="K83" s="4">
        <f t="shared" ref="K83" si="149">G83+I83+J83</f>
        <v>33.327171</v>
      </c>
      <c r="L83" s="4">
        <f t="shared" ref="L83" si="150">$E$5*Q83*(0.0044+0.0013)+0.25</f>
        <v>4.6712049999999996</v>
      </c>
      <c r="M83" s="4">
        <f t="shared" si="131"/>
        <v>5.25</v>
      </c>
      <c r="N83" s="4">
        <f t="shared" si="129"/>
        <v>76.605000000000004</v>
      </c>
      <c r="O83" s="4">
        <f t="shared" ref="O83" si="151">K83+L83+M83+N83</f>
        <v>119.853376</v>
      </c>
      <c r="Q83" s="6">
        <v>1.0342</v>
      </c>
      <c r="U83" t="s">
        <v>187</v>
      </c>
      <c r="V83" s="37">
        <v>45319</v>
      </c>
    </row>
    <row r="84" spans="1:22" ht="18" x14ac:dyDescent="0.25">
      <c r="A84">
        <v>67</v>
      </c>
      <c r="B84" t="s">
        <v>68</v>
      </c>
      <c r="C84" t="s">
        <v>100</v>
      </c>
      <c r="D84" t="s">
        <v>96</v>
      </c>
      <c r="E84" s="4">
        <f>10.25+0.79</f>
        <v>11.04</v>
      </c>
      <c r="F84" s="4">
        <f>$E$5*(0.0242-0.002)</f>
        <v>16.649999999999999</v>
      </c>
      <c r="G84" s="4">
        <f t="shared" ref="G84:G85" si="152">E84+F84</f>
        <v>27.689999999999998</v>
      </c>
      <c r="H84" s="14" t="s">
        <v>102</v>
      </c>
      <c r="I84" s="4">
        <f>(0.0073+0.0057)*$E$5*Q84</f>
        <v>10.074675000000001</v>
      </c>
      <c r="J84" s="4">
        <f t="shared" ref="J84:J85" si="153">(Q84*$E$5-$E$5)*$S$5</f>
        <v>2.550946500000014</v>
      </c>
      <c r="K84" s="4">
        <f t="shared" ref="K84" si="154">G84+I84+J84</f>
        <v>40.315621500000013</v>
      </c>
      <c r="L84" s="4">
        <f t="shared" ref="L84" si="155">$E$5*Q84*(0.0044+0.0013)+0.25</f>
        <v>4.6673575000000014</v>
      </c>
      <c r="M84" s="4">
        <f t="shared" si="131"/>
        <v>5.25</v>
      </c>
      <c r="N84" s="4">
        <f t="shared" si="129"/>
        <v>76.605000000000004</v>
      </c>
      <c r="O84" s="4">
        <f t="shared" ref="O84" si="156">K84+L84+M84+N84</f>
        <v>126.83797900000002</v>
      </c>
      <c r="Q84" s="6">
        <v>1.0333000000000001</v>
      </c>
      <c r="U84" t="s">
        <v>188</v>
      </c>
      <c r="V84" s="37">
        <v>6191</v>
      </c>
    </row>
    <row r="85" spans="1:22" x14ac:dyDescent="0.25">
      <c r="A85">
        <v>68</v>
      </c>
      <c r="B85" t="s">
        <v>69</v>
      </c>
      <c r="C85" t="s">
        <v>118</v>
      </c>
      <c r="D85" s="11" t="s">
        <v>299</v>
      </c>
      <c r="E85" s="17">
        <f>18.63+0.08+0.78</f>
        <v>19.489999999999998</v>
      </c>
      <c r="F85" s="17">
        <f>$E$5*(0.01538)</f>
        <v>11.535</v>
      </c>
      <c r="G85" s="17">
        <f t="shared" si="152"/>
        <v>31.024999999999999</v>
      </c>
      <c r="H85" s="11"/>
      <c r="I85" s="17">
        <f>(0.00806+0.0056)*$E$5*Q85</f>
        <v>10.630212</v>
      </c>
      <c r="J85" s="17">
        <f t="shared" si="153"/>
        <v>2.880348000000005</v>
      </c>
      <c r="K85" s="17">
        <f t="shared" ref="K85" si="157">G85+I85+J85</f>
        <v>44.535560000000004</v>
      </c>
      <c r="L85" s="17">
        <f t="shared" ref="L85" si="158">$E$5*Q85*(0.0044+0.0013)+0.25</f>
        <v>4.68574</v>
      </c>
      <c r="M85" s="17">
        <f t="shared" si="131"/>
        <v>5.25</v>
      </c>
      <c r="N85" s="17">
        <f t="shared" si="129"/>
        <v>76.605000000000004</v>
      </c>
      <c r="O85" s="17">
        <f t="shared" ref="O85" si="159">K85+L85+M85+N85</f>
        <v>131.0763</v>
      </c>
      <c r="Q85" s="98">
        <v>1.0376000000000001</v>
      </c>
      <c r="U85" t="s">
        <v>189</v>
      </c>
      <c r="V85" s="37">
        <v>661959</v>
      </c>
    </row>
    <row r="86" spans="1:22" ht="18" x14ac:dyDescent="0.25">
      <c r="A86">
        <v>69</v>
      </c>
      <c r="B86" t="s">
        <v>113</v>
      </c>
      <c r="C86" t="s">
        <v>100</v>
      </c>
      <c r="D86" t="s">
        <v>96</v>
      </c>
      <c r="E86" s="4">
        <f>12.94+0.36+0.79</f>
        <v>14.09</v>
      </c>
      <c r="F86" s="4">
        <f>$E$5*(0.0161+0.001+0.0017)</f>
        <v>14.100000000000001</v>
      </c>
      <c r="G86" s="4">
        <f t="shared" ref="G86:G88" si="160">E86+F86</f>
        <v>28.19</v>
      </c>
      <c r="H86" s="14" t="s">
        <v>102</v>
      </c>
      <c r="I86" s="4">
        <f>(0.007+0.0045)*$E$5*Q86</f>
        <v>9.0407250000000001</v>
      </c>
      <c r="J86" s="4">
        <f t="shared" ref="J86" si="161">(Q86*$E$5-$E$5)*$S$5</f>
        <v>3.6923609999999978</v>
      </c>
      <c r="K86" s="4">
        <f t="shared" ref="K86" si="162">G86+I86+J86</f>
        <v>40.923085999999998</v>
      </c>
      <c r="L86" s="4">
        <f t="shared" ref="L86" si="163">$E$5*Q86*(0.0044+0.0013)+0.25</f>
        <v>4.7310550000000005</v>
      </c>
      <c r="M86" s="4">
        <f t="shared" si="131"/>
        <v>5.25</v>
      </c>
      <c r="N86" s="4">
        <f t="shared" si="129"/>
        <v>76.605000000000004</v>
      </c>
      <c r="O86" s="4">
        <f t="shared" ref="O86" si="164">K86+L86+M86+N86</f>
        <v>127.509141</v>
      </c>
      <c r="Q86" s="6">
        <v>1.0482</v>
      </c>
      <c r="U86" t="s">
        <v>190</v>
      </c>
      <c r="V86" s="37">
        <v>107574</v>
      </c>
    </row>
    <row r="87" spans="1:22" ht="18" x14ac:dyDescent="0.25">
      <c r="A87">
        <v>70</v>
      </c>
      <c r="B87" t="s">
        <v>70</v>
      </c>
      <c r="C87" t="s">
        <v>100</v>
      </c>
      <c r="D87" t="s">
        <v>96</v>
      </c>
      <c r="E87" s="4">
        <f>11.57+0.79</f>
        <v>12.36</v>
      </c>
      <c r="F87" s="4">
        <f>$E$5*(0.0144+0.0019-0.002-0.0048+0.0013)</f>
        <v>8.0999999999999979</v>
      </c>
      <c r="G87" s="4">
        <f t="shared" si="160"/>
        <v>20.459999999999997</v>
      </c>
      <c r="H87" s="14" t="s">
        <v>102</v>
      </c>
      <c r="I87" s="4">
        <f>(0.0059+0.0044)*$E$5*Q87</f>
        <v>8.3507250000000006</v>
      </c>
      <c r="J87" s="4">
        <f t="shared" ref="J87" si="165">(Q87*$E$5-$E$5)*$S$5</f>
        <v>6.2050050000000008</v>
      </c>
      <c r="K87" s="4">
        <f t="shared" ref="K87" si="166">G87+I87+J87</f>
        <v>35.015729999999998</v>
      </c>
      <c r="L87" s="4">
        <f t="shared" ref="L87" si="167">$E$5*Q87*(0.0044+0.0013)+0.25</f>
        <v>4.8712749999999998</v>
      </c>
      <c r="M87" s="4">
        <f t="shared" si="131"/>
        <v>5.25</v>
      </c>
      <c r="N87" s="4">
        <f t="shared" si="129"/>
        <v>76.605000000000004</v>
      </c>
      <c r="O87" s="4">
        <f t="shared" ref="O87" si="168">K87+L87+M87+N87</f>
        <v>121.74200500000001</v>
      </c>
      <c r="Q87" s="6">
        <v>1.081</v>
      </c>
      <c r="U87" t="s">
        <v>191</v>
      </c>
      <c r="V87" s="37">
        <v>12165</v>
      </c>
    </row>
    <row r="88" spans="1:22" ht="18" x14ac:dyDescent="0.25">
      <c r="A88">
        <v>71</v>
      </c>
      <c r="B88" t="s">
        <v>71</v>
      </c>
      <c r="C88" s="12" t="s">
        <v>98</v>
      </c>
      <c r="D88" t="s">
        <v>96</v>
      </c>
      <c r="E88" s="4">
        <f>15.2+2.11+0.79</f>
        <v>18.099999999999998</v>
      </c>
      <c r="F88" s="4">
        <f>$E$5*(0.0192+0.0001-0.0001-0.0014)</f>
        <v>13.35</v>
      </c>
      <c r="G88" s="4">
        <f t="shared" si="160"/>
        <v>31.449999999999996</v>
      </c>
      <c r="H88" s="14" t="s">
        <v>102</v>
      </c>
      <c r="I88" s="4">
        <f>(0.0076+0.0023)*$E$5*Q88</f>
        <v>7.724969999999999</v>
      </c>
      <c r="J88" s="4">
        <f t="shared" ref="J88:J89" si="169">(Q88*$E$5-$E$5)*$S$5</f>
        <v>3.0948419999999954</v>
      </c>
      <c r="K88" s="4">
        <f t="shared" ref="K88:K89" si="170">G88+I88+J88</f>
        <v>42.269811999999988</v>
      </c>
      <c r="L88" s="4">
        <f t="shared" ref="L88:L89" si="171">$E$5*Q88*(0.0044+0.0013)+0.25</f>
        <v>4.6977099999999998</v>
      </c>
      <c r="M88" s="4">
        <f t="shared" si="131"/>
        <v>5.25</v>
      </c>
      <c r="N88" s="4">
        <f t="shared" si="129"/>
        <v>76.605000000000004</v>
      </c>
      <c r="O88" s="4">
        <f t="shared" ref="O88:O89" si="172">K88+L88+M88+N88</f>
        <v>128.82252199999999</v>
      </c>
      <c r="Q88" s="6">
        <v>1.0404</v>
      </c>
      <c r="U88" t="s">
        <v>192</v>
      </c>
      <c r="V88" s="37">
        <v>48409</v>
      </c>
    </row>
    <row r="89" spans="1:22" ht="18" x14ac:dyDescent="0.25">
      <c r="A89">
        <v>72</v>
      </c>
      <c r="B89" t="s">
        <v>72</v>
      </c>
      <c r="C89" t="s">
        <v>100</v>
      </c>
      <c r="D89" t="s">
        <v>96</v>
      </c>
      <c r="E89" s="4">
        <f>16.13+0.45+0.79</f>
        <v>17.369999999999997</v>
      </c>
      <c r="F89" s="4">
        <f>$E$5*(0.0137+0.0005)</f>
        <v>10.65</v>
      </c>
      <c r="G89" s="4">
        <f t="shared" ref="G89" si="173">E89+F89</f>
        <v>28.019999999999996</v>
      </c>
      <c r="H89" s="14" t="s">
        <v>102</v>
      </c>
      <c r="I89" s="4">
        <f>(0.0084+0.0062)*$E$5*Q89</f>
        <v>11.532539999999999</v>
      </c>
      <c r="J89" s="4">
        <f t="shared" si="169"/>
        <v>4.0753859999999982</v>
      </c>
      <c r="K89" s="4">
        <f t="shared" si="170"/>
        <v>43.627925999999988</v>
      </c>
      <c r="L89" s="4">
        <f t="shared" si="171"/>
        <v>4.7524300000000004</v>
      </c>
      <c r="M89" s="4">
        <f t="shared" si="131"/>
        <v>5.25</v>
      </c>
      <c r="N89" s="4">
        <f t="shared" si="129"/>
        <v>76.605000000000004</v>
      </c>
      <c r="O89" s="4">
        <f t="shared" si="172"/>
        <v>130.235356</v>
      </c>
      <c r="Q89" s="6">
        <v>1.0531999999999999</v>
      </c>
      <c r="U89" t="s">
        <v>193</v>
      </c>
      <c r="V89" s="37">
        <v>20549</v>
      </c>
    </row>
    <row r="90" spans="1:22" ht="18" x14ac:dyDescent="0.25">
      <c r="A90">
        <v>73</v>
      </c>
      <c r="B90" t="s">
        <v>73</v>
      </c>
      <c r="C90" t="s">
        <v>100</v>
      </c>
      <c r="D90" t="s">
        <v>96</v>
      </c>
      <c r="E90" s="4">
        <f>18.49+0.88+0.79</f>
        <v>20.159999999999997</v>
      </c>
      <c r="F90" s="4">
        <f>$E$5*(0.0185+0.0018+0.0009)</f>
        <v>15.9</v>
      </c>
      <c r="G90" s="4">
        <f t="shared" ref="G90" si="174">E90+F90</f>
        <v>36.059999999999995</v>
      </c>
      <c r="H90" s="14" t="s">
        <v>102</v>
      </c>
      <c r="I90" s="4">
        <f>(0.0067+0.0042)*$E$5*Q90</f>
        <v>8.7603300000000015</v>
      </c>
      <c r="J90" s="4">
        <f t="shared" ref="J90" si="175">(Q90*$E$5-$E$5)*$S$5</f>
        <v>5.4849180000000048</v>
      </c>
      <c r="K90" s="4">
        <f t="shared" ref="K90" si="176">G90+I90+J90</f>
        <v>50.305248000000006</v>
      </c>
      <c r="L90" s="4">
        <f t="shared" ref="L90" si="177">$E$5*Q90*(0.0044+0.0013)+0.25</f>
        <v>4.8310900000000006</v>
      </c>
      <c r="M90" s="4">
        <f t="shared" si="131"/>
        <v>5.25</v>
      </c>
      <c r="N90" s="4">
        <f t="shared" si="129"/>
        <v>76.605000000000004</v>
      </c>
      <c r="O90" s="4">
        <f t="shared" ref="O90" si="178">K90+L90+M90+N90</f>
        <v>136.99133800000001</v>
      </c>
      <c r="Q90" s="6">
        <v>1.0716000000000001</v>
      </c>
      <c r="U90" t="s">
        <v>194</v>
      </c>
      <c r="V90" s="37">
        <v>3213</v>
      </c>
    </row>
    <row r="91" spans="1:22" ht="18" x14ac:dyDescent="0.25">
      <c r="A91">
        <v>74</v>
      </c>
      <c r="B91" t="s">
        <v>74</v>
      </c>
      <c r="C91" t="s">
        <v>100</v>
      </c>
      <c r="D91" t="s">
        <v>96</v>
      </c>
      <c r="E91" s="4">
        <f>17.88+0.8+1.17+0.79</f>
        <v>20.64</v>
      </c>
      <c r="F91" s="4">
        <f>$E$5*(0.0231)</f>
        <v>17.324999999999999</v>
      </c>
      <c r="G91" s="4">
        <f t="shared" ref="G91" si="179">E91+F91</f>
        <v>37.965000000000003</v>
      </c>
      <c r="H91" s="14" t="s">
        <v>102</v>
      </c>
      <c r="I91" s="4">
        <f>(0.0071+0.0058)*$E$5*Q91</f>
        <v>10.126822500000001</v>
      </c>
      <c r="J91" s="4">
        <f t="shared" ref="J91" si="180">(Q91*$E$5-$E$5)*$S$5</f>
        <v>3.5774534999999981</v>
      </c>
      <c r="K91" s="4">
        <f t="shared" ref="K91" si="181">G91+I91+J91</f>
        <v>51.669276000000004</v>
      </c>
      <c r="L91" s="4">
        <f t="shared" ref="L91" si="182">$E$5*Q91*(0.0044+0.0013)+0.25</f>
        <v>4.7246424999999999</v>
      </c>
      <c r="M91" s="4">
        <f t="shared" si="131"/>
        <v>5.25</v>
      </c>
      <c r="N91" s="4">
        <f t="shared" si="129"/>
        <v>76.605000000000004</v>
      </c>
      <c r="O91" s="4">
        <f t="shared" ref="O91" si="183">K91+L91+M91+N91</f>
        <v>138.2489185</v>
      </c>
      <c r="Q91" s="6">
        <v>1.0467</v>
      </c>
      <c r="U91" t="s">
        <v>195</v>
      </c>
      <c r="V91" s="37">
        <v>3273</v>
      </c>
    </row>
    <row r="92" spans="1:22" ht="18" x14ac:dyDescent="0.25">
      <c r="A92">
        <v>75</v>
      </c>
      <c r="B92" t="s">
        <v>75</v>
      </c>
      <c r="C92" t="s">
        <v>100</v>
      </c>
      <c r="D92" t="s">
        <v>96</v>
      </c>
      <c r="E92" s="4">
        <f>12.66+0.19+0.79</f>
        <v>13.64</v>
      </c>
      <c r="F92" s="4">
        <f>$E$5*(0.0158+0.0018+0.0063)</f>
        <v>17.925000000000001</v>
      </c>
      <c r="G92" s="4">
        <f t="shared" ref="G92" si="184">E92+F92</f>
        <v>31.565000000000001</v>
      </c>
      <c r="H92" s="14" t="s">
        <v>102</v>
      </c>
      <c r="I92" s="4">
        <f>(0.0062+0.004)*$E$5*Q92</f>
        <v>8.1855000000000011</v>
      </c>
      <c r="J92" s="4">
        <f t="shared" ref="J92" si="185">(Q92*$E$5-$E$5)*$S$5</f>
        <v>5.3623500000000002</v>
      </c>
      <c r="K92" s="4">
        <f t="shared" ref="K92" si="186">G92+I92+J92</f>
        <v>45.112850000000002</v>
      </c>
      <c r="L92" s="4">
        <f t="shared" ref="L92" si="187">$E$5*Q92*(0.0044+0.0013)+0.25</f>
        <v>4.8242500000000001</v>
      </c>
      <c r="M92" s="4">
        <f t="shared" si="131"/>
        <v>5.25</v>
      </c>
      <c r="N92" s="4">
        <f t="shared" si="129"/>
        <v>76.605000000000004</v>
      </c>
      <c r="O92" s="4">
        <f t="shared" ref="O92" si="188">K92+L92+M92+N92</f>
        <v>131.7921</v>
      </c>
      <c r="Q92" s="6">
        <v>1.07</v>
      </c>
      <c r="U92" t="s">
        <v>196</v>
      </c>
      <c r="V92" s="37">
        <v>20060</v>
      </c>
    </row>
    <row r="93" spans="1:22" ht="18" x14ac:dyDescent="0.25">
      <c r="A93">
        <v>76</v>
      </c>
      <c r="B93" t="s">
        <v>76</v>
      </c>
      <c r="C93" t="s">
        <v>100</v>
      </c>
      <c r="D93" t="s">
        <v>97</v>
      </c>
      <c r="E93" s="4">
        <f>17.9+2.2+0.79</f>
        <v>20.889999999999997</v>
      </c>
      <c r="F93" s="4">
        <f>$E$5*(0.0148-0.001)</f>
        <v>10.35</v>
      </c>
      <c r="G93" s="4">
        <f t="shared" ref="G93:G94" si="189">E93+F93</f>
        <v>31.239999999999995</v>
      </c>
      <c r="H93" s="14" t="s">
        <v>102</v>
      </c>
      <c r="I93" s="4">
        <f>(0.0083+0.0063)*$E$5*Q93</f>
        <v>11.5413</v>
      </c>
      <c r="J93" s="4">
        <f t="shared" ref="J93" si="190">(Q93*$E$5-$E$5)*$S$5</f>
        <v>4.1366700000000005</v>
      </c>
      <c r="K93" s="4">
        <f t="shared" ref="K93" si="191">G93+I93+J93</f>
        <v>46.917969999999997</v>
      </c>
      <c r="L93" s="4">
        <f t="shared" ref="L93" si="192">$E$5*Q93*(0.0044+0.0013)+0.25</f>
        <v>4.7558500000000006</v>
      </c>
      <c r="M93" s="4">
        <f t="shared" si="131"/>
        <v>5.25</v>
      </c>
      <c r="N93" s="4">
        <f t="shared" si="129"/>
        <v>76.605000000000004</v>
      </c>
      <c r="O93" s="4">
        <f t="shared" ref="O93" si="193">K93+L93+M93+N93</f>
        <v>133.52882</v>
      </c>
      <c r="Q93" s="6">
        <v>1.054</v>
      </c>
      <c r="U93" t="s">
        <v>197</v>
      </c>
      <c r="V93" s="37">
        <v>38963</v>
      </c>
    </row>
    <row r="94" spans="1:22" ht="18.75" x14ac:dyDescent="0.3">
      <c r="A94">
        <v>77</v>
      </c>
      <c r="B94" t="s">
        <v>77</v>
      </c>
      <c r="D94" s="11" t="s">
        <v>119</v>
      </c>
      <c r="E94" s="4">
        <f>12.98-0.13+0.79+0.64</f>
        <v>14.280000000000001</v>
      </c>
      <c r="F94" s="4">
        <f>$E$5*(0.0222-0.00022+0.0008)</f>
        <v>17.084999999999997</v>
      </c>
      <c r="G94" s="4">
        <f t="shared" si="189"/>
        <v>31.364999999999998</v>
      </c>
      <c r="H94" s="16" t="s">
        <v>120</v>
      </c>
      <c r="I94" s="4">
        <f>(0.0075+0.0054)*$E$5*Q94</f>
        <v>10.0919925</v>
      </c>
      <c r="J94" s="4">
        <f t="shared" ref="J94" si="194">(Q94*$E$5-$E$5)*$S$5</f>
        <v>3.3016754999999933</v>
      </c>
      <c r="K94" s="4">
        <f t="shared" ref="K94" si="195">G94+I94+J94</f>
        <v>44.758667999999993</v>
      </c>
      <c r="L94" s="4">
        <f t="shared" ref="L94" si="196">$E$5*Q94*(0.0044+0.0013)+0.25</f>
        <v>4.7092524999999998</v>
      </c>
      <c r="M94" s="4">
        <f t="shared" si="131"/>
        <v>5.25</v>
      </c>
      <c r="N94" s="4">
        <f t="shared" si="129"/>
        <v>76.605000000000004</v>
      </c>
      <c r="O94" s="4">
        <f t="shared" ref="O94" si="197">K94+L94+M94+N94</f>
        <v>131.32292050000001</v>
      </c>
      <c r="Q94" s="6">
        <v>1.0430999999999999</v>
      </c>
      <c r="U94" t="s">
        <v>198</v>
      </c>
      <c r="V94" s="37">
        <v>14299</v>
      </c>
    </row>
    <row r="98" spans="1:18" ht="18.75" x14ac:dyDescent="0.3">
      <c r="A98" s="27"/>
      <c r="B98" s="33" t="s">
        <v>216</v>
      </c>
      <c r="C98" s="34"/>
      <c r="D98" s="34">
        <f>COUNTA(B8:B94)</f>
        <v>87</v>
      </c>
      <c r="E98" s="34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 ht="18.75" x14ac:dyDescent="0.3">
      <c r="A99" s="27"/>
      <c r="B99" s="33" t="s">
        <v>217</v>
      </c>
      <c r="C99" s="34"/>
      <c r="D99" s="34">
        <f>D98-D100</f>
        <v>83</v>
      </c>
      <c r="E99" s="34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</row>
    <row r="100" spans="1:18" ht="18.75" x14ac:dyDescent="0.3">
      <c r="A100" s="27"/>
      <c r="B100" s="33" t="s">
        <v>218</v>
      </c>
      <c r="C100" s="34"/>
      <c r="D100" s="34">
        <v>4</v>
      </c>
      <c r="E100" s="34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 ht="18.75" x14ac:dyDescent="0.3">
      <c r="A101" s="27"/>
      <c r="B101" s="33" t="s">
        <v>219</v>
      </c>
      <c r="C101" s="34"/>
      <c r="D101" s="35">
        <f>MIN(G8:G94)</f>
        <v>15.084999999999997</v>
      </c>
      <c r="E101" s="34" t="str">
        <f>INDEX($B$8:$B$94,MATCH(D101,$G$8:$G$94,0))</f>
        <v>Hydro Hawkesbury</v>
      </c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 ht="18.75" x14ac:dyDescent="0.3">
      <c r="A102" s="27"/>
      <c r="B102" s="33" t="s">
        <v>220</v>
      </c>
      <c r="C102" s="34"/>
      <c r="D102" s="35">
        <f>MAX(G8:G94)</f>
        <v>89.549999999999983</v>
      </c>
      <c r="E102" s="34" t="str">
        <f>INDEX($B$8:$B$94,MATCH(D102,$G$8:$G$94,0))</f>
        <v>Hydro One Networks (Seas)</v>
      </c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 ht="18.75" x14ac:dyDescent="0.3">
      <c r="A103" s="27"/>
      <c r="B103" s="33" t="s">
        <v>222</v>
      </c>
      <c r="C103" s="34"/>
      <c r="D103" s="35">
        <f>MIN(O8:O50,O52:O94)</f>
        <v>112.44656000000001</v>
      </c>
      <c r="E103" s="34" t="str">
        <f>INDEX($B$8:$B$98,MATCH(D103,$O$8:$O$98,0))</f>
        <v>Fort Frances Power</v>
      </c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 ht="18.75" x14ac:dyDescent="0.3">
      <c r="A104" s="27"/>
      <c r="B104" s="33" t="s">
        <v>221</v>
      </c>
      <c r="C104" s="34"/>
      <c r="D104" s="35">
        <f>MAX(O8:O50,O52:O94)</f>
        <v>192.29032000000001</v>
      </c>
      <c r="E104" s="34" t="str">
        <f>INDEX($B$8:$B$98,MATCH(D104,$O$8:$O$98,0))</f>
        <v>Hydro One Networks (Seas)</v>
      </c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 ht="18.75" x14ac:dyDescent="0.3">
      <c r="A105" s="27"/>
      <c r="B105" s="34"/>
      <c r="C105" s="34"/>
      <c r="D105" s="34"/>
      <c r="E105" s="34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 ht="18.75" x14ac:dyDescent="0.3">
      <c r="A106" s="27"/>
      <c r="B106" s="34"/>
      <c r="C106" s="34"/>
      <c r="D106" s="34"/>
      <c r="E106" s="34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 ht="18.75" x14ac:dyDescent="0.3">
      <c r="A107" s="27"/>
      <c r="B107" s="34"/>
      <c r="C107" s="34"/>
      <c r="D107" s="34"/>
      <c r="E107" s="34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 ht="18.75" x14ac:dyDescent="0.3">
      <c r="A108" s="27"/>
      <c r="B108" s="34"/>
      <c r="C108" s="34"/>
      <c r="D108" s="34"/>
      <c r="E108" s="34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</row>
  </sheetData>
  <mergeCells count="1">
    <mergeCell ref="E6:G6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12"/>
  <sheetViews>
    <sheetView zoomScale="80" zoomScaleNormal="80" workbookViewId="0">
      <pane xSplit="5" ySplit="7" topLeftCell="F77" activePane="bottomRight" state="frozen"/>
      <selection pane="topRight" activeCell="D1" sqref="D1"/>
      <selection pane="bottomLeft" activeCell="A8" sqref="A8"/>
      <selection pane="bottomRight" activeCell="H88" sqref="H88"/>
    </sheetView>
  </sheetViews>
  <sheetFormatPr defaultRowHeight="15" x14ac:dyDescent="0.25"/>
  <cols>
    <col min="1" max="1" width="3.140625" customWidth="1"/>
    <col min="2" max="2" width="35.85546875" bestFit="1" customWidth="1"/>
    <col min="3" max="3" width="4.42578125" customWidth="1"/>
    <col min="4" max="4" width="10.28515625" customWidth="1"/>
    <col min="5" max="5" width="18.140625" bestFit="1" customWidth="1"/>
    <col min="6" max="6" width="13.85546875" bestFit="1" customWidth="1"/>
    <col min="7" max="7" width="8.42578125" bestFit="1" customWidth="1"/>
    <col min="8" max="8" width="9.5703125" bestFit="1" customWidth="1"/>
    <col min="9" max="9" width="4" customWidth="1"/>
    <col min="11" max="11" width="17.42578125" bestFit="1" customWidth="1"/>
    <col min="12" max="12" width="17.42578125" customWidth="1"/>
    <col min="13" max="13" width="17.42578125" bestFit="1" customWidth="1"/>
    <col min="15" max="15" width="9.7109375" bestFit="1" customWidth="1"/>
    <col min="16" max="16" width="9.7109375" customWidth="1"/>
    <col min="17" max="17" width="4" customWidth="1"/>
  </cols>
  <sheetData>
    <row r="1" spans="1:21" x14ac:dyDescent="0.25">
      <c r="S1" t="s">
        <v>203</v>
      </c>
    </row>
    <row r="2" spans="1:21" x14ac:dyDescent="0.25">
      <c r="S2" t="s">
        <v>86</v>
      </c>
      <c r="T2" s="8">
        <v>7.4999999999999997E-2</v>
      </c>
      <c r="U2" s="9">
        <v>0.64</v>
      </c>
    </row>
    <row r="3" spans="1:21" x14ac:dyDescent="0.25">
      <c r="B3" s="31">
        <v>42125</v>
      </c>
      <c r="C3" s="31"/>
      <c r="S3" t="s">
        <v>87</v>
      </c>
      <c r="T3" s="8">
        <v>0.112</v>
      </c>
      <c r="U3" s="9">
        <v>0.18</v>
      </c>
    </row>
    <row r="4" spans="1:21" ht="21" x14ac:dyDescent="0.35">
      <c r="B4" s="1" t="s">
        <v>199</v>
      </c>
      <c r="C4" s="1"/>
      <c r="I4" s="14" t="s">
        <v>102</v>
      </c>
      <c r="J4" s="13" t="s">
        <v>115</v>
      </c>
      <c r="K4" s="13"/>
      <c r="S4" t="s">
        <v>88</v>
      </c>
      <c r="T4" s="8">
        <v>0.13500000000000001</v>
      </c>
      <c r="U4" s="9">
        <v>0.18</v>
      </c>
    </row>
    <row r="5" spans="1:21" x14ac:dyDescent="0.25">
      <c r="B5" t="str">
        <f>CONCATENATE("Residential @ ",F5,"kWh/month")</f>
        <v>Residential @ 750kWh/month</v>
      </c>
      <c r="F5" s="3">
        <v>750</v>
      </c>
      <c r="G5" t="s">
        <v>81</v>
      </c>
      <c r="S5" t="s">
        <v>89</v>
      </c>
      <c r="T5" s="8">
        <f>U2*T2+U3*T3+U4*T4</f>
        <v>9.2460000000000001E-2</v>
      </c>
    </row>
    <row r="6" spans="1:21" ht="19.5" thickBot="1" x14ac:dyDescent="0.35">
      <c r="B6" s="2" t="s">
        <v>1</v>
      </c>
      <c r="C6" s="2"/>
      <c r="F6" s="128"/>
      <c r="G6" s="128"/>
      <c r="H6" s="128"/>
    </row>
    <row r="7" spans="1:21" ht="18.75" x14ac:dyDescent="0.3">
      <c r="B7" s="2"/>
      <c r="C7" s="32" t="s">
        <v>99</v>
      </c>
      <c r="F7" s="7" t="s">
        <v>78</v>
      </c>
      <c r="G7" s="7" t="s">
        <v>79</v>
      </c>
      <c r="H7" s="7" t="s">
        <v>80</v>
      </c>
      <c r="J7" s="3" t="s">
        <v>82</v>
      </c>
      <c r="K7" s="3" t="s">
        <v>90</v>
      </c>
      <c r="L7" s="3" t="s">
        <v>91</v>
      </c>
      <c r="M7" s="3" t="s">
        <v>84</v>
      </c>
      <c r="N7" s="3" t="s">
        <v>93</v>
      </c>
      <c r="O7" s="3" t="s">
        <v>94</v>
      </c>
      <c r="P7" s="3" t="s">
        <v>95</v>
      </c>
      <c r="R7" s="5" t="s">
        <v>83</v>
      </c>
    </row>
    <row r="8" spans="1:21" ht="18" x14ac:dyDescent="0.25">
      <c r="A8">
        <v>1</v>
      </c>
      <c r="B8" t="s">
        <v>2</v>
      </c>
      <c r="D8" t="s">
        <v>98</v>
      </c>
      <c r="E8" s="28" t="s">
        <v>202</v>
      </c>
      <c r="F8" s="22">
        <f>23.16+0.79</f>
        <v>23.95</v>
      </c>
      <c r="G8" s="4">
        <f>$F$5*(0.0325+0.0004+0.0004-0.0001)</f>
        <v>24.899999999999995</v>
      </c>
      <c r="H8" s="4">
        <f>F8+G8</f>
        <v>48.849999999999994</v>
      </c>
      <c r="I8" s="14"/>
      <c r="J8" s="4">
        <f>(0.007+0.0051)*$F$5*R8</f>
        <v>9.8590799999999987</v>
      </c>
      <c r="K8" s="4">
        <f>(R8*$F$5-$F$5)*$T$5</f>
        <v>5.9914080000000061</v>
      </c>
      <c r="L8" s="30">
        <f>H8+J8+K8</f>
        <v>64.700487999999993</v>
      </c>
      <c r="M8" s="4">
        <f>$F$5*R8*(0.0044+0.0013)+0.25</f>
        <v>4.8943600000000007</v>
      </c>
      <c r="N8" s="4">
        <f>0.002*$F$5</f>
        <v>1.5</v>
      </c>
      <c r="O8" s="4">
        <f>$F$5*$T$5</f>
        <v>69.344999999999999</v>
      </c>
      <c r="P8" s="4">
        <f>L8+M8+N8+O8</f>
        <v>140.43984799999998</v>
      </c>
      <c r="R8" s="6">
        <v>1.0864</v>
      </c>
    </row>
    <row r="9" spans="1:21" ht="18" x14ac:dyDescent="0.25">
      <c r="A9">
        <v>2</v>
      </c>
      <c r="B9" t="s">
        <v>3</v>
      </c>
      <c r="D9" t="s">
        <v>100</v>
      </c>
      <c r="E9" s="12" t="s">
        <v>96</v>
      </c>
      <c r="F9" s="22">
        <f>34.58+0.48+2.79+1.06+0.39+0.79</f>
        <v>40.089999999999996</v>
      </c>
      <c r="G9" s="4">
        <f>$F$5*(0.0137+0.0009)</f>
        <v>10.95</v>
      </c>
      <c r="H9" s="4">
        <f>F9+G9</f>
        <v>51.039999999999992</v>
      </c>
      <c r="I9" s="23"/>
      <c r="J9" s="4">
        <f>(0.0064+0.0038)*$F$5*R9</f>
        <v>8.2451700000000017</v>
      </c>
      <c r="K9" s="4">
        <f>(R9*$F$5-$F$5)*$T$5</f>
        <v>5.3950410000000018</v>
      </c>
      <c r="L9" s="30">
        <f>H9+J9+K9</f>
        <v>64.680211</v>
      </c>
      <c r="M9" s="4">
        <f>$F$5*R9*(0.0044+0.0013)+0.25</f>
        <v>4.8575949999999999</v>
      </c>
      <c r="N9" s="4">
        <f>0.007*$F$5</f>
        <v>5.25</v>
      </c>
      <c r="O9" s="4">
        <f>$F$5*$T$5</f>
        <v>69.344999999999999</v>
      </c>
      <c r="P9" s="4">
        <f>L9+M9+N9+O9</f>
        <v>144.13280600000002</v>
      </c>
      <c r="Q9" s="12"/>
      <c r="R9" s="24">
        <v>1.0778000000000001</v>
      </c>
    </row>
    <row r="10" spans="1:21" ht="18" x14ac:dyDescent="0.25">
      <c r="A10">
        <v>3</v>
      </c>
      <c r="B10" t="s">
        <v>4</v>
      </c>
      <c r="C10" s="11" t="s">
        <v>215</v>
      </c>
      <c r="E10" s="11" t="s">
        <v>122</v>
      </c>
      <c r="F10" s="22"/>
      <c r="G10" s="22"/>
      <c r="H10" s="22"/>
      <c r="I10" s="23"/>
      <c r="J10" s="12"/>
      <c r="K10" s="12"/>
      <c r="L10" s="12"/>
      <c r="M10" s="12"/>
      <c r="N10" s="12"/>
      <c r="O10" s="12"/>
      <c r="P10" s="12"/>
      <c r="Q10" s="12"/>
      <c r="R10" s="12"/>
    </row>
    <row r="11" spans="1:21" ht="18" x14ac:dyDescent="0.25">
      <c r="A11">
        <v>4</v>
      </c>
      <c r="B11" t="s">
        <v>5</v>
      </c>
      <c r="D11" t="s">
        <v>98</v>
      </c>
      <c r="E11" s="12" t="s">
        <v>96</v>
      </c>
      <c r="F11" s="22">
        <f>15.7+0.79+1.47</f>
        <v>17.959999999999997</v>
      </c>
      <c r="G11" s="4">
        <f>$F$5*(0.0214+0.0002-0.0013-0.0024+0.0004+0.0002)</f>
        <v>13.875</v>
      </c>
      <c r="H11" s="4">
        <f t="shared" ref="H11:H23" si="0">F11+G11</f>
        <v>31.834999999999997</v>
      </c>
      <c r="I11" s="23"/>
      <c r="J11" s="4">
        <f>(0.0067+0.0057)*$F$5*R11</f>
        <v>9.6915300000000002</v>
      </c>
      <c r="K11" s="4">
        <f t="shared" ref="K11:K36" si="1">(R11*$F$5-$F$5)*$T$5</f>
        <v>2.9194245000000043</v>
      </c>
      <c r="L11" s="30">
        <f>H11+J11+K11</f>
        <v>44.445954499999999</v>
      </c>
      <c r="M11" s="4">
        <f t="shared" ref="M11:M36" si="2">$F$5*R11*(0.0044+0.0013)+0.25</f>
        <v>4.7049775</v>
      </c>
      <c r="N11" s="4">
        <f>0.007*$F$5</f>
        <v>5.25</v>
      </c>
      <c r="O11" s="4">
        <f t="shared" ref="O11:O36" si="3">$F$5*$T$5</f>
        <v>69.344999999999999</v>
      </c>
      <c r="P11" s="4">
        <f t="shared" ref="P11:P23" si="4">L11+M11+N11+O11</f>
        <v>123.745932</v>
      </c>
      <c r="Q11" s="12"/>
      <c r="R11" s="24">
        <v>1.0421</v>
      </c>
    </row>
    <row r="12" spans="1:21" ht="18" x14ac:dyDescent="0.25">
      <c r="A12">
        <v>5</v>
      </c>
      <c r="B12" t="s">
        <v>6</v>
      </c>
      <c r="D12" t="s">
        <v>100</v>
      </c>
      <c r="E12" s="12" t="s">
        <v>96</v>
      </c>
      <c r="F12" s="22">
        <f>11.22+1.75+0.79</f>
        <v>13.760000000000002</v>
      </c>
      <c r="G12" s="4">
        <f>$F$5*(0.0211+0.0024-0.0045)</f>
        <v>14.25</v>
      </c>
      <c r="H12" s="4">
        <f t="shared" si="0"/>
        <v>28.01</v>
      </c>
      <c r="I12" s="23"/>
      <c r="J12" s="4">
        <f>(0.0049+0.0019)*$F$5*R12</f>
        <v>5.3524500000000002</v>
      </c>
      <c r="K12" s="4">
        <f t="shared" si="1"/>
        <v>3.4325775000000105</v>
      </c>
      <c r="L12" s="30">
        <f>H12+J12+K12</f>
        <v>36.79502750000001</v>
      </c>
      <c r="M12" s="4">
        <f t="shared" si="2"/>
        <v>4.7366125000000006</v>
      </c>
      <c r="N12" s="4">
        <f>0.007*$F$5</f>
        <v>5.25</v>
      </c>
      <c r="O12" s="4">
        <f t="shared" si="3"/>
        <v>69.344999999999999</v>
      </c>
      <c r="P12" s="4">
        <f t="shared" si="4"/>
        <v>116.12664000000001</v>
      </c>
      <c r="Q12" s="12"/>
      <c r="R12" s="24">
        <v>1.0495000000000001</v>
      </c>
    </row>
    <row r="13" spans="1:21" ht="18" x14ac:dyDescent="0.25">
      <c r="A13">
        <v>6</v>
      </c>
      <c r="B13" t="s">
        <v>7</v>
      </c>
      <c r="D13" t="s">
        <v>92</v>
      </c>
      <c r="E13" s="12" t="s">
        <v>204</v>
      </c>
      <c r="F13" s="22">
        <f>11.83+0.79-0.48+1.47</f>
        <v>13.610000000000001</v>
      </c>
      <c r="G13" s="4">
        <f>$F$5*(0.0142-0.005+0.0003)</f>
        <v>7.125</v>
      </c>
      <c r="H13" s="4">
        <f t="shared" si="0"/>
        <v>20.734999999999999</v>
      </c>
      <c r="I13" s="25"/>
      <c r="J13" s="4">
        <f>(0.0075+0.0053)*$F$5*R13</f>
        <v>9.935039999999999</v>
      </c>
      <c r="K13" s="22">
        <f t="shared" si="1"/>
        <v>2.420140499999996</v>
      </c>
      <c r="L13" s="30">
        <f>H13+J13+K13</f>
        <v>33.090180499999995</v>
      </c>
      <c r="M13" s="22">
        <f t="shared" si="2"/>
        <v>4.6741975</v>
      </c>
      <c r="N13" s="4">
        <f>0.007*$F$5</f>
        <v>5.25</v>
      </c>
      <c r="O13" s="4">
        <f t="shared" si="3"/>
        <v>69.344999999999999</v>
      </c>
      <c r="P13" s="4">
        <f t="shared" si="4"/>
        <v>112.35937799999999</v>
      </c>
      <c r="Q13" s="12"/>
      <c r="R13" s="24">
        <v>1.0348999999999999</v>
      </c>
    </row>
    <row r="14" spans="1:21" ht="18" x14ac:dyDescent="0.25">
      <c r="A14">
        <v>7</v>
      </c>
      <c r="B14" t="s">
        <v>103</v>
      </c>
      <c r="D14" t="s">
        <v>92</v>
      </c>
      <c r="E14" s="12" t="s">
        <v>96</v>
      </c>
      <c r="F14" s="22">
        <f>11.88+0.79+1.73-0.61</f>
        <v>13.790000000000003</v>
      </c>
      <c r="G14" s="4">
        <f>$F$5*(0.0162-0.0014-0.0008)</f>
        <v>10.499999999999998</v>
      </c>
      <c r="H14" s="4">
        <f t="shared" si="0"/>
        <v>24.29</v>
      </c>
      <c r="I14" s="23"/>
      <c r="J14" s="4">
        <f>(0.0075+0.0058)*$F$5*R14</f>
        <v>10.347067500000001</v>
      </c>
      <c r="K14" s="22">
        <f t="shared" si="1"/>
        <v>2.5865685000000127</v>
      </c>
      <c r="L14" s="30">
        <f>H14+J14+K14</f>
        <v>37.223636000000013</v>
      </c>
      <c r="M14" s="22">
        <f t="shared" si="2"/>
        <v>4.6844575000000006</v>
      </c>
      <c r="N14" s="4">
        <f>0.007*$F$5</f>
        <v>5.25</v>
      </c>
      <c r="O14" s="4">
        <f t="shared" si="3"/>
        <v>69.344999999999999</v>
      </c>
      <c r="P14" s="4">
        <f t="shared" si="4"/>
        <v>116.50309350000001</v>
      </c>
      <c r="Q14" s="12"/>
      <c r="R14" s="24">
        <v>1.0373000000000001</v>
      </c>
    </row>
    <row r="15" spans="1:21" ht="18" x14ac:dyDescent="0.25">
      <c r="A15">
        <v>8</v>
      </c>
      <c r="B15" t="s">
        <v>104</v>
      </c>
      <c r="D15" t="s">
        <v>92</v>
      </c>
      <c r="E15" s="12" t="s">
        <v>96</v>
      </c>
      <c r="F15" s="22">
        <f>11+4.33-1.31+0.79</f>
        <v>14.809999999999999</v>
      </c>
      <c r="G15" s="4">
        <f>$F$5*(0.0178+0.0001-0.002-0.004+0.0016)</f>
        <v>10.124999999999998</v>
      </c>
      <c r="H15" s="4">
        <f t="shared" si="0"/>
        <v>24.934999999999995</v>
      </c>
      <c r="I15" s="23"/>
      <c r="J15" s="4">
        <f>(0.0067+0.0042)*$F$5*R15</f>
        <v>8.4488625000000006</v>
      </c>
      <c r="K15" s="22">
        <f t="shared" si="1"/>
        <v>2.3230575000000107</v>
      </c>
      <c r="L15" s="4">
        <f>H15+J15+K15</f>
        <v>35.706920000000004</v>
      </c>
      <c r="M15" s="22">
        <f t="shared" si="2"/>
        <v>4.668212500000001</v>
      </c>
      <c r="N15" s="4">
        <f>0.007*$F$5</f>
        <v>5.25</v>
      </c>
      <c r="O15" s="4">
        <f t="shared" si="3"/>
        <v>69.344999999999999</v>
      </c>
      <c r="P15" s="4">
        <f t="shared" si="4"/>
        <v>114.97013250000001</v>
      </c>
      <c r="Q15" s="12"/>
      <c r="R15" s="24">
        <v>1.0335000000000001</v>
      </c>
    </row>
    <row r="16" spans="1:21" ht="18" x14ac:dyDescent="0.25">
      <c r="A16">
        <v>9</v>
      </c>
      <c r="B16" t="s">
        <v>8</v>
      </c>
      <c r="D16" t="s">
        <v>100</v>
      </c>
      <c r="E16" s="12" t="s">
        <v>97</v>
      </c>
      <c r="F16" s="22">
        <f>18.94+1.04+1.5+0.79</f>
        <v>22.27</v>
      </c>
      <c r="G16" s="4">
        <f>$F$5*(0.0201+0.0002-0.0009)</f>
        <v>14.549999999999997</v>
      </c>
      <c r="H16" s="4">
        <f t="shared" si="0"/>
        <v>36.819999999999993</v>
      </c>
      <c r="I16" s="23"/>
      <c r="J16" s="4">
        <f>(0.007+0.0054)*$F$5*R16</f>
        <v>9.8040600000000016</v>
      </c>
      <c r="K16" s="22">
        <f t="shared" si="1"/>
        <v>3.7584989999999978</v>
      </c>
      <c r="L16" s="4">
        <f t="shared" ref="L16:L18" si="5">H16+J16+K16</f>
        <v>50.382558999999993</v>
      </c>
      <c r="M16" s="22">
        <f t="shared" si="2"/>
        <v>4.7567050000000002</v>
      </c>
      <c r="N16" s="4">
        <f>0.0051*$F$5</f>
        <v>3.8250000000000002</v>
      </c>
      <c r="O16" s="4">
        <f t="shared" si="3"/>
        <v>69.344999999999999</v>
      </c>
      <c r="P16" s="4">
        <f t="shared" si="4"/>
        <v>128.30926399999998</v>
      </c>
      <c r="Q16" s="12"/>
      <c r="R16" s="24">
        <v>1.0542</v>
      </c>
    </row>
    <row r="17" spans="1:18" ht="18" x14ac:dyDescent="0.25">
      <c r="A17">
        <v>9</v>
      </c>
      <c r="B17" s="12" t="s">
        <v>9</v>
      </c>
      <c r="C17" s="12"/>
      <c r="D17" t="s">
        <v>100</v>
      </c>
      <c r="E17" s="12" t="s">
        <v>97</v>
      </c>
      <c r="F17" s="22">
        <f>18.94+0.45+1.5+0.79</f>
        <v>21.68</v>
      </c>
      <c r="G17" s="4">
        <f>$F$5*(0.0201+0.0002+0.0005)</f>
        <v>15.6</v>
      </c>
      <c r="H17" s="4">
        <f t="shared" si="0"/>
        <v>37.28</v>
      </c>
      <c r="I17" s="23"/>
      <c r="J17" s="4">
        <f>(0.007+0.0054)*$F$5*R17</f>
        <v>9.8040600000000016</v>
      </c>
      <c r="K17" s="22">
        <f t="shared" si="1"/>
        <v>3.7584989999999978</v>
      </c>
      <c r="L17" s="30">
        <f t="shared" si="5"/>
        <v>50.842559000000001</v>
      </c>
      <c r="M17" s="22">
        <f t="shared" si="2"/>
        <v>4.7567050000000002</v>
      </c>
      <c r="N17" s="4">
        <f>0*$F$5</f>
        <v>0</v>
      </c>
      <c r="O17" s="4">
        <f t="shared" si="3"/>
        <v>69.344999999999999</v>
      </c>
      <c r="P17" s="4">
        <f t="shared" si="4"/>
        <v>124.944264</v>
      </c>
      <c r="Q17" s="12"/>
      <c r="R17" s="24">
        <v>1.0542</v>
      </c>
    </row>
    <row r="18" spans="1:18" ht="18" x14ac:dyDescent="0.25">
      <c r="A18">
        <v>9</v>
      </c>
      <c r="B18" s="12" t="s">
        <v>10</v>
      </c>
      <c r="C18" s="12"/>
      <c r="D18" t="s">
        <v>100</v>
      </c>
      <c r="E18" s="12" t="s">
        <v>97</v>
      </c>
      <c r="F18" s="22">
        <f>17.63+0.84+1.72+0.79</f>
        <v>20.979999999999997</v>
      </c>
      <c r="G18" s="4">
        <f>$F$5*(0.0228+0.002+0.001+0.0007)</f>
        <v>19.875000000000004</v>
      </c>
      <c r="H18" s="4">
        <f t="shared" si="0"/>
        <v>40.855000000000004</v>
      </c>
      <c r="I18" s="23"/>
      <c r="J18" s="4">
        <f>(0.007+0.0054)*$F$5*R18</f>
        <v>9.8040600000000016</v>
      </c>
      <c r="K18" s="22">
        <f t="shared" si="1"/>
        <v>3.7584989999999978</v>
      </c>
      <c r="L18" s="4">
        <f t="shared" si="5"/>
        <v>54.417559000000004</v>
      </c>
      <c r="M18" s="22">
        <f t="shared" si="2"/>
        <v>4.7567050000000002</v>
      </c>
      <c r="N18" s="4">
        <f t="shared" ref="N18:N27" si="6">0.007*$F$5</f>
        <v>5.25</v>
      </c>
      <c r="O18" s="4">
        <f t="shared" si="3"/>
        <v>69.344999999999999</v>
      </c>
      <c r="P18" s="4">
        <f t="shared" si="4"/>
        <v>133.76926400000002</v>
      </c>
      <c r="Q18" s="12"/>
      <c r="R18" s="24">
        <v>1.0542</v>
      </c>
    </row>
    <row r="19" spans="1:18" ht="18" x14ac:dyDescent="0.25">
      <c r="A19">
        <v>10</v>
      </c>
      <c r="B19" t="s">
        <v>11</v>
      </c>
      <c r="D19" t="s">
        <v>100</v>
      </c>
      <c r="E19" s="12" t="s">
        <v>96</v>
      </c>
      <c r="F19" s="22">
        <f>15.43+1.25+0.98+0.79</f>
        <v>18.45</v>
      </c>
      <c r="G19" s="4">
        <f>$F$5*(0.0142+0.0018)</f>
        <v>12</v>
      </c>
      <c r="H19" s="4">
        <f t="shared" si="0"/>
        <v>30.45</v>
      </c>
      <c r="I19" s="23"/>
      <c r="J19" s="4">
        <f>(0.0068+0.0049)*$F$5*R19</f>
        <v>9.2111174999999985</v>
      </c>
      <c r="K19" s="22">
        <f t="shared" si="1"/>
        <v>3.4464465000000084</v>
      </c>
      <c r="L19" s="30">
        <f t="shared" ref="L19" si="7">H19+J19+K19</f>
        <v>43.107564000000004</v>
      </c>
      <c r="M19" s="22">
        <f t="shared" si="2"/>
        <v>4.7374675000000011</v>
      </c>
      <c r="N19" s="4">
        <f t="shared" si="6"/>
        <v>5.25</v>
      </c>
      <c r="O19" s="4">
        <f t="shared" si="3"/>
        <v>69.344999999999999</v>
      </c>
      <c r="P19" s="4">
        <f t="shared" si="4"/>
        <v>122.4400315</v>
      </c>
      <c r="Q19" s="12"/>
      <c r="R19" s="24">
        <v>1.0497000000000001</v>
      </c>
    </row>
    <row r="20" spans="1:18" ht="18" x14ac:dyDescent="0.25">
      <c r="A20">
        <v>11</v>
      </c>
      <c r="B20" t="s">
        <v>12</v>
      </c>
      <c r="D20" s="12" t="s">
        <v>98</v>
      </c>
      <c r="E20" s="12" t="s">
        <v>96</v>
      </c>
      <c r="F20" s="22">
        <f>23.77+2.26+0.9+0.79</f>
        <v>27.72</v>
      </c>
      <c r="G20" s="4">
        <f>$F$5*(0.0138+0.0006-0.0034+0.0036-0.0021)</f>
        <v>9.375</v>
      </c>
      <c r="H20" s="4">
        <f t="shared" si="0"/>
        <v>37.094999999999999</v>
      </c>
      <c r="I20" s="23"/>
      <c r="J20" s="4">
        <f>(0.0069+0.0016)*$F$5*R20</f>
        <v>6.791925</v>
      </c>
      <c r="K20" s="22">
        <f t="shared" si="1"/>
        <v>4.5351629999999954</v>
      </c>
      <c r="L20" s="30">
        <f t="shared" ref="L20:L21" si="8">H20+J20+K20</f>
        <v>48.422087999999995</v>
      </c>
      <c r="M20" s="22">
        <f t="shared" si="2"/>
        <v>4.8045850000000003</v>
      </c>
      <c r="N20" s="4">
        <f t="shared" si="6"/>
        <v>5.25</v>
      </c>
      <c r="O20" s="4">
        <f t="shared" si="3"/>
        <v>69.344999999999999</v>
      </c>
      <c r="P20" s="4">
        <f t="shared" si="4"/>
        <v>127.821673</v>
      </c>
      <c r="Q20" s="12"/>
      <c r="R20" s="24">
        <v>1.0653999999999999</v>
      </c>
    </row>
    <row r="21" spans="1:18" ht="18" x14ac:dyDescent="0.25">
      <c r="A21">
        <v>12</v>
      </c>
      <c r="B21" t="s">
        <v>13</v>
      </c>
      <c r="D21" t="s">
        <v>100</v>
      </c>
      <c r="E21" s="12" t="s">
        <v>96</v>
      </c>
      <c r="F21" s="22">
        <f>10.02+1.39+0.79</f>
        <v>12.2</v>
      </c>
      <c r="G21" s="4">
        <f>$F$5*(0.0196+0.0016-0.0009)</f>
        <v>15.225</v>
      </c>
      <c r="H21" s="4">
        <f t="shared" si="0"/>
        <v>27.424999999999997</v>
      </c>
      <c r="I21" s="23"/>
      <c r="J21" s="4">
        <f>(0.0064+0.0034)*$F$5*R21</f>
        <v>7.8718499999999993</v>
      </c>
      <c r="K21" s="22">
        <f t="shared" si="1"/>
        <v>4.923495</v>
      </c>
      <c r="L21" s="30">
        <f t="shared" si="8"/>
        <v>40.220345000000002</v>
      </c>
      <c r="M21" s="22">
        <f t="shared" si="2"/>
        <v>4.828525</v>
      </c>
      <c r="N21" s="4">
        <f t="shared" si="6"/>
        <v>5.25</v>
      </c>
      <c r="O21" s="4">
        <f t="shared" si="3"/>
        <v>69.344999999999999</v>
      </c>
      <c r="P21" s="4">
        <f t="shared" si="4"/>
        <v>119.64386999999999</v>
      </c>
      <c r="Q21" s="12"/>
      <c r="R21" s="24">
        <v>1.071</v>
      </c>
    </row>
    <row r="22" spans="1:18" ht="18" x14ac:dyDescent="0.25">
      <c r="A22">
        <v>13</v>
      </c>
      <c r="B22" t="s">
        <v>105</v>
      </c>
      <c r="D22" t="s">
        <v>92</v>
      </c>
      <c r="E22" s="12" t="s">
        <v>97</v>
      </c>
      <c r="F22" s="22">
        <f>14.56+0.79+1.62</f>
        <v>16.970000000000002</v>
      </c>
      <c r="G22" s="4">
        <f>$F$5*(0.0136+0.0018-0.0021-0.0046-0.0007+0.0004)</f>
        <v>6.3</v>
      </c>
      <c r="H22" s="4">
        <f t="shared" si="0"/>
        <v>23.270000000000003</v>
      </c>
      <c r="I22" s="23"/>
      <c r="J22" s="4">
        <f>(0.0073+0.0052)*$F$5*R22</f>
        <v>9.9965624999999996</v>
      </c>
      <c r="K22" s="22">
        <f t="shared" si="1"/>
        <v>4.597573500000002</v>
      </c>
      <c r="L22" s="4">
        <f t="shared" ref="L22" si="9">H22+J22+K22</f>
        <v>37.864136000000009</v>
      </c>
      <c r="M22" s="22">
        <f t="shared" si="2"/>
        <v>4.8084325000000003</v>
      </c>
      <c r="N22" s="4">
        <f t="shared" si="6"/>
        <v>5.25</v>
      </c>
      <c r="O22" s="4">
        <f t="shared" si="3"/>
        <v>69.344999999999999</v>
      </c>
      <c r="P22" s="4">
        <f t="shared" si="4"/>
        <v>117.26756850000001</v>
      </c>
      <c r="Q22" s="12"/>
      <c r="R22" s="24">
        <v>1.0663</v>
      </c>
    </row>
    <row r="23" spans="1:18" ht="18" x14ac:dyDescent="0.25">
      <c r="A23">
        <v>14</v>
      </c>
      <c r="B23" t="s">
        <v>14</v>
      </c>
      <c r="D23" t="s">
        <v>100</v>
      </c>
      <c r="E23" s="12" t="s">
        <v>96</v>
      </c>
      <c r="F23" s="22">
        <f>11.26+0.79</f>
        <v>12.05</v>
      </c>
      <c r="G23" s="17">
        <f>$F$5*(0.008+0.0012-0.0008-0.0013-0.0087-0.001)</f>
        <v>-1.95</v>
      </c>
      <c r="H23" s="4">
        <f t="shared" si="0"/>
        <v>10.100000000000001</v>
      </c>
      <c r="I23" s="23"/>
      <c r="J23" s="4">
        <f>(0.0053+0.0038)*$F$5*R23</f>
        <v>7.3778249999999996</v>
      </c>
      <c r="K23" s="22">
        <f t="shared" si="1"/>
        <v>5.6169450000000003</v>
      </c>
      <c r="L23" s="30">
        <f t="shared" ref="L23:L36" si="10">H23+J23+K23</f>
        <v>23.094770000000004</v>
      </c>
      <c r="M23" s="22">
        <f t="shared" si="2"/>
        <v>4.8712749999999998</v>
      </c>
      <c r="N23" s="4">
        <f t="shared" si="6"/>
        <v>5.25</v>
      </c>
      <c r="O23" s="4">
        <f t="shared" si="3"/>
        <v>69.344999999999999</v>
      </c>
      <c r="P23" s="4">
        <f t="shared" si="4"/>
        <v>102.56104500000001</v>
      </c>
      <c r="Q23" s="12"/>
      <c r="R23" s="24">
        <v>1.081</v>
      </c>
    </row>
    <row r="24" spans="1:18" ht="18" x14ac:dyDescent="0.25">
      <c r="A24">
        <v>15</v>
      </c>
      <c r="B24" t="s">
        <v>15</v>
      </c>
      <c r="D24" t="s">
        <v>98</v>
      </c>
      <c r="E24" s="12" t="s">
        <v>97</v>
      </c>
      <c r="F24" s="22">
        <f>13.03+0.79</f>
        <v>13.82</v>
      </c>
      <c r="G24" s="4">
        <f>$F$5*(0.0131+0.0002-0.0011+0.0005)</f>
        <v>9.5250000000000004</v>
      </c>
      <c r="H24" s="4">
        <f t="shared" ref="H24" si="11">F24+G24</f>
        <v>23.344999999999999</v>
      </c>
      <c r="I24" s="23"/>
      <c r="J24" s="4">
        <f>(0.0076+0.0058)*$F$5*R24</f>
        <v>10.411799999999999</v>
      </c>
      <c r="K24" s="22">
        <f t="shared" si="1"/>
        <v>2.4964200000000001</v>
      </c>
      <c r="L24" s="4">
        <f t="shared" si="10"/>
        <v>36.253219999999999</v>
      </c>
      <c r="M24" s="22">
        <f t="shared" si="2"/>
        <v>4.6789000000000005</v>
      </c>
      <c r="N24" s="4">
        <f t="shared" si="6"/>
        <v>5.25</v>
      </c>
      <c r="O24" s="4">
        <f t="shared" si="3"/>
        <v>69.344999999999999</v>
      </c>
      <c r="P24" s="4">
        <f t="shared" ref="P24" si="12">L24+M24+N24+O24</f>
        <v>115.52712</v>
      </c>
      <c r="Q24" s="12"/>
      <c r="R24" s="24">
        <v>1.036</v>
      </c>
    </row>
    <row r="25" spans="1:18" ht="18" x14ac:dyDescent="0.25">
      <c r="A25">
        <v>16</v>
      </c>
      <c r="B25" t="s">
        <v>16</v>
      </c>
      <c r="D25" t="s">
        <v>98</v>
      </c>
      <c r="E25" s="12" t="s">
        <v>96</v>
      </c>
      <c r="F25" s="22">
        <f>18.71+0.28+0.79</f>
        <v>19.78</v>
      </c>
      <c r="G25" s="4">
        <f>$F$5*(0.0087+0.0003+0.0001-0.0002)</f>
        <v>6.6749999999999989</v>
      </c>
      <c r="H25" s="4">
        <f t="shared" ref="H25" si="13">F25+G25</f>
        <v>26.454999999999998</v>
      </c>
      <c r="I25" s="23"/>
      <c r="J25" s="4">
        <f>(0.0073+0.0051)*$F$5*R25</f>
        <v>9.6980400000000007</v>
      </c>
      <c r="K25" s="22">
        <f t="shared" si="1"/>
        <v>2.9679659999999917</v>
      </c>
      <c r="L25" s="30">
        <f t="shared" si="10"/>
        <v>39.121005999999987</v>
      </c>
      <c r="M25" s="22">
        <f t="shared" si="2"/>
        <v>4.7079699999999995</v>
      </c>
      <c r="N25" s="4">
        <f t="shared" si="6"/>
        <v>5.25</v>
      </c>
      <c r="O25" s="4">
        <f t="shared" si="3"/>
        <v>69.344999999999999</v>
      </c>
      <c r="P25" s="4">
        <f t="shared" ref="P25" si="14">L25+M25+N25+O25</f>
        <v>118.42397599999998</v>
      </c>
      <c r="Q25" s="12"/>
      <c r="R25" s="24">
        <v>1.0427999999999999</v>
      </c>
    </row>
    <row r="26" spans="1:18" ht="18" x14ac:dyDescent="0.25">
      <c r="A26">
        <v>16</v>
      </c>
      <c r="B26" t="s">
        <v>17</v>
      </c>
      <c r="D26" t="s">
        <v>98</v>
      </c>
      <c r="E26" s="12" t="s">
        <v>96</v>
      </c>
      <c r="F26" s="22">
        <f>14.22+1.23+0.77+0.38+0.79</f>
        <v>17.39</v>
      </c>
      <c r="G26" s="4">
        <f>$F$5*(0.0144+0.0003-0.0006+0.0005+0.0001-0.0002)</f>
        <v>10.875</v>
      </c>
      <c r="H26" s="4">
        <f t="shared" ref="H26" si="15">F26+G26</f>
        <v>28.265000000000001</v>
      </c>
      <c r="I26" s="23"/>
      <c r="J26" s="4">
        <f>(0.0076+0.0053)*$F$5*R26</f>
        <v>10.26324</v>
      </c>
      <c r="K26" s="22">
        <f t="shared" si="1"/>
        <v>4.2161760000000017</v>
      </c>
      <c r="L26" s="30">
        <f t="shared" si="10"/>
        <v>42.744416000000001</v>
      </c>
      <c r="M26" s="22">
        <f t="shared" si="2"/>
        <v>4.7849200000000005</v>
      </c>
      <c r="N26" s="4">
        <f t="shared" si="6"/>
        <v>5.25</v>
      </c>
      <c r="O26" s="4">
        <f t="shared" si="3"/>
        <v>69.344999999999999</v>
      </c>
      <c r="P26" s="4">
        <f t="shared" ref="P26:P28" si="16">L26+M26+N26+O26</f>
        <v>122.124336</v>
      </c>
      <c r="Q26" s="12"/>
      <c r="R26" s="24">
        <v>1.0608</v>
      </c>
    </row>
    <row r="27" spans="1:18" ht="18" x14ac:dyDescent="0.25">
      <c r="A27">
        <v>16</v>
      </c>
      <c r="B27" t="s">
        <v>18</v>
      </c>
      <c r="D27" t="s">
        <v>98</v>
      </c>
      <c r="E27" s="12" t="s">
        <v>96</v>
      </c>
      <c r="F27" s="22">
        <f>13.25+1.2+2.33+0.79</f>
        <v>17.57</v>
      </c>
      <c r="G27" s="4">
        <f>$F$5*(0.0125+0.0014+0.0065+0.0004-0.0008)</f>
        <v>15.000000000000004</v>
      </c>
      <c r="H27" s="4">
        <f t="shared" ref="H27" si="17">F27+G27</f>
        <v>32.570000000000007</v>
      </c>
      <c r="I27" s="23"/>
      <c r="J27" s="4">
        <f>(0.0075+0.0054)*$F$5*R27</f>
        <v>10.315485000000001</v>
      </c>
      <c r="K27" s="22">
        <f t="shared" si="1"/>
        <v>4.5906389999999977</v>
      </c>
      <c r="L27" s="30">
        <f t="shared" si="10"/>
        <v>47.476124000000006</v>
      </c>
      <c r="M27" s="22">
        <f t="shared" si="2"/>
        <v>4.8080049999999996</v>
      </c>
      <c r="N27" s="4">
        <f t="shared" si="6"/>
        <v>5.25</v>
      </c>
      <c r="O27" s="4">
        <f t="shared" si="3"/>
        <v>69.344999999999999</v>
      </c>
      <c r="P27" s="4">
        <f t="shared" si="16"/>
        <v>126.87912900000001</v>
      </c>
      <c r="Q27" s="12"/>
      <c r="R27" s="24">
        <v>1.0662</v>
      </c>
    </row>
    <row r="28" spans="1:18" ht="18" x14ac:dyDescent="0.25">
      <c r="A28">
        <v>16</v>
      </c>
      <c r="B28" t="s">
        <v>19</v>
      </c>
      <c r="D28" t="s">
        <v>98</v>
      </c>
      <c r="E28" s="12" t="s">
        <v>96</v>
      </c>
      <c r="F28" s="22">
        <f>12.34+0.77+2.4+0.79</f>
        <v>16.3</v>
      </c>
      <c r="G28" s="4">
        <f>$F$5*(0.0124+0.0043+0.0023-0.001-0.0004)</f>
        <v>13.199999999999998</v>
      </c>
      <c r="H28" s="4">
        <f t="shared" ref="H28" si="18">F28+G28</f>
        <v>29.5</v>
      </c>
      <c r="I28" s="23"/>
      <c r="J28" s="4">
        <f>(0.0083+0.0042)*$F$5*R28</f>
        <v>9.9187500000000011</v>
      </c>
      <c r="K28" s="22">
        <f t="shared" si="1"/>
        <v>4.0220099999999999</v>
      </c>
      <c r="L28" s="30">
        <f t="shared" si="10"/>
        <v>43.440760000000004</v>
      </c>
      <c r="M28" s="22">
        <f t="shared" si="2"/>
        <v>4.7729499999999998</v>
      </c>
      <c r="N28" s="4">
        <f t="shared" ref="N28:N37" si="19">0.007*$F$5</f>
        <v>5.25</v>
      </c>
      <c r="O28" s="4">
        <f t="shared" si="3"/>
        <v>69.344999999999999</v>
      </c>
      <c r="P28" s="4">
        <f t="shared" si="16"/>
        <v>122.80871</v>
      </c>
      <c r="Q28" s="12"/>
      <c r="R28" s="24">
        <v>1.0580000000000001</v>
      </c>
    </row>
    <row r="29" spans="1:18" ht="18" x14ac:dyDescent="0.25">
      <c r="A29">
        <v>17</v>
      </c>
      <c r="B29" t="s">
        <v>20</v>
      </c>
      <c r="D29" s="11" t="s">
        <v>205</v>
      </c>
      <c r="E29" s="11" t="s">
        <v>206</v>
      </c>
      <c r="F29" s="22">
        <f>10.94-0.42+0.69+0.79</f>
        <v>12</v>
      </c>
      <c r="G29" s="4">
        <f>$F$5*(0.0204+0.0013-0.0003+0.001-0.0052)</f>
        <v>12.9</v>
      </c>
      <c r="H29" s="4">
        <f t="shared" ref="H29" si="20">F29+G29</f>
        <v>24.9</v>
      </c>
      <c r="I29" s="23"/>
      <c r="J29" s="4">
        <f>(0.008+0.0047)*$F$5*R29</f>
        <v>9.8840925000000013</v>
      </c>
      <c r="K29" s="22">
        <f t="shared" si="1"/>
        <v>2.6143065000000085</v>
      </c>
      <c r="L29" s="4">
        <f t="shared" si="10"/>
        <v>37.398399000000012</v>
      </c>
      <c r="M29" s="22">
        <f t="shared" si="2"/>
        <v>4.6861675000000007</v>
      </c>
      <c r="N29" s="4">
        <f t="shared" si="19"/>
        <v>5.25</v>
      </c>
      <c r="O29" s="4">
        <f t="shared" si="3"/>
        <v>69.344999999999999</v>
      </c>
      <c r="P29" s="4">
        <f t="shared" ref="P29:P32" si="21">L29+M29+N29+O29</f>
        <v>116.67956650000002</v>
      </c>
      <c r="Q29" s="12"/>
      <c r="R29" s="24">
        <v>1.0377000000000001</v>
      </c>
    </row>
    <row r="30" spans="1:18" ht="18" x14ac:dyDescent="0.25">
      <c r="A30">
        <v>18</v>
      </c>
      <c r="B30" t="s">
        <v>21</v>
      </c>
      <c r="D30" t="s">
        <v>100</v>
      </c>
      <c r="E30" s="12" t="s">
        <v>96</v>
      </c>
      <c r="F30" s="22">
        <f>15.44+0.23+0.79</f>
        <v>16.46</v>
      </c>
      <c r="G30" s="4">
        <f>$F$5*(0.018+0.0021+0.0004-0.0037-0.0016)</f>
        <v>11.400000000000002</v>
      </c>
      <c r="H30" s="4">
        <f t="shared" ref="H30:H32" si="22">F30+G30</f>
        <v>27.860000000000003</v>
      </c>
      <c r="I30" s="23"/>
      <c r="J30" s="4">
        <f>(0.0064+0.0049)*$F$5*R30</f>
        <v>8.8572225000000007</v>
      </c>
      <c r="K30" s="22">
        <f t="shared" si="1"/>
        <v>3.1274594999999938</v>
      </c>
      <c r="L30" s="4">
        <f t="shared" si="10"/>
        <v>39.844681999999999</v>
      </c>
      <c r="M30" s="22">
        <f t="shared" si="2"/>
        <v>4.7178024999999995</v>
      </c>
      <c r="N30" s="4">
        <f t="shared" si="19"/>
        <v>5.25</v>
      </c>
      <c r="O30" s="4">
        <f t="shared" si="3"/>
        <v>69.344999999999999</v>
      </c>
      <c r="P30" s="4">
        <f t="shared" si="21"/>
        <v>119.1574845</v>
      </c>
      <c r="Q30" s="12"/>
      <c r="R30" s="24">
        <v>1.0450999999999999</v>
      </c>
    </row>
    <row r="31" spans="1:18" ht="18" x14ac:dyDescent="0.25">
      <c r="A31">
        <v>18</v>
      </c>
      <c r="B31" t="s">
        <v>22</v>
      </c>
      <c r="D31" t="s">
        <v>100</v>
      </c>
      <c r="E31" s="12" t="s">
        <v>96</v>
      </c>
      <c r="F31" s="22">
        <f>15.44+0.23+0.79-7.69/12</f>
        <v>15.819166666666668</v>
      </c>
      <c r="G31" s="4">
        <f>$F$5*(0.018+0.0021+0.0006+0.0073-0.0037)</f>
        <v>18.225000000000001</v>
      </c>
      <c r="H31" s="4">
        <f t="shared" si="22"/>
        <v>34.044166666666669</v>
      </c>
      <c r="I31" s="23"/>
      <c r="J31" s="4">
        <f t="shared" ref="J31:J32" si="23">(0.0064+0.0049)*$F$5*R31</f>
        <v>8.8572225000000007</v>
      </c>
      <c r="K31" s="22">
        <f t="shared" si="1"/>
        <v>3.1274594999999938</v>
      </c>
      <c r="L31" s="17">
        <f t="shared" si="10"/>
        <v>46.028848666666661</v>
      </c>
      <c r="M31" s="22">
        <f t="shared" si="2"/>
        <v>4.7178024999999995</v>
      </c>
      <c r="N31" s="4">
        <f t="shared" si="19"/>
        <v>5.25</v>
      </c>
      <c r="O31" s="4">
        <f t="shared" si="3"/>
        <v>69.344999999999999</v>
      </c>
      <c r="P31" s="4">
        <f t="shared" si="21"/>
        <v>125.34165116666665</v>
      </c>
      <c r="Q31" s="12"/>
      <c r="R31" s="24">
        <v>1.0450999999999999</v>
      </c>
    </row>
    <row r="32" spans="1:18" ht="18" x14ac:dyDescent="0.25">
      <c r="B32" s="12" t="s">
        <v>23</v>
      </c>
      <c r="C32" s="12"/>
      <c r="D32" t="s">
        <v>100</v>
      </c>
      <c r="E32" s="12"/>
      <c r="F32" s="22">
        <f>15.44+0.23+0.79-1.76/12</f>
        <v>16.313333333333333</v>
      </c>
      <c r="G32" s="4">
        <f>$F$5*(0.018+0.0021+0.0005-0.0037)</f>
        <v>12.674999999999999</v>
      </c>
      <c r="H32" s="4">
        <f t="shared" si="22"/>
        <v>28.98833333333333</v>
      </c>
      <c r="I32" s="23"/>
      <c r="J32" s="4">
        <f t="shared" si="23"/>
        <v>8.8572225000000007</v>
      </c>
      <c r="K32" s="22">
        <f t="shared" si="1"/>
        <v>3.1274594999999938</v>
      </c>
      <c r="L32" s="4">
        <f t="shared" si="10"/>
        <v>40.973015333333322</v>
      </c>
      <c r="M32" s="22">
        <f t="shared" si="2"/>
        <v>4.7178024999999995</v>
      </c>
      <c r="N32" s="4">
        <f t="shared" si="19"/>
        <v>5.25</v>
      </c>
      <c r="O32" s="4">
        <f t="shared" si="3"/>
        <v>69.344999999999999</v>
      </c>
      <c r="P32" s="4">
        <f t="shared" si="21"/>
        <v>120.28581783333331</v>
      </c>
      <c r="Q32" s="12"/>
      <c r="R32" s="24">
        <v>1.0450999999999999</v>
      </c>
    </row>
    <row r="33" spans="1:18" ht="18" x14ac:dyDescent="0.25">
      <c r="A33">
        <v>19</v>
      </c>
      <c r="B33" t="s">
        <v>24</v>
      </c>
      <c r="D33" s="12" t="s">
        <v>98</v>
      </c>
      <c r="E33" s="12" t="s">
        <v>96</v>
      </c>
      <c r="F33" s="22">
        <f>13.87+1.12+0.52+0.79+1.39</f>
        <v>17.689999999999998</v>
      </c>
      <c r="G33" s="4">
        <f>$F$5*(0.0168+0.0037+0.0004+0.0012-0.0048+0.0002+0.0017)</f>
        <v>14.399999999999999</v>
      </c>
      <c r="H33" s="4">
        <f t="shared" ref="H33" si="24">F33+G33</f>
        <v>32.089999999999996</v>
      </c>
      <c r="I33" s="23"/>
      <c r="J33" s="4">
        <f>(0.0065+0.0041)*$F$5*R33</f>
        <v>8.4961649999999995</v>
      </c>
      <c r="K33" s="22">
        <f t="shared" si="1"/>
        <v>4.7640014999999982</v>
      </c>
      <c r="L33" s="4">
        <f t="shared" si="10"/>
        <v>45.350166499999993</v>
      </c>
      <c r="M33" s="22">
        <f t="shared" si="2"/>
        <v>4.8186925</v>
      </c>
      <c r="N33" s="4">
        <f t="shared" si="19"/>
        <v>5.25</v>
      </c>
      <c r="O33" s="4">
        <f t="shared" si="3"/>
        <v>69.344999999999999</v>
      </c>
      <c r="P33" s="4">
        <f t="shared" ref="P33" si="25">L33+M33+N33+O33</f>
        <v>124.763859</v>
      </c>
      <c r="Q33" s="12"/>
      <c r="R33" s="24">
        <v>1.0687</v>
      </c>
    </row>
    <row r="34" spans="1:18" ht="18" x14ac:dyDescent="0.25">
      <c r="A34">
        <v>20</v>
      </c>
      <c r="B34" t="s">
        <v>25</v>
      </c>
      <c r="D34" s="12" t="s">
        <v>98</v>
      </c>
      <c r="E34" s="12" t="s">
        <v>96</v>
      </c>
      <c r="F34" s="22">
        <f>12.94+0.79</f>
        <v>13.73</v>
      </c>
      <c r="G34" s="4">
        <f>$F$5*(0.0152+0.001+0.0099-0.0002+0.0001)</f>
        <v>19.5</v>
      </c>
      <c r="H34" s="4">
        <f t="shared" ref="H34" si="26">F34+G34</f>
        <v>33.230000000000004</v>
      </c>
      <c r="I34" s="23"/>
      <c r="J34" s="4">
        <f>(0.0078+0.0037)*$F$5*R34</f>
        <v>9.1442250000000005</v>
      </c>
      <c r="K34" s="22">
        <f t="shared" si="1"/>
        <v>4.1745689999999982</v>
      </c>
      <c r="L34" s="30">
        <f t="shared" si="10"/>
        <v>46.548794000000001</v>
      </c>
      <c r="M34" s="22">
        <f t="shared" si="2"/>
        <v>4.7823549999999999</v>
      </c>
      <c r="N34" s="4">
        <f t="shared" si="19"/>
        <v>5.25</v>
      </c>
      <c r="O34" s="4">
        <f t="shared" si="3"/>
        <v>69.344999999999999</v>
      </c>
      <c r="P34" s="4">
        <f t="shared" ref="P34" si="27">L34+M34+N34+O34</f>
        <v>125.92614900000001</v>
      </c>
      <c r="Q34" s="12"/>
      <c r="R34" s="24">
        <v>1.0602</v>
      </c>
    </row>
    <row r="35" spans="1:18" ht="18" x14ac:dyDescent="0.25">
      <c r="A35">
        <v>21</v>
      </c>
      <c r="B35" t="s">
        <v>26</v>
      </c>
      <c r="D35" s="12" t="s">
        <v>98</v>
      </c>
      <c r="E35" s="12" t="s">
        <v>96</v>
      </c>
      <c r="F35" s="22">
        <f>15.18+1+2.79+0.79</f>
        <v>19.759999999999998</v>
      </c>
      <c r="G35" s="4">
        <f>$F$5*(0.0169+0.0002+0.0011-0.0004)</f>
        <v>13.349999999999998</v>
      </c>
      <c r="H35" s="4">
        <f t="shared" ref="H35" si="28">F35+G35</f>
        <v>33.11</v>
      </c>
      <c r="I35" s="23"/>
      <c r="J35" s="4">
        <f>(0.0072+0.0051)*$F$5*R35</f>
        <v>9.5082074999999993</v>
      </c>
      <c r="K35" s="22">
        <f t="shared" si="1"/>
        <v>2.1288914999999977</v>
      </c>
      <c r="L35" s="4">
        <f t="shared" si="10"/>
        <v>44.747098999999992</v>
      </c>
      <c r="M35" s="22">
        <f t="shared" si="2"/>
        <v>4.6562425000000003</v>
      </c>
      <c r="N35" s="4">
        <f t="shared" si="19"/>
        <v>5.25</v>
      </c>
      <c r="O35" s="4">
        <f t="shared" si="3"/>
        <v>69.344999999999999</v>
      </c>
      <c r="P35" s="4">
        <f t="shared" ref="P35" si="29">L35+M35+N35+O35</f>
        <v>123.99834149999998</v>
      </c>
      <c r="Q35" s="12"/>
      <c r="R35" s="24">
        <v>1.0306999999999999</v>
      </c>
    </row>
    <row r="36" spans="1:18" ht="18" x14ac:dyDescent="0.25">
      <c r="B36" t="s">
        <v>27</v>
      </c>
      <c r="D36" s="12" t="s">
        <v>98</v>
      </c>
      <c r="E36" s="12" t="s">
        <v>96</v>
      </c>
      <c r="F36" s="22">
        <f>15.2+0.92+2.79+0.79</f>
        <v>19.7</v>
      </c>
      <c r="G36" s="4">
        <f>$F$5*(0.0164+0.0002+0.001-0.0004)</f>
        <v>12.9</v>
      </c>
      <c r="H36" s="4">
        <f t="shared" ref="H36" si="30">F36+G36</f>
        <v>32.6</v>
      </c>
      <c r="I36" s="23"/>
      <c r="J36" s="4">
        <f>(0.0072+0.0051)*$F$5*R36</f>
        <v>9.5082074999999993</v>
      </c>
      <c r="K36" s="22">
        <f t="shared" si="1"/>
        <v>2.1288914999999977</v>
      </c>
      <c r="L36" s="30">
        <f t="shared" si="10"/>
        <v>44.237098999999994</v>
      </c>
      <c r="M36" s="22">
        <f t="shared" si="2"/>
        <v>4.6562425000000003</v>
      </c>
      <c r="N36" s="4">
        <f t="shared" si="19"/>
        <v>5.25</v>
      </c>
      <c r="O36" s="4">
        <f t="shared" si="3"/>
        <v>69.344999999999999</v>
      </c>
      <c r="P36" s="4">
        <f t="shared" ref="P36:P38" si="31">L36+M36+N36+O36</f>
        <v>123.48834149999999</v>
      </c>
      <c r="Q36" s="12"/>
      <c r="R36" s="24">
        <v>1.0306999999999999</v>
      </c>
    </row>
    <row r="37" spans="1:18" x14ac:dyDescent="0.25">
      <c r="A37">
        <v>22</v>
      </c>
      <c r="B37" t="s">
        <v>28</v>
      </c>
      <c r="C37" t="s">
        <v>215</v>
      </c>
      <c r="E37" s="11" t="s">
        <v>122</v>
      </c>
      <c r="F37" s="22"/>
      <c r="G37" s="22"/>
      <c r="H37" s="22"/>
      <c r="I37" s="12"/>
      <c r="J37" s="12"/>
      <c r="K37" s="12"/>
      <c r="L37" s="12"/>
      <c r="M37" s="12"/>
      <c r="N37" s="4">
        <f t="shared" si="19"/>
        <v>5.25</v>
      </c>
      <c r="O37" s="12"/>
      <c r="P37" s="12"/>
      <c r="Q37" s="12"/>
      <c r="R37" s="12"/>
    </row>
    <row r="38" spans="1:18" ht="18" x14ac:dyDescent="0.25">
      <c r="A38">
        <v>23</v>
      </c>
      <c r="B38" t="s">
        <v>106</v>
      </c>
      <c r="D38" t="s">
        <v>92</v>
      </c>
      <c r="E38" s="12" t="s">
        <v>207</v>
      </c>
      <c r="F38" s="22">
        <f>18.64+0.79+0.86</f>
        <v>20.29</v>
      </c>
      <c r="G38" s="4">
        <f>$F$5*(0.0136-0.0004+0.0001-0.0004+0.0004)</f>
        <v>9.9749999999999996</v>
      </c>
      <c r="H38" s="4">
        <f t="shared" ref="H38" si="32">F38+G38</f>
        <v>30.265000000000001</v>
      </c>
      <c r="I38" s="23"/>
      <c r="J38" s="4">
        <f>(0.0071+0.0017)*$F$5*R38</f>
        <v>6.9101999999999997</v>
      </c>
      <c r="K38" s="22">
        <f t="shared" ref="K38:K52" si="33">(R38*$F$5-$F$5)*$T$5</f>
        <v>3.2592150000000002</v>
      </c>
      <c r="L38" s="22">
        <f t="shared" ref="L38:L42" si="34">H38+J38+K38</f>
        <v>40.434415000000001</v>
      </c>
      <c r="M38" s="22">
        <f t="shared" ref="M38:M42" si="35">$F$5*R38*(0.0044+0.0013)+0.25</f>
        <v>4.7259250000000002</v>
      </c>
      <c r="N38" s="20">
        <f>0.0047*$F$5</f>
        <v>3.5250000000000004</v>
      </c>
      <c r="O38" s="29">
        <f>$F$5*($T$5-0.0175)</f>
        <v>56.22</v>
      </c>
      <c r="P38" s="4">
        <f t="shared" si="31"/>
        <v>104.90534</v>
      </c>
      <c r="Q38" s="12"/>
      <c r="R38" s="24">
        <v>1.0469999999999999</v>
      </c>
    </row>
    <row r="39" spans="1:18" ht="18" x14ac:dyDescent="0.25">
      <c r="A39">
        <v>24</v>
      </c>
      <c r="B39" t="s">
        <v>29</v>
      </c>
      <c r="D39" t="s">
        <v>100</v>
      </c>
      <c r="E39" s="12" t="s">
        <v>96</v>
      </c>
      <c r="F39" s="22">
        <f>16.01+0.79+0.41</f>
        <v>17.21</v>
      </c>
      <c r="G39" s="4">
        <f>$F$5*(0.0123+0.0002-0.0014)</f>
        <v>8.3250000000000011</v>
      </c>
      <c r="H39" s="4">
        <f t="shared" ref="H39" si="36">F39+G39</f>
        <v>25.535000000000004</v>
      </c>
      <c r="I39" s="23"/>
      <c r="J39" s="4">
        <f>(0.0063+0.0041)*$F$5*R39</f>
        <v>8.2211999999999996</v>
      </c>
      <c r="K39" s="22">
        <f t="shared" si="33"/>
        <v>3.7446299999999999</v>
      </c>
      <c r="L39" s="30">
        <f t="shared" si="34"/>
        <v>37.500830000000008</v>
      </c>
      <c r="M39" s="22">
        <f t="shared" si="35"/>
        <v>4.7558500000000006</v>
      </c>
      <c r="N39" s="4">
        <f t="shared" ref="N39:N44" si="37">0.007*$F$5</f>
        <v>5.25</v>
      </c>
      <c r="O39" s="4">
        <f t="shared" ref="O39:O98" si="38">$F$5*$T$5</f>
        <v>69.344999999999999</v>
      </c>
      <c r="P39" s="4">
        <f t="shared" ref="P39" si="39">L39+M39+N39+O39</f>
        <v>116.85168000000002</v>
      </c>
      <c r="Q39" s="12"/>
      <c r="R39" s="24">
        <v>1.054</v>
      </c>
    </row>
    <row r="40" spans="1:18" ht="18" x14ac:dyDescent="0.25">
      <c r="A40">
        <v>25</v>
      </c>
      <c r="B40" t="s">
        <v>30</v>
      </c>
      <c r="D40" t="s">
        <v>100</v>
      </c>
      <c r="E40" s="12" t="s">
        <v>97</v>
      </c>
      <c r="F40" s="22">
        <f>15.47+0.79</f>
        <v>16.260000000000002</v>
      </c>
      <c r="G40" s="4">
        <f>$F$5*(0.0119+0.0007-0.0009)</f>
        <v>8.7750000000000004</v>
      </c>
      <c r="H40" s="4">
        <f t="shared" ref="H40" si="40">F40+G40</f>
        <v>25.035000000000004</v>
      </c>
      <c r="I40" s="23"/>
      <c r="J40" s="4">
        <f>(0.0073+0.0054)*$F$5*R40</f>
        <v>10.026015000000001</v>
      </c>
      <c r="K40" s="22">
        <f t="shared" si="33"/>
        <v>3.6475469999999937</v>
      </c>
      <c r="L40" s="30">
        <f t="shared" si="34"/>
        <v>38.708562000000001</v>
      </c>
      <c r="M40" s="22">
        <f t="shared" si="35"/>
        <v>4.7498649999999998</v>
      </c>
      <c r="N40" s="4">
        <f t="shared" si="37"/>
        <v>5.25</v>
      </c>
      <c r="O40" s="4">
        <f t="shared" si="38"/>
        <v>69.344999999999999</v>
      </c>
      <c r="P40" s="4">
        <f t="shared" ref="P40" si="41">L40+M40+N40+O40</f>
        <v>118.053427</v>
      </c>
      <c r="Q40" s="12"/>
      <c r="R40" s="24">
        <v>1.0526</v>
      </c>
    </row>
    <row r="41" spans="1:18" ht="18" x14ac:dyDescent="0.25">
      <c r="A41">
        <v>26</v>
      </c>
      <c r="B41" t="s">
        <v>31</v>
      </c>
      <c r="D41" t="s">
        <v>100</v>
      </c>
      <c r="E41" s="12" t="s">
        <v>97</v>
      </c>
      <c r="F41" s="22">
        <f>14.3+0.14+0.15+0.73-0.18+0.79</f>
        <v>15.930000000000003</v>
      </c>
      <c r="G41" s="4">
        <f>$F$5*(0.0174+0.0003+0.0007-0.0006)</f>
        <v>13.35</v>
      </c>
      <c r="H41" s="4">
        <f t="shared" ref="H41" si="42">F41+G41</f>
        <v>29.28</v>
      </c>
      <c r="I41" s="23"/>
      <c r="J41" s="4">
        <f>(0.0072+0.0053)*$F$5*R41</f>
        <v>9.5709374999999994</v>
      </c>
      <c r="K41" s="22">
        <f t="shared" si="33"/>
        <v>1.4493104999999957</v>
      </c>
      <c r="L41" s="30">
        <f t="shared" si="34"/>
        <v>40.300247999999996</v>
      </c>
      <c r="M41" s="22">
        <f t="shared" si="35"/>
        <v>4.6143475</v>
      </c>
      <c r="N41" s="4">
        <f t="shared" si="37"/>
        <v>5.25</v>
      </c>
      <c r="O41" s="4">
        <f t="shared" si="38"/>
        <v>69.344999999999999</v>
      </c>
      <c r="P41" s="4">
        <f t="shared" ref="P41" si="43">L41+M41+N41+O41</f>
        <v>119.50959549999999</v>
      </c>
      <c r="Q41" s="12"/>
      <c r="R41" s="24">
        <v>1.0208999999999999</v>
      </c>
    </row>
    <row r="42" spans="1:18" ht="18" x14ac:dyDescent="0.25">
      <c r="A42">
        <v>27</v>
      </c>
      <c r="B42" t="s">
        <v>107</v>
      </c>
      <c r="D42" t="s">
        <v>92</v>
      </c>
      <c r="E42" s="12" t="s">
        <v>96</v>
      </c>
      <c r="F42" s="22">
        <f>17.01+0.79</f>
        <v>17.8</v>
      </c>
      <c r="G42" s="4">
        <f>$F$5*(0.0248+0.0004-0.0014+0.0021-0.0015+0.0002)</f>
        <v>18.45</v>
      </c>
      <c r="H42" s="4">
        <f t="shared" ref="H42" si="44">F42+G42</f>
        <v>36.25</v>
      </c>
      <c r="I42" s="23"/>
      <c r="J42" s="4">
        <f>(0.0068+0.0052)*$F$5*R42</f>
        <v>9.5894999999999992</v>
      </c>
      <c r="K42" s="22">
        <f t="shared" si="33"/>
        <v>4.5420974999999899</v>
      </c>
      <c r="L42" s="30">
        <f t="shared" si="34"/>
        <v>50.381597499999991</v>
      </c>
      <c r="M42" s="22">
        <f t="shared" si="35"/>
        <v>4.8050124999999992</v>
      </c>
      <c r="N42" s="4">
        <f t="shared" si="37"/>
        <v>5.25</v>
      </c>
      <c r="O42" s="4">
        <f t="shared" si="38"/>
        <v>69.344999999999999</v>
      </c>
      <c r="P42" s="4">
        <f t="shared" ref="P42" si="45">L42+M42+N42+O42</f>
        <v>129.78161</v>
      </c>
      <c r="Q42" s="12"/>
      <c r="R42" s="24">
        <v>1.0654999999999999</v>
      </c>
    </row>
    <row r="43" spans="1:18" ht="18" x14ac:dyDescent="0.25">
      <c r="A43">
        <v>28</v>
      </c>
      <c r="B43" t="s">
        <v>32</v>
      </c>
      <c r="D43" s="12" t="s">
        <v>100</v>
      </c>
      <c r="E43" s="12" t="s">
        <v>96</v>
      </c>
      <c r="F43" s="22">
        <f>12.52+1.31+1.13+0.79</f>
        <v>15.75</v>
      </c>
      <c r="G43" s="4">
        <f>$F$5*(0.0118+0.0012-0.0001)</f>
        <v>9.6750000000000007</v>
      </c>
      <c r="H43" s="4">
        <f t="shared" ref="H43" si="46">F43+G43</f>
        <v>25.425000000000001</v>
      </c>
      <c r="I43" s="23"/>
      <c r="J43" s="4">
        <f>(0.0073+0.0052)*$F$5*R43</f>
        <v>9.9393750000000001</v>
      </c>
      <c r="K43" s="22">
        <f t="shared" si="33"/>
        <v>4.1745689999999982</v>
      </c>
      <c r="L43" s="30">
        <f t="shared" ref="L43:L52" si="47">H43+J43+K43</f>
        <v>39.538944000000001</v>
      </c>
      <c r="M43" s="22">
        <f t="shared" ref="M43:M52" si="48">$F$5*R43*(0.0044+0.0013)+0.25</f>
        <v>4.7823549999999999</v>
      </c>
      <c r="N43" s="4">
        <f t="shared" si="37"/>
        <v>5.25</v>
      </c>
      <c r="O43" s="4">
        <f t="shared" si="38"/>
        <v>69.344999999999999</v>
      </c>
      <c r="P43" s="4">
        <f t="shared" ref="P43" si="49">L43+M43+N43+O43</f>
        <v>118.91629900000001</v>
      </c>
      <c r="Q43" s="12"/>
      <c r="R43" s="24">
        <v>1.0602</v>
      </c>
    </row>
    <row r="44" spans="1:18" x14ac:dyDescent="0.25">
      <c r="A44">
        <v>29</v>
      </c>
      <c r="B44" t="s">
        <v>33</v>
      </c>
      <c r="C44" s="11" t="s">
        <v>215</v>
      </c>
      <c r="D44" s="11" t="s">
        <v>100</v>
      </c>
      <c r="E44" s="11" t="s">
        <v>208</v>
      </c>
      <c r="F44" s="22">
        <f>9.19+0.79</f>
        <v>9.98</v>
      </c>
      <c r="G44" s="4">
        <f>$F$5*(0.016+0.0007-0.0028)</f>
        <v>10.424999999999999</v>
      </c>
      <c r="H44" s="4">
        <f t="shared" ref="H44" si="50">F44+G44</f>
        <v>20.405000000000001</v>
      </c>
      <c r="I44" s="12"/>
      <c r="J44" s="4">
        <f>(0.0061+0.0048)*$F$5*R44</f>
        <v>8.5510500000000018</v>
      </c>
      <c r="K44" s="22">
        <f t="shared" si="33"/>
        <v>3.18987</v>
      </c>
      <c r="L44" s="22">
        <f t="shared" si="47"/>
        <v>32.145920000000004</v>
      </c>
      <c r="M44" s="22">
        <f t="shared" si="48"/>
        <v>4.7216500000000003</v>
      </c>
      <c r="N44" s="4">
        <f t="shared" si="37"/>
        <v>5.25</v>
      </c>
      <c r="O44" s="4">
        <f t="shared" si="38"/>
        <v>69.344999999999999</v>
      </c>
      <c r="P44" s="4">
        <f t="shared" ref="P44" si="51">L44+M44+N44+O44</f>
        <v>111.46257</v>
      </c>
      <c r="Q44" s="12"/>
      <c r="R44" s="24">
        <v>1.046</v>
      </c>
    </row>
    <row r="45" spans="1:18" x14ac:dyDescent="0.25">
      <c r="A45">
        <v>30</v>
      </c>
      <c r="B45" t="s">
        <v>34</v>
      </c>
      <c r="D45" s="12" t="s">
        <v>100</v>
      </c>
      <c r="E45" s="12" t="s">
        <v>97</v>
      </c>
      <c r="F45" s="22">
        <f>14.92+1.47+0.04+0.79</f>
        <v>17.22</v>
      </c>
      <c r="G45" s="4">
        <f>$F$5*(0.0147+0.00006-0.0016-0.0001)</f>
        <v>9.7949999999999982</v>
      </c>
      <c r="H45" s="4">
        <f t="shared" ref="H45" si="52">F45+G45</f>
        <v>27.014999999999997</v>
      </c>
      <c r="I45" s="12"/>
      <c r="J45" s="4">
        <f>(0.0072+0.0052)*$F$5*R45</f>
        <v>9.6785099999999993</v>
      </c>
      <c r="K45" s="22">
        <f t="shared" si="33"/>
        <v>2.8223414999999981</v>
      </c>
      <c r="L45" s="30">
        <f t="shared" si="47"/>
        <v>39.515851499999997</v>
      </c>
      <c r="M45" s="22">
        <f t="shared" si="48"/>
        <v>4.6989925000000001</v>
      </c>
      <c r="N45" s="20">
        <f>(0.764*0.007+0.236*0.0068)*$F$5</f>
        <v>5.2145999999999999</v>
      </c>
      <c r="O45" s="4">
        <f t="shared" si="38"/>
        <v>69.344999999999999</v>
      </c>
      <c r="P45" s="4">
        <f t="shared" ref="P45" si="53">L45+M45+N45+O45</f>
        <v>118.77444399999999</v>
      </c>
      <c r="Q45" s="12"/>
      <c r="R45" s="24">
        <v>1.0407</v>
      </c>
    </row>
    <row r="46" spans="1:18" ht="18" x14ac:dyDescent="0.25">
      <c r="A46">
        <v>31</v>
      </c>
      <c r="B46" t="s">
        <v>35</v>
      </c>
      <c r="D46" s="12" t="s">
        <v>100</v>
      </c>
      <c r="E46" s="12" t="s">
        <v>96</v>
      </c>
      <c r="F46" s="22">
        <f>14.68+1.08+0.26+0.79</f>
        <v>16.809999999999999</v>
      </c>
      <c r="G46" s="4">
        <f>$F$5*(0.01487+0.0054-0.0039)</f>
        <v>12.2775</v>
      </c>
      <c r="H46" s="4">
        <f t="shared" ref="H46" si="54">F46+G46</f>
        <v>29.087499999999999</v>
      </c>
      <c r="I46" s="23"/>
      <c r="J46" s="4">
        <f>(0.0069+0.0048)*$F$5*R46</f>
        <v>9.4524299999999979</v>
      </c>
      <c r="K46" s="22">
        <f t="shared" si="33"/>
        <v>5.3534339999999982</v>
      </c>
      <c r="L46" s="22">
        <f t="shared" si="47"/>
        <v>43.893363999999998</v>
      </c>
      <c r="M46" s="22">
        <f t="shared" si="48"/>
        <v>4.8550300000000002</v>
      </c>
      <c r="N46" s="4">
        <f t="shared" ref="N46:N52" si="55">0.007*$F$5</f>
        <v>5.25</v>
      </c>
      <c r="O46" s="4">
        <f t="shared" si="38"/>
        <v>69.344999999999999</v>
      </c>
      <c r="P46" s="4">
        <f t="shared" ref="P46" si="56">L46+M46+N46+O46</f>
        <v>123.34339399999999</v>
      </c>
      <c r="Q46" s="12"/>
      <c r="R46" s="24">
        <v>1.0771999999999999</v>
      </c>
    </row>
    <row r="47" spans="1:18" ht="18" x14ac:dyDescent="0.25">
      <c r="A47">
        <v>32</v>
      </c>
      <c r="B47" t="s">
        <v>108</v>
      </c>
      <c r="D47" s="12" t="s">
        <v>92</v>
      </c>
      <c r="E47" s="12" t="s">
        <v>209</v>
      </c>
      <c r="F47" s="22">
        <f>7.06+1.06+0.79</f>
        <v>8.91</v>
      </c>
      <c r="G47" s="4">
        <f>$F$5*(0.0096+0.0007-0.0018-0.0002+0.0001-0.0032)</f>
        <v>3.8999999999999986</v>
      </c>
      <c r="H47" s="4">
        <f t="shared" ref="H47" si="57">F47+G47</f>
        <v>12.809999999999999</v>
      </c>
      <c r="I47" s="23"/>
      <c r="J47" s="4">
        <f>(0.007+0.0031)*$F$5*R47</f>
        <v>7.9848074999999996</v>
      </c>
      <c r="K47" s="22">
        <f t="shared" si="33"/>
        <v>3.7515645000000042</v>
      </c>
      <c r="L47" s="22">
        <f t="shared" si="47"/>
        <v>24.546372000000002</v>
      </c>
      <c r="M47" s="22">
        <f t="shared" si="48"/>
        <v>4.7562775000000004</v>
      </c>
      <c r="N47" s="4">
        <f t="shared" si="55"/>
        <v>5.25</v>
      </c>
      <c r="O47" s="4">
        <f t="shared" si="38"/>
        <v>69.344999999999999</v>
      </c>
      <c r="P47" s="4">
        <f t="shared" ref="P47" si="58">L47+M47+N47+O47</f>
        <v>103.8976495</v>
      </c>
      <c r="Q47" s="12"/>
      <c r="R47" s="24">
        <v>1.0541</v>
      </c>
    </row>
    <row r="48" spans="1:18" ht="18" x14ac:dyDescent="0.25">
      <c r="A48">
        <v>33</v>
      </c>
      <c r="B48" t="s">
        <v>36</v>
      </c>
      <c r="D48" s="12" t="s">
        <v>100</v>
      </c>
      <c r="E48" s="12" t="s">
        <v>97</v>
      </c>
      <c r="F48" s="22">
        <f>10.1+0.14+0.41+0.17+0.79</f>
        <v>11.61</v>
      </c>
      <c r="G48" s="4">
        <f>$F$5*(0.0147-0.0013)</f>
        <v>10.049999999999999</v>
      </c>
      <c r="H48" s="4">
        <f t="shared" ref="H48" si="59">F48+G48</f>
        <v>21.659999999999997</v>
      </c>
      <c r="I48" s="23"/>
      <c r="J48" s="4">
        <f>(0.0076+0.0054)*$F$5*R48</f>
        <v>10.090275</v>
      </c>
      <c r="K48" s="22">
        <f t="shared" si="33"/>
        <v>2.420140499999996</v>
      </c>
      <c r="L48" s="30">
        <f t="shared" si="47"/>
        <v>34.17041549999999</v>
      </c>
      <c r="M48" s="22">
        <f t="shared" si="48"/>
        <v>4.6741975</v>
      </c>
      <c r="N48" s="4">
        <f t="shared" si="55"/>
        <v>5.25</v>
      </c>
      <c r="O48" s="4">
        <f t="shared" si="38"/>
        <v>69.344999999999999</v>
      </c>
      <c r="P48" s="4">
        <f t="shared" ref="P48" si="60">L48+M48+N48+O48</f>
        <v>113.43961299999998</v>
      </c>
      <c r="Q48" s="12"/>
      <c r="R48" s="24">
        <v>1.0348999999999999</v>
      </c>
    </row>
    <row r="49" spans="1:18" ht="18" x14ac:dyDescent="0.25">
      <c r="A49">
        <v>34</v>
      </c>
      <c r="B49" t="s">
        <v>37</v>
      </c>
      <c r="D49" s="12" t="s">
        <v>98</v>
      </c>
      <c r="E49" s="12" t="s">
        <v>97</v>
      </c>
      <c r="F49" s="22">
        <f>20.15+3.92+0.79</f>
        <v>24.86</v>
      </c>
      <c r="G49" s="4">
        <f>$F$5*(0.0339-0.0009+0.00062+0.00141-0.00006)</f>
        <v>26.227500000000006</v>
      </c>
      <c r="H49" s="4">
        <f t="shared" ref="H49" si="61">F49+G49</f>
        <v>51.087500000000006</v>
      </c>
      <c r="I49" s="23"/>
      <c r="J49" s="4">
        <f>(0.00719+0.00499)*$F$5*R49</f>
        <v>9.9114749999999994</v>
      </c>
      <c r="K49" s="22">
        <f t="shared" si="33"/>
        <v>5.8943250000000003</v>
      </c>
      <c r="L49" s="30">
        <f t="shared" si="47"/>
        <v>66.893299999999996</v>
      </c>
      <c r="M49" s="22">
        <f t="shared" si="48"/>
        <v>4.8883749999999999</v>
      </c>
      <c r="N49" s="4">
        <f t="shared" si="55"/>
        <v>5.25</v>
      </c>
      <c r="O49" s="4">
        <f t="shared" si="38"/>
        <v>69.344999999999999</v>
      </c>
      <c r="P49" s="4">
        <f t="shared" ref="P49" si="62">L49+M49+N49+O49</f>
        <v>146.37667499999998</v>
      </c>
      <c r="Q49" s="22"/>
      <c r="R49" s="24">
        <v>1.085</v>
      </c>
    </row>
    <row r="50" spans="1:18" ht="18" x14ac:dyDescent="0.25">
      <c r="A50">
        <v>34</v>
      </c>
      <c r="B50" t="s">
        <v>38</v>
      </c>
      <c r="D50" s="12" t="s">
        <v>98</v>
      </c>
      <c r="E50" s="12" t="s">
        <v>97</v>
      </c>
      <c r="F50" s="22">
        <f>57.61-28.5+3.92+0.79</f>
        <v>33.82</v>
      </c>
      <c r="G50" s="4">
        <f>$F$5*(0.03724-0.00085+0.00091+0.00211-0.00009)</f>
        <v>29.490000000000006</v>
      </c>
      <c r="H50" s="4">
        <f t="shared" ref="H50" si="63">F50+G50</f>
        <v>63.31</v>
      </c>
      <c r="I50" s="23"/>
      <c r="J50" s="4">
        <f>(0.00702+0.0047)*$F$5*R50</f>
        <v>9.5986800000000017</v>
      </c>
      <c r="K50" s="22">
        <f t="shared" si="33"/>
        <v>6.3797400000000106</v>
      </c>
      <c r="L50" s="22">
        <f t="shared" si="47"/>
        <v>79.288420000000016</v>
      </c>
      <c r="M50" s="22">
        <f t="shared" si="48"/>
        <v>4.9183000000000012</v>
      </c>
      <c r="N50" s="4">
        <f t="shared" si="55"/>
        <v>5.25</v>
      </c>
      <c r="O50" s="4">
        <f t="shared" si="38"/>
        <v>69.344999999999999</v>
      </c>
      <c r="P50" s="4">
        <f t="shared" ref="P50" si="64">L50+M50+N50+O50</f>
        <v>158.80172000000002</v>
      </c>
      <c r="Q50" s="12"/>
      <c r="R50" s="24">
        <v>1.0920000000000001</v>
      </c>
    </row>
    <row r="51" spans="1:18" ht="18" x14ac:dyDescent="0.25">
      <c r="A51">
        <v>34</v>
      </c>
      <c r="B51" t="s">
        <v>121</v>
      </c>
      <c r="D51" s="12" t="s">
        <v>98</v>
      </c>
      <c r="E51" s="12" t="s">
        <v>97</v>
      </c>
      <c r="F51" s="22">
        <f>19.71+3.92+0.79</f>
        <v>24.42</v>
      </c>
      <c r="G51" s="4">
        <f>$F$5*(0.08206-0.00065+0.00149+0.00333-0.00014)</f>
        <v>64.567499999999995</v>
      </c>
      <c r="H51" s="4">
        <f t="shared" ref="H51" si="65">F51+G51</f>
        <v>88.987499999999997</v>
      </c>
      <c r="I51" s="23"/>
      <c r="J51" s="4">
        <f>(0.00663+0.0046)*$F$5*R51</f>
        <v>9.1973699999999994</v>
      </c>
      <c r="K51" s="22">
        <f t="shared" si="33"/>
        <v>6.3797400000000106</v>
      </c>
      <c r="L51" s="30">
        <f t="shared" si="47"/>
        <v>104.56461</v>
      </c>
      <c r="M51" s="22">
        <f t="shared" si="48"/>
        <v>4.9183000000000012</v>
      </c>
      <c r="N51" s="4">
        <f t="shared" si="55"/>
        <v>5.25</v>
      </c>
      <c r="O51" s="4">
        <f t="shared" si="38"/>
        <v>69.344999999999999</v>
      </c>
      <c r="P51" s="4">
        <f t="shared" ref="P51:P52" si="66">L51+M51+N51+O51</f>
        <v>184.07791</v>
      </c>
      <c r="Q51" s="12"/>
      <c r="R51" s="24">
        <v>1.0920000000000001</v>
      </c>
    </row>
    <row r="52" spans="1:18" ht="18" x14ac:dyDescent="0.25">
      <c r="A52">
        <v>34</v>
      </c>
      <c r="B52" t="s">
        <v>39</v>
      </c>
      <c r="D52" s="12" t="s">
        <v>98</v>
      </c>
      <c r="E52" s="12" t="s">
        <v>97</v>
      </c>
      <c r="F52" s="22">
        <f>12.72+3.92+0.79</f>
        <v>17.43</v>
      </c>
      <c r="G52" s="4">
        <f>$F$5*(0.02557-0.00093+0.00053+0.00105-0.00004)</f>
        <v>19.634999999999998</v>
      </c>
      <c r="H52" s="4">
        <f t="shared" ref="H52" si="67">F52+G52</f>
        <v>37.064999999999998</v>
      </c>
      <c r="I52" s="23"/>
      <c r="J52" s="4">
        <f>(0.00707+0.00489)*$F$5*R52</f>
        <v>9.6696600000000021</v>
      </c>
      <c r="K52" s="22">
        <f t="shared" si="33"/>
        <v>5.4089099999999997</v>
      </c>
      <c r="L52" s="30">
        <f t="shared" si="47"/>
        <v>52.143569999999997</v>
      </c>
      <c r="M52" s="22">
        <f t="shared" si="48"/>
        <v>4.8584500000000004</v>
      </c>
      <c r="N52" s="4">
        <f t="shared" si="55"/>
        <v>5.25</v>
      </c>
      <c r="O52" s="4">
        <f t="shared" si="38"/>
        <v>69.344999999999999</v>
      </c>
      <c r="P52" s="4">
        <f t="shared" si="66"/>
        <v>131.59701999999999</v>
      </c>
      <c r="Q52" s="12"/>
      <c r="R52" s="24">
        <v>1.0780000000000001</v>
      </c>
    </row>
    <row r="53" spans="1:18" x14ac:dyDescent="0.25">
      <c r="A53">
        <v>34</v>
      </c>
      <c r="B53" t="s">
        <v>40</v>
      </c>
      <c r="D53" s="12" t="s">
        <v>98</v>
      </c>
      <c r="E53" s="12" t="s">
        <v>96</v>
      </c>
      <c r="F53" s="22">
        <f>18.41+0.2</f>
        <v>18.61</v>
      </c>
      <c r="G53" s="4">
        <f>IF(F5&lt;=1000,F5*(0.0866+0.0009),IF(F5&lt;=2500,1000*(0.088+0.0009)+(F5-1000)*(0.1155+0.0013),1000*(0.088+0.0009)+1500*(0.1155+0.0013)+(F5-2500)*(0.1741+0.0019)))</f>
        <v>65.625</v>
      </c>
      <c r="H53" s="18"/>
      <c r="I53" s="19"/>
      <c r="J53" s="19"/>
      <c r="K53" s="19"/>
      <c r="L53" s="19"/>
      <c r="M53" s="19"/>
      <c r="N53" s="19"/>
      <c r="O53" s="19"/>
      <c r="P53" s="4">
        <f>F53+G53</f>
        <v>84.234999999999999</v>
      </c>
      <c r="Q53" s="12"/>
      <c r="R53" s="12"/>
    </row>
    <row r="54" spans="1:18" ht="18" x14ac:dyDescent="0.25">
      <c r="A54">
        <v>35</v>
      </c>
      <c r="B54" t="s">
        <v>41</v>
      </c>
      <c r="D54" s="12" t="s">
        <v>98</v>
      </c>
      <c r="E54" s="12" t="s">
        <v>97</v>
      </c>
      <c r="F54" s="22">
        <f>9.55+0.79</f>
        <v>10.34</v>
      </c>
      <c r="G54" s="4">
        <f>$F$5*(0.0231+0.00006-0.0018)</f>
        <v>16.02</v>
      </c>
      <c r="H54" s="4">
        <f t="shared" ref="H54" si="68">F54+G54</f>
        <v>26.36</v>
      </c>
      <c r="I54" s="23"/>
      <c r="J54" s="4">
        <f>(0.008+0.0042)*$F$5*R54</f>
        <v>9.4775699999999983</v>
      </c>
      <c r="K54" s="22">
        <f t="shared" ref="K54:K55" si="69">(R54*$F$5-$F$5)*$T$5</f>
        <v>2.4825510000000022</v>
      </c>
      <c r="L54" s="30">
        <f t="shared" ref="L54:L55" si="70">H54+J54+K54</f>
        <v>38.320121</v>
      </c>
      <c r="M54" s="22">
        <f t="shared" ref="M54:M55" si="71">$F$5*R54*(0.0044+0.0013)+0.25</f>
        <v>4.678045</v>
      </c>
      <c r="N54" s="20">
        <f>0.00694*$F$5</f>
        <v>5.2050000000000001</v>
      </c>
      <c r="O54" s="4">
        <f t="shared" si="38"/>
        <v>69.344999999999999</v>
      </c>
      <c r="P54" s="4">
        <f t="shared" ref="P54:P55" si="72">L54+M54+N54+O54</f>
        <v>117.54816599999999</v>
      </c>
      <c r="Q54" s="12"/>
      <c r="R54" s="24">
        <v>1.0358000000000001</v>
      </c>
    </row>
    <row r="55" spans="1:18" ht="18" x14ac:dyDescent="0.25">
      <c r="A55">
        <v>36</v>
      </c>
      <c r="B55" t="s">
        <v>42</v>
      </c>
      <c r="D55" s="12" t="s">
        <v>100</v>
      </c>
      <c r="E55" s="12" t="s">
        <v>97</v>
      </c>
      <c r="F55" s="22">
        <f>20.19+0.27+0.83+0.79</f>
        <v>22.08</v>
      </c>
      <c r="G55" s="4">
        <f>$F$5*(0.018+0.0022)</f>
        <v>15.149999999999999</v>
      </c>
      <c r="H55" s="4">
        <f t="shared" ref="H55" si="73">F55+G55</f>
        <v>37.229999999999997</v>
      </c>
      <c r="I55" s="23"/>
      <c r="J55" s="4">
        <f>(0.007+0.0051)*$F$5*R55</f>
        <v>9.7311224999999997</v>
      </c>
      <c r="K55" s="22">
        <f t="shared" si="69"/>
        <v>5.0136435000000024</v>
      </c>
      <c r="L55" s="22">
        <f t="shared" si="70"/>
        <v>51.974765999999995</v>
      </c>
      <c r="M55" s="22">
        <f t="shared" si="71"/>
        <v>4.8340825000000001</v>
      </c>
      <c r="N55" s="4">
        <f>0.007*$F$5</f>
        <v>5.25</v>
      </c>
      <c r="O55" s="4">
        <f t="shared" si="38"/>
        <v>69.344999999999999</v>
      </c>
      <c r="P55" s="4">
        <f t="shared" si="72"/>
        <v>131.40384849999998</v>
      </c>
      <c r="Q55" s="12"/>
      <c r="R55" s="24">
        <v>1.0723</v>
      </c>
    </row>
    <row r="56" spans="1:18" x14ac:dyDescent="0.25">
      <c r="A56">
        <v>37</v>
      </c>
      <c r="B56" t="s">
        <v>43</v>
      </c>
      <c r="C56" s="11" t="s">
        <v>215</v>
      </c>
      <c r="E56" s="11" t="s">
        <v>122</v>
      </c>
      <c r="F56" s="22"/>
      <c r="G56" s="22"/>
      <c r="H56" s="22"/>
      <c r="I56" s="12"/>
      <c r="J56" s="12"/>
      <c r="K56" s="12"/>
      <c r="L56" s="12"/>
      <c r="M56" s="12"/>
      <c r="O56" s="12"/>
      <c r="P56" s="12"/>
      <c r="Q56" s="12"/>
      <c r="R56" s="12"/>
    </row>
    <row r="57" spans="1:18" ht="18" x14ac:dyDescent="0.25">
      <c r="A57">
        <v>38</v>
      </c>
      <c r="B57" t="s">
        <v>44</v>
      </c>
      <c r="D57" t="s">
        <v>210</v>
      </c>
      <c r="E57" s="12" t="s">
        <v>96</v>
      </c>
      <c r="F57" s="22">
        <f>19.24+0.79</f>
        <v>20.029999999999998</v>
      </c>
      <c r="G57" s="4">
        <f>$F$5*(0.0141)</f>
        <v>10.574999999999999</v>
      </c>
      <c r="H57" s="4">
        <f t="shared" ref="H57" si="74">F57+G57</f>
        <v>30.604999999999997</v>
      </c>
      <c r="I57" s="23"/>
      <c r="J57" s="4">
        <f>(0.0072+0.0018)*$F$5*R57</f>
        <v>7.0402499999999986</v>
      </c>
      <c r="K57" s="22">
        <f t="shared" ref="K57:K65" si="75">(R57*$F$5-$F$5)*$T$5</f>
        <v>2.9818350000000002</v>
      </c>
      <c r="L57" s="30">
        <f t="shared" ref="L57:L98" si="76">H57+J57+K57</f>
        <v>40.627084999999994</v>
      </c>
      <c r="M57" s="22">
        <f t="shared" ref="M57:M98" si="77">$F$5*R57*(0.0044+0.0013)+0.25</f>
        <v>4.708825</v>
      </c>
      <c r="N57" s="4">
        <f t="shared" ref="N57:N73" si="78">0.007*$F$5</f>
        <v>5.25</v>
      </c>
      <c r="O57" s="4">
        <f t="shared" si="38"/>
        <v>69.344999999999999</v>
      </c>
      <c r="P57" s="4">
        <f t="shared" ref="P57" si="79">L57+M57+N57+O57</f>
        <v>119.93090999999998</v>
      </c>
      <c r="Q57" s="12"/>
      <c r="R57" s="24">
        <v>1.0429999999999999</v>
      </c>
    </row>
    <row r="58" spans="1:18" ht="18" x14ac:dyDescent="0.25">
      <c r="A58">
        <v>39</v>
      </c>
      <c r="B58" t="s">
        <v>45</v>
      </c>
      <c r="D58" s="12" t="s">
        <v>100</v>
      </c>
      <c r="E58" s="12" t="s">
        <v>96</v>
      </c>
      <c r="F58" s="22">
        <f>12.4+2.63+0.79</f>
        <v>15.82</v>
      </c>
      <c r="G58" s="4">
        <f>$F$5*(0.0152+0.0007+0.0007-0.0005-0.0001)</f>
        <v>12</v>
      </c>
      <c r="H58" s="4">
        <f t="shared" ref="H58" si="80">F58+G58</f>
        <v>27.82</v>
      </c>
      <c r="I58" s="23"/>
      <c r="J58" s="4">
        <f>(0.0072+0.0055)*$F$5*R58</f>
        <v>9.8526600000000002</v>
      </c>
      <c r="K58" s="22">
        <f t="shared" si="75"/>
        <v>2.3854679999999959</v>
      </c>
      <c r="L58" s="30">
        <f t="shared" si="76"/>
        <v>40.058127999999996</v>
      </c>
      <c r="M58" s="22">
        <f t="shared" si="77"/>
        <v>4.6720600000000001</v>
      </c>
      <c r="N58" s="4">
        <f t="shared" si="78"/>
        <v>5.25</v>
      </c>
      <c r="O58" s="4">
        <f t="shared" si="38"/>
        <v>69.344999999999999</v>
      </c>
      <c r="P58" s="4">
        <f t="shared" ref="P58" si="81">L58+M58+N58+O58</f>
        <v>119.325188</v>
      </c>
      <c r="Q58" s="12"/>
      <c r="R58" s="24">
        <v>1.0344</v>
      </c>
    </row>
    <row r="59" spans="1:18" ht="18" x14ac:dyDescent="0.25">
      <c r="A59">
        <v>40</v>
      </c>
      <c r="B59" t="s">
        <v>109</v>
      </c>
      <c r="D59" s="12" t="s">
        <v>92</v>
      </c>
      <c r="E59" s="12" t="s">
        <v>96</v>
      </c>
      <c r="F59" s="22">
        <f>10.5+3.09-0.81+0.79</f>
        <v>13.57</v>
      </c>
      <c r="G59" s="4">
        <f>$F$5*(0.0162-0.0005-0.0065+0.001)</f>
        <v>7.65</v>
      </c>
      <c r="H59" s="4">
        <f t="shared" ref="H59" si="82">F59+G59</f>
        <v>21.22</v>
      </c>
      <c r="I59" s="23"/>
      <c r="J59" s="4">
        <f>(0.0072+0.0014)*$F$5*R59</f>
        <v>6.6763949999999994</v>
      </c>
      <c r="K59" s="22">
        <f t="shared" si="75"/>
        <v>2.4340094999999935</v>
      </c>
      <c r="L59" s="30">
        <f t="shared" si="76"/>
        <v>30.330404499999993</v>
      </c>
      <c r="M59" s="22">
        <f t="shared" si="77"/>
        <v>4.6750524999999996</v>
      </c>
      <c r="N59" s="4">
        <f t="shared" si="78"/>
        <v>5.25</v>
      </c>
      <c r="O59" s="4">
        <f t="shared" si="38"/>
        <v>69.344999999999999</v>
      </c>
      <c r="P59" s="4">
        <f t="shared" ref="P59:P60" si="83">L59+M59+N59+O59</f>
        <v>109.60045699999999</v>
      </c>
      <c r="Q59" s="12"/>
      <c r="R59" s="24">
        <v>1.0350999999999999</v>
      </c>
    </row>
    <row r="60" spans="1:18" ht="18" x14ac:dyDescent="0.25">
      <c r="A60">
        <v>41</v>
      </c>
      <c r="B60" t="s">
        <v>46</v>
      </c>
      <c r="D60" s="12" t="s">
        <v>98</v>
      </c>
      <c r="E60" s="12" t="s">
        <v>96</v>
      </c>
      <c r="F60" s="22">
        <f>10.12+0.79</f>
        <v>10.91</v>
      </c>
      <c r="G60" s="4">
        <f>$F$5*(0.0146+0.0013-0.0013-0.0014-0.0001)</f>
        <v>9.8250000000000011</v>
      </c>
      <c r="H60" s="4">
        <f t="shared" ref="H60" si="84">F60+G60</f>
        <v>20.734999999999999</v>
      </c>
      <c r="I60" s="23"/>
      <c r="J60" s="4">
        <f>(0.0069+0.0048)*$F$5*R60</f>
        <v>9.2707874999999991</v>
      </c>
      <c r="K60" s="22">
        <f t="shared" si="75"/>
        <v>3.9179925</v>
      </c>
      <c r="L60" s="30">
        <f t="shared" si="76"/>
        <v>33.923779999999994</v>
      </c>
      <c r="M60" s="22">
        <f t="shared" si="77"/>
        <v>4.7665375000000001</v>
      </c>
      <c r="N60" s="4">
        <f t="shared" si="78"/>
        <v>5.25</v>
      </c>
      <c r="O60" s="4">
        <f t="shared" si="38"/>
        <v>69.344999999999999</v>
      </c>
      <c r="P60" s="4">
        <f t="shared" si="83"/>
        <v>113.28531749999999</v>
      </c>
      <c r="Q60" s="12"/>
      <c r="R60" s="24">
        <v>1.0565</v>
      </c>
    </row>
    <row r="61" spans="1:18" ht="18" x14ac:dyDescent="0.25">
      <c r="A61">
        <v>42</v>
      </c>
      <c r="B61" t="s">
        <v>47</v>
      </c>
      <c r="D61" s="12" t="s">
        <v>100</v>
      </c>
      <c r="E61" s="12" t="s">
        <v>96</v>
      </c>
      <c r="F61" s="22">
        <f>19.94+1.27+0.79</f>
        <v>22</v>
      </c>
      <c r="G61" s="4">
        <f>$F$5*(0.0146+0.0034)</f>
        <v>13.499999999999998</v>
      </c>
      <c r="H61" s="4">
        <f t="shared" ref="H61" si="85">F61+G61</f>
        <v>35.5</v>
      </c>
      <c r="I61" s="23"/>
      <c r="J61" s="4">
        <f>(0.006+0.0041)*$F$5*R61</f>
        <v>8.1378225000000022</v>
      </c>
      <c r="K61" s="22">
        <f t="shared" si="75"/>
        <v>5.1523335000000019</v>
      </c>
      <c r="L61" s="30">
        <f t="shared" si="76"/>
        <v>48.790156000000003</v>
      </c>
      <c r="M61" s="22">
        <f t="shared" si="77"/>
        <v>4.8426325000000006</v>
      </c>
      <c r="N61" s="4">
        <f t="shared" si="78"/>
        <v>5.25</v>
      </c>
      <c r="O61" s="4">
        <f t="shared" si="38"/>
        <v>69.344999999999999</v>
      </c>
      <c r="P61" s="4">
        <f t="shared" ref="P61" si="86">L61+M61+N61+O61</f>
        <v>128.2277885</v>
      </c>
      <c r="Q61" s="12"/>
      <c r="R61" s="24">
        <v>1.0743</v>
      </c>
    </row>
    <row r="62" spans="1:18" ht="18" x14ac:dyDescent="0.25">
      <c r="A62">
        <v>43</v>
      </c>
      <c r="B62" t="s">
        <v>48</v>
      </c>
      <c r="D62" s="12" t="s">
        <v>98</v>
      </c>
      <c r="E62" s="12" t="s">
        <v>96</v>
      </c>
      <c r="F62" s="22">
        <f>13.32+0.79</f>
        <v>14.11</v>
      </c>
      <c r="G62" s="4">
        <f>$F$5*(0.0157+0.00004)</f>
        <v>11.804999999999998</v>
      </c>
      <c r="H62" s="4">
        <f t="shared" ref="H62" si="87">F62+G62</f>
        <v>25.914999999999999</v>
      </c>
      <c r="I62" s="23"/>
      <c r="J62" s="4">
        <f>(0.0074+0.0057)*$F$5*R62</f>
        <v>10.168875</v>
      </c>
      <c r="K62" s="22">
        <f t="shared" si="75"/>
        <v>2.4270749999999897</v>
      </c>
      <c r="L62" s="30">
        <f t="shared" si="76"/>
        <v>38.510949999999987</v>
      </c>
      <c r="M62" s="22">
        <f t="shared" si="77"/>
        <v>4.6746249999999998</v>
      </c>
      <c r="N62" s="4">
        <f t="shared" si="78"/>
        <v>5.25</v>
      </c>
      <c r="O62" s="4">
        <f t="shared" si="38"/>
        <v>69.344999999999999</v>
      </c>
      <c r="P62" s="4">
        <f t="shared" ref="P62:P65" si="88">L62+M62+N62+O62</f>
        <v>117.78057499999998</v>
      </c>
      <c r="Q62" s="12"/>
      <c r="R62" s="24">
        <v>1.0349999999999999</v>
      </c>
    </row>
    <row r="63" spans="1:18" ht="18" x14ac:dyDescent="0.25">
      <c r="A63">
        <v>44</v>
      </c>
      <c r="B63" t="s">
        <v>49</v>
      </c>
      <c r="D63" s="12" t="s">
        <v>100</v>
      </c>
      <c r="E63" s="12" t="s">
        <v>96</v>
      </c>
      <c r="F63" s="22">
        <f>15.42+0.88+0.79</f>
        <v>17.09</v>
      </c>
      <c r="G63" s="4">
        <f>$F$5*(0.0203+0.002-0.0036)</f>
        <v>14.025</v>
      </c>
      <c r="H63" s="4">
        <f t="shared" ref="H63" si="89">F63+G63</f>
        <v>31.115000000000002</v>
      </c>
      <c r="I63" s="23"/>
      <c r="J63" s="4">
        <f>(0.007+0.0049)*$F$5*R63</f>
        <v>9.533685000000002</v>
      </c>
      <c r="K63" s="22">
        <f t="shared" si="75"/>
        <v>4.7293289999999981</v>
      </c>
      <c r="L63" s="22">
        <f t="shared" si="76"/>
        <v>45.378014</v>
      </c>
      <c r="M63" s="22">
        <f t="shared" si="77"/>
        <v>4.8165550000000001</v>
      </c>
      <c r="N63" s="4">
        <f t="shared" si="78"/>
        <v>5.25</v>
      </c>
      <c r="O63" s="4">
        <f t="shared" si="38"/>
        <v>69.344999999999999</v>
      </c>
      <c r="P63" s="4">
        <f t="shared" si="88"/>
        <v>124.789569</v>
      </c>
      <c r="Q63" s="12"/>
      <c r="R63" s="24">
        <v>1.0682</v>
      </c>
    </row>
    <row r="64" spans="1:18" ht="18" x14ac:dyDescent="0.25">
      <c r="A64">
        <v>45</v>
      </c>
      <c r="B64" t="s">
        <v>50</v>
      </c>
      <c r="D64" s="12" t="s">
        <v>98</v>
      </c>
      <c r="E64" s="12" t="s">
        <v>211</v>
      </c>
      <c r="F64" s="22">
        <f>15.21+0.03+0.08+0.79</f>
        <v>16.11</v>
      </c>
      <c r="G64" s="4">
        <f>$F$5*(0.0142+0.0002-0.0001)</f>
        <v>10.725000000000001</v>
      </c>
      <c r="H64" s="4">
        <f t="shared" ref="H64" si="90">F64+G64</f>
        <v>26.835000000000001</v>
      </c>
      <c r="I64" s="23"/>
      <c r="J64" s="4">
        <f>(0.0079+0.0059)*$F$5*R64</f>
        <v>10.72467</v>
      </c>
      <c r="K64" s="22">
        <f t="shared" si="75"/>
        <v>2.510288999999998</v>
      </c>
      <c r="L64" s="30">
        <f>H64+J64+K64</f>
        <v>40.069958999999997</v>
      </c>
      <c r="M64" s="22">
        <f t="shared" si="77"/>
        <v>4.6797550000000001</v>
      </c>
      <c r="N64" s="4">
        <f t="shared" si="78"/>
        <v>5.25</v>
      </c>
      <c r="O64" s="4">
        <f t="shared" si="38"/>
        <v>69.344999999999999</v>
      </c>
      <c r="P64" s="4">
        <f t="shared" si="88"/>
        <v>119.344714</v>
      </c>
      <c r="Q64" s="12"/>
      <c r="R64" s="24">
        <v>1.0362</v>
      </c>
    </row>
    <row r="65" spans="1:18" ht="18" x14ac:dyDescent="0.25">
      <c r="A65">
        <v>46</v>
      </c>
      <c r="B65" t="s">
        <v>212</v>
      </c>
      <c r="D65" s="12" t="s">
        <v>210</v>
      </c>
      <c r="E65" s="12" t="s">
        <v>116</v>
      </c>
      <c r="F65" s="22">
        <f>15+0.79</f>
        <v>15.79</v>
      </c>
      <c r="G65" s="4">
        <f>$F$5*(0.0146-0.0027-0.0014-0.0002)</f>
        <v>7.7250000000000005</v>
      </c>
      <c r="H65" s="4">
        <f t="shared" ref="H65" si="91">F65+G65</f>
        <v>23.515000000000001</v>
      </c>
      <c r="I65" s="23"/>
      <c r="J65" s="4">
        <f>(0.0082+0.006)*$F$5*R65</f>
        <v>11.057895</v>
      </c>
      <c r="K65" s="22">
        <f t="shared" si="75"/>
        <v>2.6559135000000023</v>
      </c>
      <c r="L65" s="30">
        <f t="shared" si="76"/>
        <v>37.228808500000007</v>
      </c>
      <c r="M65" s="22">
        <f t="shared" si="77"/>
        <v>4.6887325000000004</v>
      </c>
      <c r="N65" s="4">
        <f t="shared" si="78"/>
        <v>5.25</v>
      </c>
      <c r="O65" s="4">
        <f t="shared" si="38"/>
        <v>69.344999999999999</v>
      </c>
      <c r="P65" s="4">
        <f t="shared" si="88"/>
        <v>116.512541</v>
      </c>
      <c r="Q65" s="12"/>
      <c r="R65" s="24">
        <v>1.0383</v>
      </c>
    </row>
    <row r="66" spans="1:18" ht="18" x14ac:dyDescent="0.25">
      <c r="A66">
        <v>46</v>
      </c>
      <c r="B66" t="s">
        <v>213</v>
      </c>
      <c r="D66" s="12" t="s">
        <v>210</v>
      </c>
      <c r="E66" s="12" t="s">
        <v>116</v>
      </c>
      <c r="F66" s="22">
        <f>15+0.79</f>
        <v>15.79</v>
      </c>
      <c r="G66" s="4">
        <f>$F$5*(0.0146-0.0043-0.0005-0.0002)</f>
        <v>7.1999999999999993</v>
      </c>
      <c r="H66" s="4">
        <f t="shared" ref="H66" si="92">F66+G66</f>
        <v>22.99</v>
      </c>
      <c r="I66" s="23"/>
      <c r="J66" s="4">
        <f>(0.0082+0.006)*$F$5*R66</f>
        <v>11.057895</v>
      </c>
      <c r="K66" s="22">
        <f t="shared" ref="K66:K98" si="93">(R66*$F$5-$F$5)*$T$5</f>
        <v>2.6559135000000023</v>
      </c>
      <c r="L66" s="30">
        <f t="shared" si="76"/>
        <v>36.703808500000001</v>
      </c>
      <c r="M66" s="22">
        <f t="shared" si="77"/>
        <v>4.6887325000000004</v>
      </c>
      <c r="N66" s="4">
        <f t="shared" si="78"/>
        <v>5.25</v>
      </c>
      <c r="O66" s="4">
        <f t="shared" si="38"/>
        <v>69.344999999999999</v>
      </c>
      <c r="P66" s="4">
        <f t="shared" ref="P66" si="94">L66+M66+N66+O66</f>
        <v>115.98754099999999</v>
      </c>
      <c r="Q66" s="12"/>
      <c r="R66" s="24">
        <v>1.0383</v>
      </c>
    </row>
    <row r="67" spans="1:18" ht="18" x14ac:dyDescent="0.25">
      <c r="A67">
        <v>47</v>
      </c>
      <c r="B67" t="s">
        <v>110</v>
      </c>
      <c r="D67" s="12" t="s">
        <v>92</v>
      </c>
      <c r="E67" s="12" t="s">
        <v>96</v>
      </c>
      <c r="F67" s="22">
        <f>17.94+0.48+0.79</f>
        <v>19.21</v>
      </c>
      <c r="G67" s="4">
        <f>$F$5*(0.0126-0.0012-0.001)</f>
        <v>7.8</v>
      </c>
      <c r="H67" s="4">
        <f t="shared" ref="H67" si="95">F67+G67</f>
        <v>27.01</v>
      </c>
      <c r="I67" s="23"/>
      <c r="J67" s="4">
        <f>(0.0072+0.0013)*$F$5*R67</f>
        <v>6.6166125000000013</v>
      </c>
      <c r="K67" s="22">
        <f t="shared" si="93"/>
        <v>2.6281755000000064</v>
      </c>
      <c r="L67" s="30">
        <f t="shared" si="76"/>
        <v>36.254788000000005</v>
      </c>
      <c r="M67" s="22">
        <f t="shared" si="77"/>
        <v>4.6870225000000003</v>
      </c>
      <c r="N67" s="4">
        <f t="shared" si="78"/>
        <v>5.25</v>
      </c>
      <c r="O67" s="4">
        <f t="shared" si="38"/>
        <v>69.344999999999999</v>
      </c>
      <c r="P67" s="4">
        <f t="shared" ref="P67:P68" si="96">L67+M67+N67+O67</f>
        <v>115.5368105</v>
      </c>
      <c r="Q67" s="12"/>
      <c r="R67" s="24">
        <v>1.0379</v>
      </c>
    </row>
    <row r="68" spans="1:18" ht="18" x14ac:dyDescent="0.25">
      <c r="A68">
        <v>48</v>
      </c>
      <c r="B68" t="s">
        <v>124</v>
      </c>
      <c r="D68" s="12" t="s">
        <v>100</v>
      </c>
      <c r="E68" s="12" t="s">
        <v>96</v>
      </c>
      <c r="F68" s="22">
        <f>16.06+0.79</f>
        <v>16.849999999999998</v>
      </c>
      <c r="G68" s="4">
        <f>$F$5*(0.0161+0.0005-0.0057-0.0001)</f>
        <v>8.1</v>
      </c>
      <c r="H68" s="4">
        <f t="shared" ref="H68" si="97">F68+G68</f>
        <v>24.949999999999996</v>
      </c>
      <c r="I68" s="23"/>
      <c r="J68" s="4">
        <f>(0.0073+0.005)*$F$5*R68</f>
        <v>9.7416</v>
      </c>
      <c r="K68" s="22">
        <f t="shared" si="93"/>
        <v>3.8833199999999999</v>
      </c>
      <c r="L68" s="22">
        <f t="shared" si="76"/>
        <v>38.574919999999992</v>
      </c>
      <c r="M68" s="22">
        <f t="shared" si="77"/>
        <v>4.7644000000000002</v>
      </c>
      <c r="N68" s="4">
        <f t="shared" si="78"/>
        <v>5.25</v>
      </c>
      <c r="O68" s="4">
        <f t="shared" si="38"/>
        <v>69.344999999999999</v>
      </c>
      <c r="P68" s="4">
        <f t="shared" si="96"/>
        <v>117.93431999999999</v>
      </c>
      <c r="Q68" s="12"/>
      <c r="R68" s="24">
        <v>1.056</v>
      </c>
    </row>
    <row r="69" spans="1:18" ht="18" x14ac:dyDescent="0.25">
      <c r="A69">
        <v>49</v>
      </c>
      <c r="B69" t="s">
        <v>52</v>
      </c>
      <c r="C69" s="11" t="s">
        <v>215</v>
      </c>
      <c r="D69" s="11" t="s">
        <v>214</v>
      </c>
      <c r="E69" s="11" t="s">
        <v>208</v>
      </c>
      <c r="F69" s="22">
        <f>20.87+0.1+0.93+0.79</f>
        <v>22.69</v>
      </c>
      <c r="G69" s="4">
        <f>$F$5*(0.0218+0.0009+0.0004)</f>
        <v>17.325000000000003</v>
      </c>
      <c r="H69" s="4">
        <f t="shared" ref="H69" si="98">F69+G69</f>
        <v>40.015000000000001</v>
      </c>
      <c r="I69" s="23"/>
      <c r="J69" s="4">
        <f>(0.0067+0.0032)*$F$5*R69</f>
        <v>7.843770000000001</v>
      </c>
      <c r="K69" s="22">
        <f t="shared" si="93"/>
        <v>3.9110579999999957</v>
      </c>
      <c r="L69" s="22">
        <f t="shared" si="76"/>
        <v>51.769827999999997</v>
      </c>
      <c r="M69" s="22">
        <f t="shared" si="77"/>
        <v>4.7661100000000003</v>
      </c>
      <c r="N69" s="4">
        <f t="shared" si="78"/>
        <v>5.25</v>
      </c>
      <c r="O69" s="4">
        <f t="shared" si="38"/>
        <v>69.344999999999999</v>
      </c>
      <c r="P69" s="4">
        <f t="shared" ref="P69" si="99">L69+M69+N69+O69</f>
        <v>131.13093799999999</v>
      </c>
      <c r="Q69" s="12"/>
      <c r="R69" s="24">
        <v>1.0564</v>
      </c>
    </row>
    <row r="70" spans="1:18" ht="18" x14ac:dyDescent="0.25">
      <c r="A70">
        <v>50</v>
      </c>
      <c r="B70" t="s">
        <v>53</v>
      </c>
      <c r="D70" s="12" t="s">
        <v>98</v>
      </c>
      <c r="E70" s="12" t="s">
        <v>96</v>
      </c>
      <c r="F70" s="22">
        <f>14.64+0.79+1.33+1.37</f>
        <v>18.13</v>
      </c>
      <c r="G70" s="4">
        <f>$F$5*(0.0131+0.00004-0.0018-0.0002)</f>
        <v>8.3550000000000004</v>
      </c>
      <c r="H70" s="4">
        <f t="shared" ref="H70" si="100">F70+G70</f>
        <v>26.484999999999999</v>
      </c>
      <c r="I70" s="23"/>
      <c r="J70" s="4">
        <f>(0.0073+0.0057)*$F$5*R70</f>
        <v>10.218</v>
      </c>
      <c r="K70" s="22">
        <f t="shared" si="93"/>
        <v>3.32856</v>
      </c>
      <c r="L70" s="30">
        <f t="shared" si="76"/>
        <v>40.031560000000006</v>
      </c>
      <c r="M70" s="22">
        <f t="shared" si="77"/>
        <v>4.7302</v>
      </c>
      <c r="N70" s="4">
        <f t="shared" si="78"/>
        <v>5.25</v>
      </c>
      <c r="O70" s="4">
        <f t="shared" si="38"/>
        <v>69.344999999999999</v>
      </c>
      <c r="P70" s="4">
        <f t="shared" ref="P70:P98" si="101">L70+M70+N70+O70</f>
        <v>119.35676000000001</v>
      </c>
      <c r="Q70" s="12"/>
      <c r="R70" s="24">
        <v>1.048</v>
      </c>
    </row>
    <row r="71" spans="1:18" ht="18" x14ac:dyDescent="0.25">
      <c r="A71">
        <v>51</v>
      </c>
      <c r="B71" t="s">
        <v>54</v>
      </c>
      <c r="D71" s="12" t="s">
        <v>100</v>
      </c>
      <c r="E71" s="12" t="s">
        <v>96</v>
      </c>
      <c r="F71" s="22">
        <f>20.7+1.6+0.79</f>
        <v>23.09</v>
      </c>
      <c r="G71" s="4">
        <f>$F$5*(0.0157+0.0013-0.0056)</f>
        <v>8.5499999999999972</v>
      </c>
      <c r="H71" s="4">
        <f t="shared" ref="H71" si="102">F71+G71</f>
        <v>31.639999999999997</v>
      </c>
      <c r="I71" s="23"/>
      <c r="J71" s="4">
        <f>(0.0061+0.0027)*$F$5*R71</f>
        <v>7.0705799999999996</v>
      </c>
      <c r="K71" s="22">
        <f t="shared" si="93"/>
        <v>4.9442984999999915</v>
      </c>
      <c r="L71" s="30">
        <f t="shared" si="76"/>
        <v>43.654878499999981</v>
      </c>
      <c r="M71" s="22">
        <f t="shared" si="77"/>
        <v>4.8298074999999994</v>
      </c>
      <c r="N71" s="4">
        <f t="shared" si="78"/>
        <v>5.25</v>
      </c>
      <c r="O71" s="4">
        <f t="shared" si="38"/>
        <v>69.344999999999999</v>
      </c>
      <c r="P71" s="4">
        <f t="shared" si="101"/>
        <v>123.07968599999998</v>
      </c>
      <c r="Q71" s="12"/>
      <c r="R71" s="24">
        <v>1.0712999999999999</v>
      </c>
    </row>
    <row r="72" spans="1:18" ht="18" x14ac:dyDescent="0.25">
      <c r="A72">
        <v>52</v>
      </c>
      <c r="B72" t="s">
        <v>111</v>
      </c>
      <c r="D72" s="12" t="s">
        <v>92</v>
      </c>
      <c r="E72" s="12" t="s">
        <v>96</v>
      </c>
      <c r="F72" s="22">
        <f>14.42+0.79+0.77</f>
        <v>15.98</v>
      </c>
      <c r="G72" s="4">
        <f>$F$5*(0.0157+0.0004-0.0005-0.0006+0.0003+0.0002)</f>
        <v>11.625</v>
      </c>
      <c r="H72" s="4">
        <f t="shared" ref="H72" si="103">F72+G72</f>
        <v>27.605</v>
      </c>
      <c r="I72" s="23"/>
      <c r="J72" s="4">
        <f>(0.0079+0.0053)*$F$5*R72</f>
        <v>10.272240000000002</v>
      </c>
      <c r="K72" s="22">
        <f t="shared" si="93"/>
        <v>2.6073720000000042</v>
      </c>
      <c r="L72" s="30">
        <f t="shared" si="76"/>
        <v>40.484612000000006</v>
      </c>
      <c r="M72" s="22">
        <f t="shared" si="77"/>
        <v>4.68574</v>
      </c>
      <c r="N72" s="4">
        <f t="shared" si="78"/>
        <v>5.25</v>
      </c>
      <c r="O72" s="4">
        <f t="shared" si="38"/>
        <v>69.344999999999999</v>
      </c>
      <c r="P72" s="4">
        <f t="shared" si="101"/>
        <v>119.76535200000001</v>
      </c>
      <c r="Q72" s="12"/>
      <c r="R72" s="24">
        <v>1.0376000000000001</v>
      </c>
    </row>
    <row r="73" spans="1:18" ht="18" x14ac:dyDescent="0.25">
      <c r="A73">
        <v>53</v>
      </c>
      <c r="B73" t="s">
        <v>112</v>
      </c>
      <c r="D73" s="12" t="s">
        <v>92</v>
      </c>
      <c r="E73" s="12" t="s">
        <v>96</v>
      </c>
      <c r="F73" s="22">
        <f>15.25+1.04+0.79</f>
        <v>17.079999999999998</v>
      </c>
      <c r="G73" s="4">
        <f>$F$5*(0.0131+0.0017-0.0005-0.0014)</f>
        <v>9.6750000000000007</v>
      </c>
      <c r="H73" s="4">
        <f t="shared" ref="H73" si="104">F73+G73</f>
        <v>26.754999999999999</v>
      </c>
      <c r="I73" s="23"/>
      <c r="J73" s="4">
        <f>(0.0069+0.0034)*$F$5*R73</f>
        <v>8.0965725000000006</v>
      </c>
      <c r="K73" s="22">
        <f t="shared" si="93"/>
        <v>3.3354945000000042</v>
      </c>
      <c r="L73" s="30">
        <f t="shared" si="76"/>
        <v>38.187067000000006</v>
      </c>
      <c r="M73" s="22">
        <f t="shared" si="77"/>
        <v>4.7306275000000007</v>
      </c>
      <c r="N73" s="4">
        <f t="shared" si="78"/>
        <v>5.25</v>
      </c>
      <c r="O73" s="4">
        <f t="shared" si="38"/>
        <v>69.344999999999999</v>
      </c>
      <c r="P73" s="4">
        <f t="shared" si="101"/>
        <v>117.51269450000001</v>
      </c>
      <c r="Q73" s="12"/>
      <c r="R73" s="24">
        <v>1.0481</v>
      </c>
    </row>
    <row r="74" spans="1:18" ht="18" x14ac:dyDescent="0.25">
      <c r="A74">
        <v>54</v>
      </c>
      <c r="B74" t="s">
        <v>55</v>
      </c>
      <c r="D74" s="12" t="s">
        <v>100</v>
      </c>
      <c r="E74" s="12" t="s">
        <v>96</v>
      </c>
      <c r="F74" s="22">
        <f>13.84+1.28+2.56+0.79</f>
        <v>18.47</v>
      </c>
      <c r="G74" s="4">
        <f>$F$5*(0.0165+0.0006-0.0054-0.0002)</f>
        <v>8.625</v>
      </c>
      <c r="H74" s="4">
        <f t="shared" ref="H74" si="105">F74+G74</f>
        <v>27.094999999999999</v>
      </c>
      <c r="I74" s="23"/>
      <c r="J74" s="4">
        <f>(0.0059+0.0041)*$F$5*R74</f>
        <v>7.92075</v>
      </c>
      <c r="K74" s="22">
        <f t="shared" si="93"/>
        <v>3.8902545000000042</v>
      </c>
      <c r="L74" s="30">
        <f t="shared" si="76"/>
        <v>38.906004500000002</v>
      </c>
      <c r="M74" s="22">
        <f t="shared" si="77"/>
        <v>4.7648275</v>
      </c>
      <c r="N74" s="20">
        <f>0.0049*$F$5</f>
        <v>3.6749999999999998</v>
      </c>
      <c r="O74" s="4">
        <f t="shared" si="38"/>
        <v>69.344999999999999</v>
      </c>
      <c r="P74" s="4">
        <f t="shared" si="101"/>
        <v>116.690832</v>
      </c>
      <c r="Q74" s="12"/>
      <c r="R74" s="24">
        <v>1.0561</v>
      </c>
    </row>
    <row r="75" spans="1:18" ht="18" x14ac:dyDescent="0.25">
      <c r="A75">
        <v>55</v>
      </c>
      <c r="B75" t="s">
        <v>56</v>
      </c>
      <c r="D75" s="12" t="s">
        <v>100</v>
      </c>
      <c r="E75" s="12" t="s">
        <v>97</v>
      </c>
      <c r="F75" s="22">
        <f>8.47+0.1+0.57+0.79</f>
        <v>9.93</v>
      </c>
      <c r="G75" s="4">
        <f>$F$5*(0.012+0.0004)</f>
        <v>9.2999999999999989</v>
      </c>
      <c r="H75" s="4">
        <f t="shared" ref="H75" si="106">F75+G75</f>
        <v>19.229999999999997</v>
      </c>
      <c r="I75" s="23"/>
      <c r="J75" s="4">
        <f>(0.0074+0.0057)*$F$5*R75</f>
        <v>10.247475</v>
      </c>
      <c r="K75" s="22">
        <f t="shared" si="93"/>
        <v>2.9818350000000002</v>
      </c>
      <c r="L75" s="30">
        <f t="shared" si="76"/>
        <v>32.459310000000002</v>
      </c>
      <c r="M75" s="22">
        <f t="shared" si="77"/>
        <v>4.708825</v>
      </c>
      <c r="N75" s="4">
        <f>0.007*$F$5</f>
        <v>5.25</v>
      </c>
      <c r="O75" s="4">
        <f t="shared" si="38"/>
        <v>69.344999999999999</v>
      </c>
      <c r="P75" s="4">
        <f t="shared" si="101"/>
        <v>111.76313500000001</v>
      </c>
      <c r="Q75" s="12"/>
      <c r="R75" s="24">
        <v>1.0429999999999999</v>
      </c>
    </row>
    <row r="76" spans="1:18" ht="18" x14ac:dyDescent="0.25">
      <c r="A76">
        <v>56</v>
      </c>
      <c r="B76" t="s">
        <v>57</v>
      </c>
      <c r="D76" s="12" t="s">
        <v>210</v>
      </c>
      <c r="E76" s="12" t="s">
        <v>96</v>
      </c>
      <c r="F76" s="22">
        <f>10.99+0.79</f>
        <v>11.780000000000001</v>
      </c>
      <c r="G76" s="4">
        <f>$F$5*(0.015+0.0011)</f>
        <v>12.074999999999999</v>
      </c>
      <c r="H76" s="4">
        <f t="shared" ref="H76" si="107">F76+G76</f>
        <v>23.855</v>
      </c>
      <c r="I76" s="23"/>
      <c r="J76" s="4">
        <f>(0.0063+0.0045)*$F$5*R76</f>
        <v>8.4158999999999988</v>
      </c>
      <c r="K76" s="22">
        <f t="shared" si="93"/>
        <v>2.7044549999999896</v>
      </c>
      <c r="L76" s="30">
        <f t="shared" si="76"/>
        <v>34.975354999999986</v>
      </c>
      <c r="M76" s="22">
        <f t="shared" si="77"/>
        <v>4.6917249999999999</v>
      </c>
      <c r="N76" s="20">
        <f>(((6289/8995)*0.0049)+((1991/8995)*0.0042)+(((405+300)/8995)*0.007))*$F$5</f>
        <v>3.6781517509727628</v>
      </c>
      <c r="O76" s="4">
        <f t="shared" si="38"/>
        <v>69.344999999999999</v>
      </c>
      <c r="P76" s="4">
        <f t="shared" si="101"/>
        <v>112.69023175097274</v>
      </c>
      <c r="Q76" s="12"/>
      <c r="R76" s="24">
        <v>1.0389999999999999</v>
      </c>
    </row>
    <row r="77" spans="1:18" ht="18" x14ac:dyDescent="0.25">
      <c r="A77">
        <v>57</v>
      </c>
      <c r="B77" s="12" t="s">
        <v>58</v>
      </c>
      <c r="C77" s="12"/>
      <c r="D77" s="12" t="s">
        <v>100</v>
      </c>
      <c r="E77" s="12" t="s">
        <v>97</v>
      </c>
      <c r="F77" s="22">
        <f>22.21+3.7+4.11+0.79</f>
        <v>30.81</v>
      </c>
      <c r="G77" s="4">
        <f>$F$5*(0.0177+0.0011)</f>
        <v>14.100000000000001</v>
      </c>
      <c r="H77" s="4">
        <f t="shared" ref="H77" si="108">F77+G77</f>
        <v>44.91</v>
      </c>
      <c r="I77" s="23"/>
      <c r="J77" s="4">
        <f>(0.0063+0.0046)*$F$5*R77</f>
        <v>8.8363575000000001</v>
      </c>
      <c r="K77" s="22">
        <f t="shared" si="93"/>
        <v>5.610010499999996</v>
      </c>
      <c r="L77" s="30">
        <f t="shared" si="76"/>
        <v>59.356367999999989</v>
      </c>
      <c r="M77" s="22">
        <f t="shared" si="77"/>
        <v>4.8708475</v>
      </c>
      <c r="N77" s="20">
        <f>0.0065*$F$5</f>
        <v>4.875</v>
      </c>
      <c r="O77" s="4">
        <f t="shared" si="38"/>
        <v>69.344999999999999</v>
      </c>
      <c r="P77" s="4">
        <f t="shared" si="101"/>
        <v>138.44721549999997</v>
      </c>
      <c r="Q77" s="12"/>
      <c r="R77" s="24">
        <v>1.0809</v>
      </c>
    </row>
    <row r="78" spans="1:18" ht="18" x14ac:dyDescent="0.25">
      <c r="A78">
        <v>58</v>
      </c>
      <c r="B78" t="s">
        <v>59</v>
      </c>
      <c r="D78" s="12" t="s">
        <v>100</v>
      </c>
      <c r="E78" s="12" t="s">
        <v>96</v>
      </c>
      <c r="F78" s="4">
        <f>12.43+0.85+0.79</f>
        <v>14.07</v>
      </c>
      <c r="G78" s="4">
        <f>$F$5*(0.0122+0.001-0.0002)</f>
        <v>9.75</v>
      </c>
      <c r="H78" s="4">
        <f t="shared" ref="H78:H80" si="109">F78+G78</f>
        <v>23.82</v>
      </c>
      <c r="I78" s="23"/>
      <c r="J78" s="4">
        <f>(0.0073+0.0047)*$F$5*R78</f>
        <v>9.4931999999999999</v>
      </c>
      <c r="K78" s="22">
        <f t="shared" si="93"/>
        <v>3.8001060000000022</v>
      </c>
      <c r="L78" s="30">
        <f t="shared" si="76"/>
        <v>37.113306000000001</v>
      </c>
      <c r="M78" s="22">
        <f t="shared" si="77"/>
        <v>4.7592699999999999</v>
      </c>
      <c r="N78" s="20">
        <f>0.0067*$F$5</f>
        <v>5.0250000000000004</v>
      </c>
      <c r="O78" s="4">
        <f t="shared" si="38"/>
        <v>69.344999999999999</v>
      </c>
      <c r="P78" s="4">
        <f t="shared" si="101"/>
        <v>116.242576</v>
      </c>
      <c r="R78" s="24">
        <v>1.0548</v>
      </c>
    </row>
    <row r="79" spans="1:18" x14ac:dyDescent="0.25">
      <c r="A79">
        <v>59</v>
      </c>
      <c r="B79" t="s">
        <v>60</v>
      </c>
      <c r="D79" s="12" t="s">
        <v>98</v>
      </c>
      <c r="E79" s="12" t="s">
        <v>97</v>
      </c>
      <c r="F79" s="4">
        <f>12.51+0.79+0.09+0.2+0.15+0.07</f>
        <v>13.81</v>
      </c>
      <c r="G79" s="4">
        <f>$F$5*(0.0138+0.0003+0.0001-0.0006+0.0017-0.0015+0.0002)</f>
        <v>10.5</v>
      </c>
      <c r="H79" s="4">
        <f t="shared" si="109"/>
        <v>24.310000000000002</v>
      </c>
      <c r="J79" s="4">
        <f>(0.0077+0.0034)*$F$5*R79</f>
        <v>8.6122125</v>
      </c>
      <c r="K79" s="22">
        <f t="shared" si="93"/>
        <v>2.3924025000000002</v>
      </c>
      <c r="L79" s="30">
        <f t="shared" si="76"/>
        <v>35.314615000000003</v>
      </c>
      <c r="M79" s="22">
        <f t="shared" si="77"/>
        <v>4.6724874999999999</v>
      </c>
      <c r="N79" s="4">
        <f t="shared" ref="N79:N98" si="110">0.007*$F$5</f>
        <v>5.25</v>
      </c>
      <c r="O79" s="4">
        <f t="shared" si="38"/>
        <v>69.344999999999999</v>
      </c>
      <c r="P79" s="4">
        <f t="shared" si="101"/>
        <v>114.5821025</v>
      </c>
      <c r="R79" s="24">
        <v>1.0345</v>
      </c>
    </row>
    <row r="80" spans="1:18" x14ac:dyDescent="0.25">
      <c r="A80">
        <v>60</v>
      </c>
      <c r="B80" t="s">
        <v>61</v>
      </c>
      <c r="D80" s="12" t="s">
        <v>98</v>
      </c>
      <c r="E80" s="12" t="s">
        <v>97</v>
      </c>
      <c r="F80" s="4">
        <f>12.51+0.79+0.09+0.2+0.15+0.07</f>
        <v>13.81</v>
      </c>
      <c r="G80" s="4">
        <f>$F$5*(0.0138+0.0003+0.0001-0.0006+0.0014-0.0019)</f>
        <v>9.8249999999999993</v>
      </c>
      <c r="H80" s="4">
        <f t="shared" si="109"/>
        <v>23.634999999999998</v>
      </c>
      <c r="J80" s="4">
        <f>(0.0077+0.0034)*$F$5*R80</f>
        <v>8.6122125</v>
      </c>
      <c r="K80" s="22">
        <f t="shared" si="93"/>
        <v>2.3924025000000002</v>
      </c>
      <c r="L80" s="30">
        <f t="shared" si="76"/>
        <v>34.639614999999999</v>
      </c>
      <c r="M80" s="22">
        <f t="shared" si="77"/>
        <v>4.6724874999999999</v>
      </c>
      <c r="N80" s="4">
        <f t="shared" si="110"/>
        <v>5.25</v>
      </c>
      <c r="O80" s="4">
        <f t="shared" si="38"/>
        <v>69.344999999999999</v>
      </c>
      <c r="P80" s="4">
        <f t="shared" si="101"/>
        <v>113.90710250000001</v>
      </c>
      <c r="R80" s="24">
        <v>1.0345</v>
      </c>
    </row>
    <row r="81" spans="1:18" x14ac:dyDescent="0.25">
      <c r="A81">
        <v>61</v>
      </c>
      <c r="B81" t="s">
        <v>62</v>
      </c>
      <c r="D81" s="12" t="s">
        <v>98</v>
      </c>
      <c r="E81" s="12" t="s">
        <v>96</v>
      </c>
      <c r="F81" s="4">
        <f>9.8+0.79</f>
        <v>10.59</v>
      </c>
      <c r="G81" s="4">
        <f>$F$5*(0.0169-0.0029+0.0003+0.0001)</f>
        <v>10.799999999999999</v>
      </c>
      <c r="H81" s="4">
        <f t="shared" ref="H81:H82" si="111">F81+G81</f>
        <v>21.39</v>
      </c>
      <c r="J81" s="4">
        <f>(0.0061)*$F$5*R81</f>
        <v>4.7987174999999995</v>
      </c>
      <c r="K81" s="22">
        <f t="shared" si="93"/>
        <v>3.3909704999999959</v>
      </c>
      <c r="L81" s="22">
        <f t="shared" si="76"/>
        <v>29.579687999999994</v>
      </c>
      <c r="M81" s="22">
        <f t="shared" si="77"/>
        <v>4.7340475</v>
      </c>
      <c r="N81" s="20">
        <f>0.002*$F$5</f>
        <v>1.5</v>
      </c>
      <c r="O81" s="4">
        <f t="shared" si="38"/>
        <v>69.344999999999999</v>
      </c>
      <c r="P81" s="4">
        <f t="shared" si="101"/>
        <v>105.15873549999999</v>
      </c>
      <c r="R81" s="24">
        <v>1.0488999999999999</v>
      </c>
    </row>
    <row r="82" spans="1:18" x14ac:dyDescent="0.25">
      <c r="A82">
        <v>62</v>
      </c>
      <c r="B82" t="s">
        <v>63</v>
      </c>
      <c r="D82" s="12" t="s">
        <v>210</v>
      </c>
      <c r="E82" s="12" t="s">
        <v>96</v>
      </c>
      <c r="F82" s="4">
        <f>13.83+0.79</f>
        <v>14.620000000000001</v>
      </c>
      <c r="G82" s="4">
        <f>$F$5*(0.0144+0.0011)</f>
        <v>11.625</v>
      </c>
      <c r="H82" s="4">
        <f t="shared" si="111"/>
        <v>26.245000000000001</v>
      </c>
      <c r="J82" s="4">
        <f>(0.0067+0.0034)*$F$5*R82</f>
        <v>8.1885749999999984</v>
      </c>
      <c r="K82" s="22">
        <f t="shared" si="93"/>
        <v>5.6169450000000003</v>
      </c>
      <c r="L82" s="30">
        <f t="shared" si="76"/>
        <v>40.050519999999999</v>
      </c>
      <c r="M82" s="22">
        <f t="shared" si="77"/>
        <v>4.8712749999999998</v>
      </c>
      <c r="N82" s="20">
        <f>0.0061*$F$5</f>
        <v>4.5750000000000002</v>
      </c>
      <c r="O82" s="4">
        <f t="shared" si="38"/>
        <v>69.344999999999999</v>
      </c>
      <c r="P82" s="4">
        <f t="shared" si="101"/>
        <v>118.84179499999999</v>
      </c>
      <c r="R82" s="24">
        <v>1.081</v>
      </c>
    </row>
    <row r="83" spans="1:18" x14ac:dyDescent="0.25">
      <c r="A83">
        <v>63</v>
      </c>
      <c r="B83" t="s">
        <v>64</v>
      </c>
      <c r="D83" s="12" t="s">
        <v>100</v>
      </c>
      <c r="E83" s="12" t="s">
        <v>96</v>
      </c>
      <c r="F83" s="4">
        <f>13.02+0.79</f>
        <v>13.809999999999999</v>
      </c>
      <c r="G83" s="4">
        <f>$F$5*(0.0148+0.0024-0.0027)</f>
        <v>10.875</v>
      </c>
      <c r="H83" s="4">
        <f t="shared" ref="H83" si="112">F83+G83</f>
        <v>24.684999999999999</v>
      </c>
      <c r="J83" s="4">
        <f>(0.007+0.0049)*$F$5*R83</f>
        <v>9.6363225000000021</v>
      </c>
      <c r="K83" s="22">
        <f t="shared" si="93"/>
        <v>5.5267965000000085</v>
      </c>
      <c r="L83" s="30">
        <f t="shared" si="76"/>
        <v>39.848119000000011</v>
      </c>
      <c r="M83" s="22">
        <f t="shared" si="77"/>
        <v>4.8657175000000006</v>
      </c>
      <c r="N83" s="4">
        <f t="shared" si="110"/>
        <v>5.25</v>
      </c>
      <c r="O83" s="4">
        <f t="shared" si="38"/>
        <v>69.344999999999999</v>
      </c>
      <c r="P83" s="4">
        <f t="shared" si="101"/>
        <v>119.30883650000001</v>
      </c>
      <c r="R83" s="24">
        <v>1.0797000000000001</v>
      </c>
    </row>
    <row r="84" spans="1:18" x14ac:dyDescent="0.25">
      <c r="A84">
        <v>64</v>
      </c>
      <c r="B84" t="s">
        <v>65</v>
      </c>
      <c r="D84" s="12" t="s">
        <v>98</v>
      </c>
      <c r="E84" s="12" t="s">
        <v>96</v>
      </c>
      <c r="F84" s="4">
        <f>26.65+2.42+2.8+0.79</f>
        <v>32.660000000000004</v>
      </c>
      <c r="G84" s="4">
        <f>$F$5*(0.0115+0.0037-0.0033-0.001)</f>
        <v>8.1750000000000007</v>
      </c>
      <c r="H84" s="4">
        <f t="shared" ref="H84" si="113">F84+G84</f>
        <v>40.835000000000008</v>
      </c>
      <c r="J84" s="4">
        <f>(0.007+0.0016)*$F$5*R84</f>
        <v>7.0285649999999995</v>
      </c>
      <c r="K84" s="22">
        <f t="shared" si="93"/>
        <v>6.2202464999999876</v>
      </c>
      <c r="L84" s="22">
        <f t="shared" si="76"/>
        <v>54.083811499999996</v>
      </c>
      <c r="M84" s="22">
        <f t="shared" si="77"/>
        <v>4.9084674999999995</v>
      </c>
      <c r="N84" s="4">
        <f t="shared" si="110"/>
        <v>5.25</v>
      </c>
      <c r="O84" s="4">
        <f t="shared" si="38"/>
        <v>69.344999999999999</v>
      </c>
      <c r="P84" s="4">
        <f t="shared" si="101"/>
        <v>133.587279</v>
      </c>
      <c r="R84" s="24">
        <v>1.0896999999999999</v>
      </c>
    </row>
    <row r="85" spans="1:18" x14ac:dyDescent="0.25">
      <c r="A85">
        <v>65</v>
      </c>
      <c r="B85" t="s">
        <v>66</v>
      </c>
      <c r="D85" s="12" t="s">
        <v>100</v>
      </c>
      <c r="E85" s="12" t="s">
        <v>96</v>
      </c>
      <c r="F85" s="4">
        <f>11.53+2.02+0.79</f>
        <v>14.34</v>
      </c>
      <c r="G85" s="4">
        <f>$F$5*(0.016+-0.0064-0.0001)</f>
        <v>7.1250000000000009</v>
      </c>
      <c r="H85" s="4">
        <f t="shared" ref="H85" si="114">F85+G85</f>
        <v>21.465</v>
      </c>
      <c r="J85" s="4">
        <f>(0.0074+0.0056)*$F$5*R85</f>
        <v>10.091249999999999</v>
      </c>
      <c r="K85" s="22">
        <f t="shared" si="93"/>
        <v>2.4270749999999897</v>
      </c>
      <c r="L85" s="30">
        <f t="shared" si="76"/>
        <v>33.983324999999986</v>
      </c>
      <c r="M85" s="22">
        <f t="shared" si="77"/>
        <v>4.6746249999999998</v>
      </c>
      <c r="N85" s="4">
        <f t="shared" si="110"/>
        <v>5.25</v>
      </c>
      <c r="O85" s="4">
        <f t="shared" si="38"/>
        <v>69.344999999999999</v>
      </c>
      <c r="P85" s="4">
        <f t="shared" si="101"/>
        <v>113.25294999999998</v>
      </c>
      <c r="R85" s="24">
        <v>1.0349999999999999</v>
      </c>
    </row>
    <row r="86" spans="1:18" x14ac:dyDescent="0.25">
      <c r="A86">
        <v>66</v>
      </c>
      <c r="B86" t="s">
        <v>67</v>
      </c>
      <c r="D86" s="12" t="s">
        <v>100</v>
      </c>
      <c r="E86" s="12" t="s">
        <v>96</v>
      </c>
      <c r="F86" s="4">
        <f>12.81+0.79</f>
        <v>13.600000000000001</v>
      </c>
      <c r="G86" s="4">
        <f>$F$5*(0.0124-0.0027)</f>
        <v>7.2750000000000004</v>
      </c>
      <c r="H86" s="4">
        <f t="shared" ref="H86" si="115">F86+G86</f>
        <v>20.875</v>
      </c>
      <c r="J86" s="4">
        <f>(0.0067+0.005)*$F$5*R86</f>
        <v>9.0751050000000006</v>
      </c>
      <c r="K86" s="22">
        <f t="shared" si="93"/>
        <v>2.371598999999998</v>
      </c>
      <c r="L86" s="30">
        <f t="shared" si="76"/>
        <v>32.321703999999997</v>
      </c>
      <c r="M86" s="22">
        <f t="shared" si="77"/>
        <v>4.6712049999999996</v>
      </c>
      <c r="N86" s="4">
        <f t="shared" si="110"/>
        <v>5.25</v>
      </c>
      <c r="O86" s="4">
        <f t="shared" si="38"/>
        <v>69.344999999999999</v>
      </c>
      <c r="P86" s="4">
        <f t="shared" si="101"/>
        <v>111.587909</v>
      </c>
      <c r="R86" s="24">
        <v>1.0342</v>
      </c>
    </row>
    <row r="87" spans="1:18" x14ac:dyDescent="0.25">
      <c r="A87">
        <v>67</v>
      </c>
      <c r="B87" t="s">
        <v>68</v>
      </c>
      <c r="D87" s="12" t="s">
        <v>100</v>
      </c>
      <c r="E87" s="12" t="s">
        <v>96</v>
      </c>
      <c r="F87" s="4">
        <f>10.13+0.79</f>
        <v>10.920000000000002</v>
      </c>
      <c r="G87" s="4">
        <f>$F$5*(0.0239-0.0013)</f>
        <v>16.950000000000003</v>
      </c>
      <c r="H87" s="4">
        <f t="shared" ref="H87" si="116">F87+G87</f>
        <v>27.870000000000005</v>
      </c>
      <c r="J87" s="4">
        <f>(0.0073+0.0054)*$F$5*R87</f>
        <v>9.8421825000000016</v>
      </c>
      <c r="K87" s="22">
        <f t="shared" si="93"/>
        <v>2.3091885000000127</v>
      </c>
      <c r="L87" s="30">
        <f t="shared" si="76"/>
        <v>40.021371000000016</v>
      </c>
      <c r="M87" s="22">
        <f t="shared" si="77"/>
        <v>4.6673575000000014</v>
      </c>
      <c r="N87" s="4">
        <f t="shared" si="110"/>
        <v>5.25</v>
      </c>
      <c r="O87" s="4">
        <f t="shared" si="38"/>
        <v>69.344999999999999</v>
      </c>
      <c r="P87" s="4">
        <f t="shared" si="101"/>
        <v>119.28372850000002</v>
      </c>
      <c r="R87" s="24">
        <v>1.0333000000000001</v>
      </c>
    </row>
    <row r="88" spans="1:18" x14ac:dyDescent="0.25">
      <c r="A88">
        <v>68</v>
      </c>
      <c r="B88" t="s">
        <v>69</v>
      </c>
      <c r="D88" s="12" t="s">
        <v>98</v>
      </c>
      <c r="E88" s="12" t="s">
        <v>96</v>
      </c>
      <c r="F88" s="4">
        <f>18.63+0.08+0.67+0.78+0.07+0.73</f>
        <v>20.96</v>
      </c>
      <c r="G88" s="4">
        <f>$F$5*(0.01538+0.00005+0.00061-0.00004)</f>
        <v>12</v>
      </c>
      <c r="H88" s="4">
        <f t="shared" ref="H88" si="117">F88+G88</f>
        <v>32.96</v>
      </c>
      <c r="J88" s="4">
        <f>(0.00806+0.0056)*$F$5*R88</f>
        <v>10.630212</v>
      </c>
      <c r="K88" s="22">
        <f t="shared" si="93"/>
        <v>2.6073720000000042</v>
      </c>
      <c r="L88" s="30">
        <f t="shared" si="76"/>
        <v>46.197584000000006</v>
      </c>
      <c r="M88" s="22">
        <f t="shared" si="77"/>
        <v>4.68574</v>
      </c>
      <c r="N88" s="4">
        <f t="shared" si="110"/>
        <v>5.25</v>
      </c>
      <c r="O88" s="4">
        <f t="shared" si="38"/>
        <v>69.344999999999999</v>
      </c>
      <c r="P88" s="4">
        <f t="shared" si="101"/>
        <v>125.47832400000001</v>
      </c>
      <c r="R88" s="24">
        <v>1.0376000000000001</v>
      </c>
    </row>
    <row r="89" spans="1:18" x14ac:dyDescent="0.25">
      <c r="A89">
        <v>69</v>
      </c>
      <c r="B89" t="s">
        <v>113</v>
      </c>
      <c r="D89" s="12" t="s">
        <v>92</v>
      </c>
      <c r="E89" s="12" t="s">
        <v>96</v>
      </c>
      <c r="F89" s="4">
        <f>12.77+0.79+2.55</f>
        <v>16.11</v>
      </c>
      <c r="G89" s="4">
        <f>$F$5*(0.0159+0.001+0.0024-0.0038)</f>
        <v>11.625000000000002</v>
      </c>
      <c r="H89" s="4">
        <f t="shared" ref="H89:H90" si="118">F89+G89</f>
        <v>27.734999999999999</v>
      </c>
      <c r="J89" s="4">
        <f>(0.0071+0.0044)*$F$5*R89</f>
        <v>9.0407250000000001</v>
      </c>
      <c r="K89" s="22">
        <f t="shared" si="93"/>
        <v>3.3424289999999979</v>
      </c>
      <c r="L89" s="30">
        <f t="shared" si="76"/>
        <v>40.118153999999997</v>
      </c>
      <c r="M89" s="22">
        <f t="shared" si="77"/>
        <v>4.7310550000000005</v>
      </c>
      <c r="N89" s="4">
        <f t="shared" si="110"/>
        <v>5.25</v>
      </c>
      <c r="O89" s="4">
        <f t="shared" si="38"/>
        <v>69.344999999999999</v>
      </c>
      <c r="P89" s="4">
        <f t="shared" si="101"/>
        <v>119.444209</v>
      </c>
      <c r="R89" s="24">
        <v>1.0482</v>
      </c>
    </row>
    <row r="90" spans="1:18" x14ac:dyDescent="0.25">
      <c r="A90">
        <v>70</v>
      </c>
      <c r="B90" t="s">
        <v>114</v>
      </c>
      <c r="D90" s="12" t="s">
        <v>92</v>
      </c>
      <c r="E90" s="12" t="s">
        <v>96</v>
      </c>
      <c r="F90" s="4">
        <f>12.77+0.79+2.55</f>
        <v>16.11</v>
      </c>
      <c r="G90" s="4">
        <f>$F$5*(0.0159+0.001+0.0063-0.0038)</f>
        <v>14.55</v>
      </c>
      <c r="H90" s="4">
        <f t="shared" si="118"/>
        <v>30.66</v>
      </c>
      <c r="J90" s="4">
        <f>(0.0071+0.0044)*$F$5*R90</f>
        <v>9.0407250000000001</v>
      </c>
      <c r="K90" s="22">
        <f t="shared" si="93"/>
        <v>3.3424289999999979</v>
      </c>
      <c r="L90" s="30">
        <f t="shared" si="76"/>
        <v>43.043153999999994</v>
      </c>
      <c r="M90" s="22">
        <f t="shared" si="77"/>
        <v>4.7310550000000005</v>
      </c>
      <c r="N90" s="4">
        <f t="shared" si="110"/>
        <v>5.25</v>
      </c>
      <c r="O90" s="4">
        <f t="shared" si="38"/>
        <v>69.344999999999999</v>
      </c>
      <c r="P90" s="4">
        <f t="shared" si="101"/>
        <v>122.36920899999998</v>
      </c>
      <c r="R90" s="24">
        <v>1.0482</v>
      </c>
    </row>
    <row r="91" spans="1:18" x14ac:dyDescent="0.25">
      <c r="A91">
        <v>71</v>
      </c>
      <c r="B91" t="s">
        <v>70</v>
      </c>
      <c r="D91" s="12" t="s">
        <v>100</v>
      </c>
      <c r="E91" s="12" t="s">
        <v>96</v>
      </c>
      <c r="F91" s="4">
        <f>11.39+0.79</f>
        <v>12.18</v>
      </c>
      <c r="G91" s="17">
        <f>$F$5*(0.0142+0.0019-0.002-0.0142-0.0048+0.0003)</f>
        <v>-3.4500000000000006</v>
      </c>
      <c r="H91" s="4">
        <f t="shared" ref="H91" si="119">F91+G91</f>
        <v>8.7299999999999986</v>
      </c>
      <c r="J91" s="4">
        <f>(0.0076+0.0051)*$F$5*R91</f>
        <v>10.296525000000001</v>
      </c>
      <c r="K91" s="22">
        <f t="shared" si="93"/>
        <v>5.6169450000000003</v>
      </c>
      <c r="L91" s="30">
        <f t="shared" si="76"/>
        <v>24.643470000000001</v>
      </c>
      <c r="M91" s="22">
        <f t="shared" si="77"/>
        <v>4.8712749999999998</v>
      </c>
      <c r="N91" s="4">
        <f t="shared" si="110"/>
        <v>5.25</v>
      </c>
      <c r="O91" s="4">
        <f t="shared" si="38"/>
        <v>69.344999999999999</v>
      </c>
      <c r="P91" s="4">
        <f t="shared" si="101"/>
        <v>104.109745</v>
      </c>
      <c r="R91" s="24">
        <v>1.081</v>
      </c>
    </row>
    <row r="92" spans="1:18" x14ac:dyDescent="0.25">
      <c r="A92">
        <v>72</v>
      </c>
      <c r="B92" t="s">
        <v>71</v>
      </c>
      <c r="D92" s="12" t="s">
        <v>100</v>
      </c>
      <c r="E92" s="12" t="s">
        <v>96</v>
      </c>
      <c r="F92" s="4">
        <f>15+2.11+0.79</f>
        <v>17.899999999999999</v>
      </c>
      <c r="G92" s="4">
        <f>$F$5*(0.019+0.0001-0.0016+0.0002-0.0001)</f>
        <v>13.199999999999998</v>
      </c>
      <c r="H92" s="4">
        <f t="shared" ref="H92" si="120">F92+G92</f>
        <v>31.099999999999994</v>
      </c>
      <c r="J92" s="4">
        <f>(0.0076+0.0022)*$F$5*R92</f>
        <v>7.6469399999999998</v>
      </c>
      <c r="K92" s="22">
        <f t="shared" si="93"/>
        <v>2.8015379999999959</v>
      </c>
      <c r="L92" s="30">
        <f t="shared" si="76"/>
        <v>41.548477999999989</v>
      </c>
      <c r="M92" s="22">
        <f t="shared" si="77"/>
        <v>4.6977099999999998</v>
      </c>
      <c r="N92" s="4">
        <f t="shared" si="110"/>
        <v>5.25</v>
      </c>
      <c r="O92" s="4">
        <f t="shared" si="38"/>
        <v>69.344999999999999</v>
      </c>
      <c r="P92" s="4">
        <f t="shared" si="101"/>
        <v>120.84118799999999</v>
      </c>
      <c r="R92" s="24">
        <v>1.0404</v>
      </c>
    </row>
    <row r="93" spans="1:18" x14ac:dyDescent="0.25">
      <c r="A93">
        <v>73</v>
      </c>
      <c r="B93" t="s">
        <v>72</v>
      </c>
      <c r="D93" s="12" t="s">
        <v>100</v>
      </c>
      <c r="E93" s="12" t="s">
        <v>96</v>
      </c>
      <c r="F93" s="4">
        <f>15.9+0.45+0.79</f>
        <v>17.14</v>
      </c>
      <c r="G93" s="4">
        <f>$F$5*(0.0135+0.0003-0.0027)</f>
        <v>8.3249999999999993</v>
      </c>
      <c r="H93" s="4">
        <f t="shared" ref="H93" si="121">F93+G93</f>
        <v>25.465</v>
      </c>
      <c r="J93" s="4">
        <f>(0.0085+0.0059)*$F$5*R93</f>
        <v>11.374559999999997</v>
      </c>
      <c r="K93" s="22">
        <f t="shared" si="93"/>
        <v>3.689153999999998</v>
      </c>
      <c r="L93" s="30">
        <f t="shared" si="76"/>
        <v>40.528713999999994</v>
      </c>
      <c r="M93" s="22">
        <f t="shared" si="77"/>
        <v>4.7524300000000004</v>
      </c>
      <c r="N93" s="4">
        <f t="shared" si="110"/>
        <v>5.25</v>
      </c>
      <c r="O93" s="4">
        <f t="shared" si="38"/>
        <v>69.344999999999999</v>
      </c>
      <c r="P93" s="4">
        <f t="shared" si="101"/>
        <v>119.876144</v>
      </c>
      <c r="R93" s="24">
        <v>1.0531999999999999</v>
      </c>
    </row>
    <row r="94" spans="1:18" x14ac:dyDescent="0.25">
      <c r="A94">
        <v>74</v>
      </c>
      <c r="B94" t="s">
        <v>73</v>
      </c>
      <c r="D94" s="12" t="s">
        <v>98</v>
      </c>
      <c r="E94" s="12" t="s">
        <v>96</v>
      </c>
      <c r="F94" s="4">
        <f>18.28+0.88+0.79</f>
        <v>19.95</v>
      </c>
      <c r="G94" s="4">
        <f>$F$5*(0.0183+0.0018+0.0009+0.0002)</f>
        <v>15.9</v>
      </c>
      <c r="H94" s="4">
        <f t="shared" ref="H94" si="122">F94+G94</f>
        <v>35.85</v>
      </c>
      <c r="J94" s="4">
        <f>(0.0066+0.0041)*$F$5*R94</f>
        <v>8.599590000000001</v>
      </c>
      <c r="K94" s="22">
        <f t="shared" si="93"/>
        <v>4.9651020000000043</v>
      </c>
      <c r="L94" s="30">
        <f t="shared" si="76"/>
        <v>49.414692000000002</v>
      </c>
      <c r="M94" s="22">
        <f t="shared" si="77"/>
        <v>4.8310900000000006</v>
      </c>
      <c r="N94" s="4">
        <f t="shared" si="110"/>
        <v>5.25</v>
      </c>
      <c r="O94" s="4">
        <f t="shared" si="38"/>
        <v>69.344999999999999</v>
      </c>
      <c r="P94" s="4">
        <f t="shared" si="101"/>
        <v>128.84078199999999</v>
      </c>
      <c r="R94" s="24">
        <v>1.0716000000000001</v>
      </c>
    </row>
    <row r="95" spans="1:18" x14ac:dyDescent="0.25">
      <c r="A95">
        <v>75</v>
      </c>
      <c r="B95" t="s">
        <v>74</v>
      </c>
      <c r="D95" s="12" t="s">
        <v>100</v>
      </c>
      <c r="E95" s="12" t="s">
        <v>96</v>
      </c>
      <c r="F95" s="4">
        <f>17.7+0.79+0.74+0.8+1.17</f>
        <v>21.199999999999996</v>
      </c>
      <c r="G95" s="4">
        <f>$F$5*(0.0229+0.0017+0.0009+0.0006)</f>
        <v>19.575000000000003</v>
      </c>
      <c r="H95" s="4">
        <f t="shared" ref="H95" si="123">F95+G95</f>
        <v>40.774999999999999</v>
      </c>
      <c r="J95" s="4">
        <f>(0.007+0.0056)*$F$5*R95</f>
        <v>9.8913149999999987</v>
      </c>
      <c r="K95" s="22">
        <f t="shared" si="93"/>
        <v>3.238411499999998</v>
      </c>
      <c r="L95" s="30">
        <f t="shared" si="76"/>
        <v>53.904726499999995</v>
      </c>
      <c r="M95" s="22">
        <f t="shared" si="77"/>
        <v>4.7246424999999999</v>
      </c>
      <c r="N95" s="4">
        <f t="shared" si="110"/>
        <v>5.25</v>
      </c>
      <c r="O95" s="4">
        <f t="shared" si="38"/>
        <v>69.344999999999999</v>
      </c>
      <c r="P95" s="4">
        <f t="shared" si="101"/>
        <v>133.224369</v>
      </c>
      <c r="R95" s="24">
        <v>1.0467</v>
      </c>
    </row>
    <row r="96" spans="1:18" x14ac:dyDescent="0.25">
      <c r="A96">
        <v>76</v>
      </c>
      <c r="B96" t="s">
        <v>75</v>
      </c>
      <c r="D96" s="12" t="s">
        <v>98</v>
      </c>
      <c r="E96" s="12" t="s">
        <v>96</v>
      </c>
      <c r="F96" s="4">
        <f>12.5+0.91+0.79+0.19</f>
        <v>14.389999999999999</v>
      </c>
      <c r="G96" s="4">
        <f>$F$5*(0.0156+0.0018+0.0026+0.0001)</f>
        <v>15.074999999999998</v>
      </c>
      <c r="H96" s="4">
        <f t="shared" ref="H96" si="124">F96+G96</f>
        <v>29.464999999999996</v>
      </c>
      <c r="J96" s="4">
        <f>(0.0065+0.0041)*$F$5*R96</f>
        <v>8.5065000000000008</v>
      </c>
      <c r="K96" s="22">
        <f t="shared" si="93"/>
        <v>4.8541499999999997</v>
      </c>
      <c r="L96" s="22">
        <f t="shared" si="76"/>
        <v>42.825649999999996</v>
      </c>
      <c r="M96" s="22">
        <f t="shared" si="77"/>
        <v>4.8242500000000001</v>
      </c>
      <c r="N96" s="4">
        <f t="shared" si="110"/>
        <v>5.25</v>
      </c>
      <c r="O96" s="4">
        <f t="shared" si="38"/>
        <v>69.344999999999999</v>
      </c>
      <c r="P96" s="4">
        <f t="shared" si="101"/>
        <v>122.2449</v>
      </c>
      <c r="R96" s="24">
        <v>1.07</v>
      </c>
    </row>
    <row r="97" spans="1:18" x14ac:dyDescent="0.25">
      <c r="A97">
        <v>77</v>
      </c>
      <c r="B97" t="s">
        <v>76</v>
      </c>
      <c r="D97" s="12" t="s">
        <v>100</v>
      </c>
      <c r="E97" s="12" t="s">
        <v>97</v>
      </c>
      <c r="F97" s="4">
        <f>17.67+2.2+0.79</f>
        <v>20.66</v>
      </c>
      <c r="G97" s="4">
        <f>$F$5*(0.0146-0.0017-0.001)</f>
        <v>8.9250000000000007</v>
      </c>
      <c r="H97" s="4">
        <f t="shared" ref="H97" si="125">F97+G97</f>
        <v>29.585000000000001</v>
      </c>
      <c r="J97" s="4">
        <f>(0.0079+0.0059)*$F$5*R97</f>
        <v>10.819890000000001</v>
      </c>
      <c r="K97" s="22">
        <f t="shared" si="93"/>
        <v>3.1482630000000063</v>
      </c>
      <c r="L97" s="22">
        <f t="shared" si="76"/>
        <v>43.553153000000009</v>
      </c>
      <c r="M97" s="22">
        <f t="shared" si="77"/>
        <v>4.7190850000000006</v>
      </c>
      <c r="N97" s="4">
        <f t="shared" si="110"/>
        <v>5.25</v>
      </c>
      <c r="O97" s="4">
        <f t="shared" si="38"/>
        <v>69.344999999999999</v>
      </c>
      <c r="P97" s="4">
        <f t="shared" si="101"/>
        <v>122.86723800000001</v>
      </c>
      <c r="R97" s="24">
        <v>1.0454000000000001</v>
      </c>
    </row>
    <row r="98" spans="1:18" x14ac:dyDescent="0.25">
      <c r="A98">
        <v>78</v>
      </c>
      <c r="B98" t="s">
        <v>77</v>
      </c>
      <c r="D98" s="12" t="s">
        <v>100</v>
      </c>
      <c r="E98" s="12" t="s">
        <v>96</v>
      </c>
      <c r="F98" s="4">
        <f>12.98+0.79+0.64</f>
        <v>14.41</v>
      </c>
      <c r="G98" s="4">
        <f>$F$5*(0.0222+0.0008-0.0012)</f>
        <v>16.350000000000001</v>
      </c>
      <c r="H98" s="4">
        <f t="shared" ref="H98" si="126">F98+G98</f>
        <v>30.76</v>
      </c>
      <c r="J98" s="4">
        <f>(0.0075+0.0054)*$F$5*R98</f>
        <v>10.0919925</v>
      </c>
      <c r="K98" s="22">
        <f t="shared" si="93"/>
        <v>2.9887694999999939</v>
      </c>
      <c r="L98" s="30">
        <f t="shared" si="76"/>
        <v>43.840761999999998</v>
      </c>
      <c r="M98" s="22">
        <f t="shared" si="77"/>
        <v>4.7092524999999998</v>
      </c>
      <c r="N98" s="4">
        <f t="shared" si="110"/>
        <v>5.25</v>
      </c>
      <c r="O98" s="4">
        <f t="shared" si="38"/>
        <v>69.344999999999999</v>
      </c>
      <c r="P98" s="4">
        <f t="shared" si="101"/>
        <v>123.1450145</v>
      </c>
      <c r="R98" s="24">
        <v>1.0430999999999999</v>
      </c>
    </row>
    <row r="102" spans="1:18" ht="18.75" x14ac:dyDescent="0.3">
      <c r="A102" s="27"/>
      <c r="B102" s="33" t="s">
        <v>216</v>
      </c>
      <c r="C102" s="34"/>
      <c r="D102" s="34">
        <f>COUNTA(B8:B98)</f>
        <v>91</v>
      </c>
      <c r="E102" s="34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 ht="18.75" x14ac:dyDescent="0.3">
      <c r="A103" s="27"/>
      <c r="B103" s="33" t="s">
        <v>217</v>
      </c>
      <c r="C103" s="34"/>
      <c r="D103" s="34">
        <f>COUNTA(F8:F98)</f>
        <v>88</v>
      </c>
      <c r="E103" s="34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 ht="18.75" x14ac:dyDescent="0.3">
      <c r="A104" s="27"/>
      <c r="B104" s="33" t="s">
        <v>218</v>
      </c>
      <c r="C104" s="34"/>
      <c r="D104" s="34">
        <f>COUNTIF(E8:E98, "No Application")</f>
        <v>3</v>
      </c>
      <c r="E104" s="34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 ht="18.75" x14ac:dyDescent="0.3">
      <c r="A105" s="27"/>
      <c r="B105" s="33" t="s">
        <v>219</v>
      </c>
      <c r="C105" s="34"/>
      <c r="D105" s="35">
        <f>MIN(H9:H98)</f>
        <v>8.7299999999999986</v>
      </c>
      <c r="E105" s="34" t="str">
        <f>INDEX($B$8:$B$98,MATCH(D105,$H$8:$H$98,0))</f>
        <v>Wasaga Distribution</v>
      </c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 ht="18.75" x14ac:dyDescent="0.3">
      <c r="A106" s="27"/>
      <c r="B106" s="33" t="s">
        <v>220</v>
      </c>
      <c r="C106" s="34"/>
      <c r="D106" s="35">
        <f>MAX(H8:H98)</f>
        <v>88.987499999999997</v>
      </c>
      <c r="E106" s="34" t="str">
        <f>INDEX($B$8:$B$98,MATCH(D106,$H$8:$H$98,0))</f>
        <v>Hydro One Networks (Seas)</v>
      </c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 ht="18.75" x14ac:dyDescent="0.3">
      <c r="A107" s="27"/>
      <c r="B107" s="33" t="s">
        <v>222</v>
      </c>
      <c r="C107" s="34"/>
      <c r="D107" s="35">
        <f>MIN(P54:P98,P8:P52)</f>
        <v>102.56104500000001</v>
      </c>
      <c r="E107" s="34" t="str">
        <f>INDEX($B$8:$B$98,MATCH(D107,$P$8:$P$98,0))</f>
        <v>ELK Energy</v>
      </c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 ht="18.75" x14ac:dyDescent="0.3">
      <c r="A108" s="27"/>
      <c r="B108" s="33" t="s">
        <v>221</v>
      </c>
      <c r="C108" s="34"/>
      <c r="D108" s="35">
        <f>MAX(P8:P98)</f>
        <v>184.07791</v>
      </c>
      <c r="E108" s="34" t="str">
        <f>INDEX($B$8:$B$98,MATCH(D108,$P$8:$P$98,0))</f>
        <v>Hydro One Networks (Seas)</v>
      </c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 ht="18.75" x14ac:dyDescent="0.3">
      <c r="A109" s="27"/>
      <c r="B109" s="34"/>
      <c r="C109" s="34"/>
      <c r="D109" s="34"/>
      <c r="E109" s="34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 ht="18.75" x14ac:dyDescent="0.3">
      <c r="A110" s="27"/>
      <c r="B110" s="34"/>
      <c r="C110" s="34"/>
      <c r="D110" s="34"/>
      <c r="E110" s="34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 ht="18.75" x14ac:dyDescent="0.3">
      <c r="A111" s="27"/>
      <c r="B111" s="34"/>
      <c r="C111" s="34"/>
      <c r="D111" s="34"/>
      <c r="E111" s="34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 ht="18.75" x14ac:dyDescent="0.3">
      <c r="A112" s="27"/>
      <c r="B112" s="34"/>
      <c r="C112" s="34"/>
      <c r="D112" s="34"/>
      <c r="E112" s="34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</row>
  </sheetData>
  <mergeCells count="1">
    <mergeCell ref="F6:H6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12"/>
  <sheetViews>
    <sheetView zoomScale="80" zoomScaleNormal="80" workbookViewId="0">
      <pane xSplit="5" ySplit="7" topLeftCell="F8" activePane="bottomRight" state="frozen"/>
      <selection pane="topRight" activeCell="D1" sqref="D1"/>
      <selection pane="bottomLeft" activeCell="A8" sqref="A8"/>
      <selection pane="bottomRight" activeCell="O96" sqref="O96"/>
    </sheetView>
  </sheetViews>
  <sheetFormatPr defaultRowHeight="15" x14ac:dyDescent="0.25"/>
  <cols>
    <col min="1" max="1" width="3.140625" customWidth="1"/>
    <col min="2" max="2" width="35.85546875" bestFit="1" customWidth="1"/>
    <col min="3" max="3" width="4.42578125" customWidth="1"/>
    <col min="4" max="4" width="10.28515625" customWidth="1"/>
    <col min="5" max="5" width="18.140625" bestFit="1" customWidth="1"/>
    <col min="6" max="6" width="13.85546875" bestFit="1" customWidth="1"/>
    <col min="7" max="7" width="8.42578125" bestFit="1" customWidth="1"/>
    <col min="8" max="8" width="9.5703125" bestFit="1" customWidth="1"/>
    <col min="10" max="10" width="17.42578125" bestFit="1" customWidth="1"/>
    <col min="11" max="11" width="17.42578125" customWidth="1"/>
    <col min="12" max="12" width="17.42578125" bestFit="1" customWidth="1"/>
    <col min="14" max="14" width="9.7109375" bestFit="1" customWidth="1"/>
    <col min="15" max="15" width="9.7109375" customWidth="1"/>
    <col min="16" max="16" width="4" customWidth="1"/>
  </cols>
  <sheetData>
    <row r="1" spans="1:22" x14ac:dyDescent="0.25">
      <c r="E1" s="12"/>
      <c r="R1" t="s">
        <v>260</v>
      </c>
    </row>
    <row r="2" spans="1:22" x14ac:dyDescent="0.25">
      <c r="E2" s="12"/>
      <c r="F2" s="40" t="s">
        <v>263</v>
      </c>
      <c r="G2" s="11"/>
      <c r="H2" s="11"/>
      <c r="I2" s="11"/>
      <c r="J2" s="11"/>
      <c r="K2" s="11"/>
      <c r="L2" s="11"/>
      <c r="M2" s="11"/>
      <c r="R2" t="s">
        <v>86</v>
      </c>
      <c r="S2" s="8">
        <v>6.7000000000000004E-2</v>
      </c>
      <c r="T2" s="9">
        <v>0.64</v>
      </c>
    </row>
    <row r="3" spans="1:22" x14ac:dyDescent="0.25">
      <c r="B3" s="31">
        <v>42125</v>
      </c>
      <c r="C3" s="31"/>
      <c r="E3" s="12"/>
      <c r="F3" s="68" t="s">
        <v>262</v>
      </c>
      <c r="G3" s="11"/>
      <c r="H3" s="11"/>
      <c r="I3" s="11"/>
      <c r="J3" s="11"/>
      <c r="K3" s="11"/>
      <c r="L3" s="11"/>
      <c r="M3" s="11"/>
      <c r="R3" t="s">
        <v>87</v>
      </c>
      <c r="S3" s="8">
        <v>0.104</v>
      </c>
      <c r="T3" s="9">
        <v>0.18</v>
      </c>
    </row>
    <row r="4" spans="1:22" ht="21" x14ac:dyDescent="0.35">
      <c r="B4" s="1" t="s">
        <v>259</v>
      </c>
      <c r="C4" s="1"/>
      <c r="E4" s="12"/>
      <c r="F4" s="40" t="s">
        <v>296</v>
      </c>
      <c r="G4" s="11"/>
      <c r="H4" s="11"/>
      <c r="I4" s="11"/>
      <c r="J4" s="11"/>
      <c r="K4" s="11"/>
      <c r="L4" s="11"/>
      <c r="M4" s="11"/>
      <c r="R4" t="s">
        <v>88</v>
      </c>
      <c r="S4" s="8">
        <v>0.124</v>
      </c>
      <c r="T4" s="9">
        <v>0.18</v>
      </c>
    </row>
    <row r="5" spans="1:22" x14ac:dyDescent="0.25">
      <c r="B5" t="str">
        <f>CONCATENATE("Residential @ ",F5,"kWh/month")</f>
        <v>Residential @ 800kWh/month</v>
      </c>
      <c r="E5" s="12"/>
      <c r="F5" s="3">
        <v>800</v>
      </c>
      <c r="G5" t="s">
        <v>81</v>
      </c>
      <c r="R5" t="s">
        <v>89</v>
      </c>
      <c r="S5" s="8">
        <f>T2*S2+T3*S3+T4*S4</f>
        <v>8.3919999999999995E-2</v>
      </c>
    </row>
    <row r="6" spans="1:22" ht="19.5" thickBot="1" x14ac:dyDescent="0.35">
      <c r="B6" s="2" t="s">
        <v>1</v>
      </c>
      <c r="C6" s="2"/>
      <c r="E6" s="12"/>
      <c r="F6" s="128"/>
      <c r="G6" s="128"/>
      <c r="H6" s="128"/>
    </row>
    <row r="7" spans="1:22" ht="18.75" x14ac:dyDescent="0.3">
      <c r="B7" s="2"/>
      <c r="C7" s="32" t="s">
        <v>99</v>
      </c>
      <c r="E7" s="12"/>
      <c r="F7" s="7" t="s">
        <v>78</v>
      </c>
      <c r="G7" s="7" t="s">
        <v>79</v>
      </c>
      <c r="H7" s="7" t="s">
        <v>80</v>
      </c>
      <c r="I7" s="3" t="s">
        <v>82</v>
      </c>
      <c r="J7" s="3" t="s">
        <v>90</v>
      </c>
      <c r="K7" s="3" t="s">
        <v>91</v>
      </c>
      <c r="L7" s="3" t="s">
        <v>84</v>
      </c>
      <c r="M7" s="3" t="s">
        <v>93</v>
      </c>
      <c r="N7" s="3" t="s">
        <v>94</v>
      </c>
      <c r="O7" s="3" t="s">
        <v>95</v>
      </c>
      <c r="Q7" s="5" t="s">
        <v>83</v>
      </c>
      <c r="S7" s="3" t="s">
        <v>267</v>
      </c>
      <c r="T7" s="72" t="s">
        <v>102</v>
      </c>
      <c r="U7" s="13" t="s">
        <v>115</v>
      </c>
      <c r="V7" s="13"/>
    </row>
    <row r="8" spans="1:22" ht="18" x14ac:dyDescent="0.25">
      <c r="A8">
        <v>1</v>
      </c>
      <c r="B8" s="13" t="s">
        <v>2</v>
      </c>
      <c r="D8" s="12" t="s">
        <v>98</v>
      </c>
      <c r="E8" s="67" t="s">
        <v>261</v>
      </c>
      <c r="F8" s="22">
        <f>22.32+0.79</f>
        <v>23.11</v>
      </c>
      <c r="G8" s="4">
        <f>$F$5*(0.0313+0.0004+0.0046-0.0061-0.0052+0.015-0.0002)</f>
        <v>31.839999999999996</v>
      </c>
      <c r="H8" s="4">
        <f>F8+G8</f>
        <v>54.949999999999996</v>
      </c>
      <c r="I8" s="4">
        <f>(0.0069+0.0049)*$F$5*Q8</f>
        <v>10.255616</v>
      </c>
      <c r="J8" s="4">
        <f>(Q8*$F$5-$F$5)*$S$5</f>
        <v>5.8005503999999997</v>
      </c>
      <c r="K8" s="22">
        <f>H8+I8+J8</f>
        <v>71.006166399999998</v>
      </c>
      <c r="L8" s="4">
        <f>$F$5*Q8*(0.0044+0.0012)+0.25</f>
        <v>5.1170720000000003</v>
      </c>
      <c r="M8" s="4">
        <f>0.002*$F$5</f>
        <v>1.6</v>
      </c>
      <c r="N8" s="4">
        <f>$F$5*$S$5</f>
        <v>67.135999999999996</v>
      </c>
      <c r="O8" s="4">
        <f>K8+L8+M8+N8</f>
        <v>144.85923839999998</v>
      </c>
      <c r="Q8" s="6">
        <v>1.0864</v>
      </c>
      <c r="S8" s="4">
        <f>K8-J8</f>
        <v>65.205615999999992</v>
      </c>
      <c r="T8" s="73" t="s">
        <v>101</v>
      </c>
    </row>
    <row r="9" spans="1:22" ht="18.75" x14ac:dyDescent="0.3">
      <c r="A9">
        <v>2</v>
      </c>
      <c r="B9" t="s">
        <v>3</v>
      </c>
      <c r="D9" t="s">
        <v>100</v>
      </c>
      <c r="E9" s="69" t="s">
        <v>265</v>
      </c>
      <c r="F9" s="22">
        <f>34.15+0.48+2.79+1.06+0.39+0.79</f>
        <v>39.659999999999997</v>
      </c>
      <c r="G9" s="4">
        <f>$F$5*(0.0135+0.0009)</f>
        <v>11.52</v>
      </c>
      <c r="H9" s="4">
        <f>F9+G9</f>
        <v>51.179999999999993</v>
      </c>
      <c r="I9" s="4">
        <f>(0.0065+0.0037)*$F$5*Q9</f>
        <v>8.7948480000000018</v>
      </c>
      <c r="J9" s="4">
        <f>(Q9*$F$5-$F$5)*$S$5</f>
        <v>5.2231808000000104</v>
      </c>
      <c r="K9" s="22">
        <f>H9+I9+J9</f>
        <v>65.198028800000003</v>
      </c>
      <c r="L9" s="4">
        <f>$F$5*Q9*(0.0044+0.0012)+0.25</f>
        <v>5.0785440000000008</v>
      </c>
      <c r="M9" s="4">
        <f>0.007*$F$5</f>
        <v>5.6000000000000005</v>
      </c>
      <c r="N9" s="4">
        <f>$F$5*$S$5</f>
        <v>67.135999999999996</v>
      </c>
      <c r="O9" s="4">
        <f>K9+L9+M9+N9</f>
        <v>143.01257279999999</v>
      </c>
      <c r="P9" s="12"/>
      <c r="Q9" s="24">
        <v>1.0778000000000001</v>
      </c>
      <c r="S9" s="4">
        <f>K9-J9</f>
        <v>59.974847999999994</v>
      </c>
      <c r="T9" s="70" t="s">
        <v>266</v>
      </c>
    </row>
    <row r="10" spans="1:22" ht="18" x14ac:dyDescent="0.25">
      <c r="A10">
        <v>3</v>
      </c>
      <c r="B10" t="s">
        <v>4</v>
      </c>
      <c r="C10" s="12"/>
      <c r="D10" s="12"/>
      <c r="E10" s="12"/>
      <c r="F10" s="22"/>
      <c r="G10" s="22"/>
      <c r="H10" s="22"/>
      <c r="I10" s="12"/>
      <c r="J10" s="12"/>
      <c r="K10" s="12"/>
      <c r="L10" s="12"/>
      <c r="M10" s="12"/>
      <c r="N10" s="12"/>
      <c r="O10" s="12"/>
      <c r="P10" s="12"/>
      <c r="Q10" s="12"/>
      <c r="T10" s="74"/>
    </row>
    <row r="11" spans="1:22" ht="18" x14ac:dyDescent="0.25">
      <c r="A11">
        <v>4</v>
      </c>
      <c r="B11" t="s">
        <v>5</v>
      </c>
      <c r="C11" s="12"/>
      <c r="D11" s="12" t="s">
        <v>92</v>
      </c>
      <c r="E11" s="71" t="s">
        <v>264</v>
      </c>
      <c r="F11" s="22">
        <f>15.48+1.47+0.79</f>
        <v>17.739999999999998</v>
      </c>
      <c r="G11" s="4">
        <f>$F$5*(0.0211+0.0002-0.0017+0.0002-0.0013+0.0004+0.0001)</f>
        <v>15.2</v>
      </c>
      <c r="H11" s="4">
        <f t="shared" ref="H11:H36" si="0">F11+G11</f>
        <v>32.94</v>
      </c>
      <c r="I11" s="4">
        <f>(0.0064+0.0054)*$F$5*Q11</f>
        <v>9.8374240000000022</v>
      </c>
      <c r="J11" s="4">
        <f t="shared" ref="J11:J36" si="1">(Q11*$F$5-$F$5)*$S$5</f>
        <v>2.8264256000000052</v>
      </c>
      <c r="K11" s="22">
        <f t="shared" ref="K11:K36" si="2">H11+I11+J11</f>
        <v>45.603849600000004</v>
      </c>
      <c r="L11" s="4">
        <f t="shared" ref="L11:L36" si="3">$F$5*Q11*(0.0044+0.0012)+0.25</f>
        <v>4.9186079999999999</v>
      </c>
      <c r="M11" s="4">
        <f>0.007*$F$5</f>
        <v>5.6000000000000005</v>
      </c>
      <c r="N11" s="4">
        <f t="shared" ref="N11:N36" si="4">$F$5*$S$5</f>
        <v>67.135999999999996</v>
      </c>
      <c r="O11" s="4">
        <f t="shared" ref="O11:O52" si="5">K11+L11+M11+N11</f>
        <v>123.2584576</v>
      </c>
      <c r="P11" s="12"/>
      <c r="Q11" s="24">
        <v>1.0421</v>
      </c>
      <c r="S11" s="4">
        <f>K11-J11</f>
        <v>42.777423999999996</v>
      </c>
      <c r="T11" s="75" t="s">
        <v>102</v>
      </c>
    </row>
    <row r="12" spans="1:22" ht="18" x14ac:dyDescent="0.25">
      <c r="A12">
        <v>5</v>
      </c>
      <c r="B12" t="s">
        <v>6</v>
      </c>
      <c r="C12" s="12"/>
      <c r="D12" t="s">
        <v>100</v>
      </c>
      <c r="E12" s="71" t="s">
        <v>264</v>
      </c>
      <c r="F12" s="22">
        <f>11.1+1.75+2.43+0.79</f>
        <v>16.07</v>
      </c>
      <c r="G12" s="4">
        <f>$F$5*(0.0209+0.0024-0.0059-0.0011)</f>
        <v>13.04</v>
      </c>
      <c r="H12" s="4">
        <f t="shared" si="0"/>
        <v>29.11</v>
      </c>
      <c r="I12" s="4">
        <f>(0.0059+0.0038)*$F$5*Q12</f>
        <v>8.1441200000000009</v>
      </c>
      <c r="J12" s="4">
        <f t="shared" si="1"/>
        <v>3.3232320000000111</v>
      </c>
      <c r="K12" s="22">
        <f t="shared" si="2"/>
        <v>40.577352000000012</v>
      </c>
      <c r="L12" s="4">
        <f t="shared" si="3"/>
        <v>4.951760000000001</v>
      </c>
      <c r="M12" s="4">
        <f>0.007*$F$5</f>
        <v>5.6000000000000005</v>
      </c>
      <c r="N12" s="4">
        <f t="shared" si="4"/>
        <v>67.135999999999996</v>
      </c>
      <c r="O12" s="4">
        <f t="shared" si="5"/>
        <v>118.26511200000002</v>
      </c>
      <c r="P12" s="12"/>
      <c r="Q12" s="24">
        <v>1.0495000000000001</v>
      </c>
      <c r="S12" s="4">
        <f>K12-J12</f>
        <v>37.25412</v>
      </c>
      <c r="T12" s="75" t="s">
        <v>102</v>
      </c>
    </row>
    <row r="13" spans="1:22" x14ac:dyDescent="0.25">
      <c r="A13">
        <v>6</v>
      </c>
      <c r="B13" t="s">
        <v>7</v>
      </c>
      <c r="C13" s="12"/>
      <c r="D13" s="12"/>
      <c r="E13" s="40" t="s">
        <v>268</v>
      </c>
      <c r="F13" s="22"/>
      <c r="G13" s="4"/>
      <c r="H13" s="4">
        <f t="shared" si="0"/>
        <v>0</v>
      </c>
      <c r="I13" s="4"/>
      <c r="J13" s="22">
        <f t="shared" si="1"/>
        <v>2.3430463999999964</v>
      </c>
      <c r="K13" s="22">
        <f t="shared" si="2"/>
        <v>2.3430463999999964</v>
      </c>
      <c r="L13" s="4">
        <f t="shared" si="3"/>
        <v>4.8863519999999996</v>
      </c>
      <c r="M13" s="4">
        <f>0.007*$F$5</f>
        <v>5.6000000000000005</v>
      </c>
      <c r="N13" s="4">
        <f t="shared" si="4"/>
        <v>67.135999999999996</v>
      </c>
      <c r="O13" s="4">
        <f t="shared" si="5"/>
        <v>79.965398399999998</v>
      </c>
      <c r="P13" s="12"/>
      <c r="Q13" s="24">
        <v>1.0348999999999999</v>
      </c>
    </row>
    <row r="14" spans="1:22" ht="18" x14ac:dyDescent="0.25">
      <c r="A14">
        <v>7</v>
      </c>
      <c r="B14" s="13" t="s">
        <v>103</v>
      </c>
      <c r="C14" s="12"/>
      <c r="D14" s="12" t="s">
        <v>92</v>
      </c>
      <c r="E14" s="71" t="s">
        <v>264</v>
      </c>
      <c r="F14" s="22">
        <f>12.29+2.17+0.79</f>
        <v>15.25</v>
      </c>
      <c r="G14" s="4">
        <f>$F$5*(0.0167-0.0006-0.002+0.0004-0.0002)</f>
        <v>11.44</v>
      </c>
      <c r="H14" s="4">
        <f t="shared" si="0"/>
        <v>26.689999999999998</v>
      </c>
      <c r="I14" s="4">
        <f>(0.0072+0.0055)*$F$5*Q14</f>
        <v>10.571479999999999</v>
      </c>
      <c r="J14" s="22">
        <f t="shared" si="1"/>
        <v>2.7190079999999979</v>
      </c>
      <c r="K14" s="22">
        <f t="shared" si="2"/>
        <v>39.980487999999994</v>
      </c>
      <c r="L14" s="4">
        <f t="shared" si="3"/>
        <v>4.9114399999999998</v>
      </c>
      <c r="M14" s="4">
        <f>0.007*$F$5</f>
        <v>5.6000000000000005</v>
      </c>
      <c r="N14" s="4">
        <f t="shared" si="4"/>
        <v>67.135999999999996</v>
      </c>
      <c r="O14" s="4">
        <f t="shared" si="5"/>
        <v>117.627928</v>
      </c>
      <c r="P14" s="12"/>
      <c r="Q14" s="24">
        <v>1.0405</v>
      </c>
      <c r="S14" s="4">
        <f>K14-J14</f>
        <v>37.261479999999999</v>
      </c>
      <c r="T14" s="75" t="s">
        <v>102</v>
      </c>
    </row>
    <row r="15" spans="1:22" x14ac:dyDescent="0.25">
      <c r="A15">
        <v>8</v>
      </c>
      <c r="B15" t="s">
        <v>104</v>
      </c>
      <c r="C15" s="12"/>
      <c r="D15" s="12"/>
      <c r="E15" s="12"/>
      <c r="F15" s="22"/>
      <c r="G15" s="4"/>
      <c r="H15" s="4">
        <f t="shared" si="0"/>
        <v>0</v>
      </c>
      <c r="I15" s="4"/>
      <c r="J15" s="22">
        <f t="shared" si="1"/>
        <v>2.2490560000000057</v>
      </c>
      <c r="K15" s="22">
        <f t="shared" si="2"/>
        <v>2.2490560000000057</v>
      </c>
      <c r="L15" s="4">
        <f t="shared" si="3"/>
        <v>4.8800800000000004</v>
      </c>
      <c r="M15" s="4">
        <f>0.007*$F$5</f>
        <v>5.6000000000000005</v>
      </c>
      <c r="N15" s="4">
        <f t="shared" si="4"/>
        <v>67.135999999999996</v>
      </c>
      <c r="O15" s="4">
        <f t="shared" si="5"/>
        <v>79.865136000000007</v>
      </c>
      <c r="P15" s="12"/>
      <c r="Q15" s="24">
        <v>1.0335000000000001</v>
      </c>
    </row>
    <row r="16" spans="1:22" x14ac:dyDescent="0.25">
      <c r="A16">
        <v>9</v>
      </c>
      <c r="B16" t="s">
        <v>8</v>
      </c>
      <c r="C16" s="12"/>
      <c r="D16" s="12"/>
      <c r="E16" s="12"/>
      <c r="F16" s="22"/>
      <c r="G16" s="4"/>
      <c r="H16" s="4">
        <f t="shared" si="0"/>
        <v>0</v>
      </c>
      <c r="I16" s="4"/>
      <c r="J16" s="22">
        <f t="shared" si="1"/>
        <v>3.6387712000000008</v>
      </c>
      <c r="K16" s="22">
        <f t="shared" si="2"/>
        <v>3.6387712000000008</v>
      </c>
      <c r="L16" s="4">
        <f t="shared" si="3"/>
        <v>4.9728159999999999</v>
      </c>
      <c r="M16" s="4">
        <f>0.0051*$F$5</f>
        <v>4.08</v>
      </c>
      <c r="N16" s="4">
        <f t="shared" si="4"/>
        <v>67.135999999999996</v>
      </c>
      <c r="O16" s="4">
        <f t="shared" si="5"/>
        <v>79.827587199999996</v>
      </c>
      <c r="P16" s="12"/>
      <c r="Q16" s="24">
        <v>1.0542</v>
      </c>
    </row>
    <row r="17" spans="1:20" x14ac:dyDescent="0.25">
      <c r="A17">
        <v>9</v>
      </c>
      <c r="B17" s="12" t="s">
        <v>9</v>
      </c>
      <c r="C17" s="12"/>
      <c r="D17" s="12"/>
      <c r="E17" s="12"/>
      <c r="F17" s="22"/>
      <c r="G17" s="4"/>
      <c r="H17" s="4">
        <f t="shared" si="0"/>
        <v>0</v>
      </c>
      <c r="I17" s="4"/>
      <c r="J17" s="22">
        <f t="shared" si="1"/>
        <v>3.6387712000000008</v>
      </c>
      <c r="K17" s="22">
        <f t="shared" si="2"/>
        <v>3.6387712000000008</v>
      </c>
      <c r="L17" s="4">
        <f t="shared" si="3"/>
        <v>4.9728159999999999</v>
      </c>
      <c r="M17" s="4">
        <f>0*$F$5</f>
        <v>0</v>
      </c>
      <c r="N17" s="4">
        <f t="shared" si="4"/>
        <v>67.135999999999996</v>
      </c>
      <c r="O17" s="4">
        <f t="shared" si="5"/>
        <v>75.747587199999998</v>
      </c>
      <c r="P17" s="12"/>
      <c r="Q17" s="24">
        <v>1.0542</v>
      </c>
    </row>
    <row r="18" spans="1:20" x14ac:dyDescent="0.25">
      <c r="A18">
        <v>9</v>
      </c>
      <c r="B18" s="12" t="s">
        <v>10</v>
      </c>
      <c r="C18" s="12"/>
      <c r="D18" s="12"/>
      <c r="E18" s="12"/>
      <c r="F18" s="22"/>
      <c r="G18" s="4"/>
      <c r="H18" s="4">
        <f t="shared" si="0"/>
        <v>0</v>
      </c>
      <c r="I18" s="4"/>
      <c r="J18" s="22">
        <f t="shared" si="1"/>
        <v>3.6387712000000008</v>
      </c>
      <c r="K18" s="22">
        <f t="shared" si="2"/>
        <v>3.6387712000000008</v>
      </c>
      <c r="L18" s="4">
        <f t="shared" si="3"/>
        <v>4.9728159999999999</v>
      </c>
      <c r="M18" s="4">
        <f t="shared" ref="M18:M37" si="6">0.007*$F$5</f>
        <v>5.6000000000000005</v>
      </c>
      <c r="N18" s="4">
        <f t="shared" si="4"/>
        <v>67.135999999999996</v>
      </c>
      <c r="O18" s="4">
        <f t="shared" si="5"/>
        <v>81.347587199999992</v>
      </c>
      <c r="P18" s="12"/>
      <c r="Q18" s="24">
        <v>1.0542</v>
      </c>
    </row>
    <row r="19" spans="1:20" ht="18" x14ac:dyDescent="0.25">
      <c r="A19">
        <v>10</v>
      </c>
      <c r="B19" s="13" t="s">
        <v>11</v>
      </c>
      <c r="C19" s="12"/>
      <c r="D19" s="12" t="s">
        <v>92</v>
      </c>
      <c r="E19" s="71" t="s">
        <v>295</v>
      </c>
      <c r="F19" s="22">
        <f>15.22+1.25+0.98+0.79</f>
        <v>18.239999999999998</v>
      </c>
      <c r="G19" s="4">
        <f>$F$5*(0.014+0.0018-0.0019-0.0025+0.00005)</f>
        <v>9.16</v>
      </c>
      <c r="H19" s="4">
        <f t="shared" si="0"/>
        <v>27.4</v>
      </c>
      <c r="I19" s="4">
        <f>(0.0072+0.0055)*$F$5*Q19</f>
        <v>10.664952000000001</v>
      </c>
      <c r="J19" s="22">
        <f t="shared" si="1"/>
        <v>3.3366592000000086</v>
      </c>
      <c r="K19" s="22">
        <f t="shared" si="2"/>
        <v>41.401611200000005</v>
      </c>
      <c r="L19" s="4">
        <f t="shared" si="3"/>
        <v>4.9526560000000002</v>
      </c>
      <c r="M19" s="4">
        <f t="shared" si="6"/>
        <v>5.6000000000000005</v>
      </c>
      <c r="N19" s="4">
        <f t="shared" si="4"/>
        <v>67.135999999999996</v>
      </c>
      <c r="O19" s="4">
        <f t="shared" si="5"/>
        <v>119.0902672</v>
      </c>
      <c r="P19" s="12"/>
      <c r="Q19" s="24">
        <v>1.0497000000000001</v>
      </c>
      <c r="S19" s="4">
        <f>K19-J19</f>
        <v>38.064951999999998</v>
      </c>
      <c r="T19" s="75" t="s">
        <v>102</v>
      </c>
    </row>
    <row r="20" spans="1:20" x14ac:dyDescent="0.25">
      <c r="A20">
        <v>11</v>
      </c>
      <c r="B20" t="s">
        <v>12</v>
      </c>
      <c r="C20" s="12"/>
      <c r="D20" s="12"/>
      <c r="E20" s="12"/>
      <c r="F20" s="22"/>
      <c r="G20" s="4"/>
      <c r="H20" s="4">
        <f t="shared" si="0"/>
        <v>0</v>
      </c>
      <c r="I20" s="4"/>
      <c r="J20" s="22">
        <f t="shared" si="1"/>
        <v>4.3906943999999948</v>
      </c>
      <c r="K20" s="22">
        <f t="shared" si="2"/>
        <v>4.3906943999999948</v>
      </c>
      <c r="L20" s="4">
        <f t="shared" si="3"/>
        <v>5.0229919999999995</v>
      </c>
      <c r="M20" s="4">
        <f t="shared" si="6"/>
        <v>5.6000000000000005</v>
      </c>
      <c r="N20" s="4">
        <f t="shared" si="4"/>
        <v>67.135999999999996</v>
      </c>
      <c r="O20" s="4">
        <f t="shared" si="5"/>
        <v>82.149686399999993</v>
      </c>
      <c r="P20" s="12"/>
      <c r="Q20" s="24">
        <v>1.0653999999999999</v>
      </c>
    </row>
    <row r="21" spans="1:20" x14ac:dyDescent="0.25">
      <c r="A21">
        <v>12</v>
      </c>
      <c r="B21" t="s">
        <v>13</v>
      </c>
      <c r="C21" s="12"/>
      <c r="D21" s="12"/>
      <c r="E21" s="12"/>
      <c r="F21" s="22"/>
      <c r="G21" s="4"/>
      <c r="H21" s="4">
        <f t="shared" si="0"/>
        <v>0</v>
      </c>
      <c r="I21" s="4"/>
      <c r="J21" s="22">
        <f t="shared" si="1"/>
        <v>4.7666559999999958</v>
      </c>
      <c r="K21" s="22">
        <f t="shared" si="2"/>
        <v>4.7666559999999958</v>
      </c>
      <c r="L21" s="4">
        <f t="shared" si="3"/>
        <v>5.0480799999999997</v>
      </c>
      <c r="M21" s="4">
        <f t="shared" si="6"/>
        <v>5.6000000000000005</v>
      </c>
      <c r="N21" s="4">
        <f t="shared" si="4"/>
        <v>67.135999999999996</v>
      </c>
      <c r="O21" s="4">
        <f t="shared" si="5"/>
        <v>82.550736000000001</v>
      </c>
      <c r="P21" s="12"/>
      <c r="Q21" s="24">
        <v>1.071</v>
      </c>
    </row>
    <row r="22" spans="1:20" ht="18" x14ac:dyDescent="0.25">
      <c r="A22">
        <v>13</v>
      </c>
      <c r="B22" s="13" t="s">
        <v>105</v>
      </c>
      <c r="C22" s="12"/>
      <c r="D22" s="12" t="s">
        <v>100</v>
      </c>
      <c r="E22" s="71" t="s">
        <v>264</v>
      </c>
      <c r="F22" s="22">
        <f>13.7+1.44+0.79</f>
        <v>15.93</v>
      </c>
      <c r="G22" s="4">
        <f>$F$5*(0.0128+0.0014-0.0021+0.0004-0.0008)</f>
        <v>9.36</v>
      </c>
      <c r="H22" s="4">
        <f t="shared" si="0"/>
        <v>25.29</v>
      </c>
      <c r="I22" s="4">
        <f>(0.0069+0.0052)*$F$5*Q22</f>
        <v>10.240472</v>
      </c>
      <c r="J22" s="22">
        <f t="shared" si="1"/>
        <v>3.8871744000000041</v>
      </c>
      <c r="K22" s="22">
        <f t="shared" si="2"/>
        <v>39.41764640000001</v>
      </c>
      <c r="L22" s="4">
        <f t="shared" si="3"/>
        <v>4.9893920000000005</v>
      </c>
      <c r="M22" s="4">
        <f t="shared" si="6"/>
        <v>5.6000000000000005</v>
      </c>
      <c r="N22" s="4">
        <f t="shared" si="4"/>
        <v>67.135999999999996</v>
      </c>
      <c r="O22" s="4">
        <f t="shared" si="5"/>
        <v>117.14303840000001</v>
      </c>
      <c r="P22" s="12"/>
      <c r="Q22" s="24">
        <v>1.0579000000000001</v>
      </c>
      <c r="S22" s="4">
        <f>K22-J22</f>
        <v>35.530472000000003</v>
      </c>
      <c r="T22" s="75" t="s">
        <v>102</v>
      </c>
    </row>
    <row r="23" spans="1:20" ht="18" x14ac:dyDescent="0.25">
      <c r="A23">
        <v>14</v>
      </c>
      <c r="B23" s="13" t="s">
        <v>14</v>
      </c>
      <c r="C23" s="12"/>
      <c r="D23" s="12" t="s">
        <v>92</v>
      </c>
      <c r="E23" s="71" t="s">
        <v>264</v>
      </c>
      <c r="F23" s="22">
        <f>12.72+0.79-0.94+1.47</f>
        <v>14.040000000000003</v>
      </c>
      <c r="G23" s="4">
        <f>$F$5*(0.009+0.0012-0.0075-0.0008+0.0007)</f>
        <v>2.0799999999999996</v>
      </c>
      <c r="H23" s="4">
        <f t="shared" si="0"/>
        <v>16.12</v>
      </c>
      <c r="I23" s="4">
        <f>(0.0058+0.0046)*$F$5*Q23</f>
        <v>8.9939199999999992</v>
      </c>
      <c r="J23" s="22">
        <f t="shared" si="1"/>
        <v>5.4380159999999957</v>
      </c>
      <c r="K23" s="22">
        <f t="shared" si="2"/>
        <v>30.551935999999998</v>
      </c>
      <c r="L23" s="4">
        <f t="shared" si="3"/>
        <v>5.0928800000000001</v>
      </c>
      <c r="M23" s="4">
        <f t="shared" si="6"/>
        <v>5.6000000000000005</v>
      </c>
      <c r="N23" s="4">
        <f t="shared" si="4"/>
        <v>67.135999999999996</v>
      </c>
      <c r="O23" s="4">
        <f t="shared" si="5"/>
        <v>108.380816</v>
      </c>
      <c r="P23" s="12"/>
      <c r="Q23" s="24">
        <v>1.081</v>
      </c>
      <c r="S23" s="4">
        <f>K23-J23</f>
        <v>25.11392</v>
      </c>
      <c r="T23" s="75" t="s">
        <v>102</v>
      </c>
    </row>
    <row r="24" spans="1:20" ht="18" x14ac:dyDescent="0.25">
      <c r="A24">
        <v>15</v>
      </c>
      <c r="B24" s="13" t="s">
        <v>15</v>
      </c>
      <c r="C24" s="12"/>
      <c r="D24" s="12" t="s">
        <v>92</v>
      </c>
      <c r="E24" s="71" t="s">
        <v>261</v>
      </c>
      <c r="F24" s="22">
        <f>12.83-0.77+1.73</f>
        <v>13.790000000000001</v>
      </c>
      <c r="G24" s="4">
        <f>$F$5*(0.0129+0.0002-0.0011-0.0001+0.0003)</f>
        <v>9.76</v>
      </c>
      <c r="H24" s="4">
        <f t="shared" si="0"/>
        <v>23.55</v>
      </c>
      <c r="I24" s="4">
        <f>(0.0073+0.0057)*$F$5*Q24</f>
        <v>10.7744</v>
      </c>
      <c r="J24" s="22">
        <f t="shared" si="1"/>
        <v>2.4168960000000057</v>
      </c>
      <c r="K24" s="22">
        <f t="shared" si="2"/>
        <v>36.741296000000006</v>
      </c>
      <c r="L24" s="17">
        <f>$F$5*Q24*(0.0052+0.0011)+0.25</f>
        <v>5.4714400000000003</v>
      </c>
      <c r="M24" s="4">
        <f t="shared" si="6"/>
        <v>5.6000000000000005</v>
      </c>
      <c r="N24" s="4">
        <f t="shared" si="4"/>
        <v>67.135999999999996</v>
      </c>
      <c r="O24" s="4">
        <f t="shared" si="5"/>
        <v>114.948736</v>
      </c>
      <c r="P24" s="12"/>
      <c r="Q24" s="24">
        <v>1.036</v>
      </c>
      <c r="S24" s="4">
        <f>K24-J24</f>
        <v>34.324399999999997</v>
      </c>
      <c r="T24" s="99" t="s">
        <v>102</v>
      </c>
    </row>
    <row r="25" spans="1:20" x14ac:dyDescent="0.25">
      <c r="A25">
        <v>16</v>
      </c>
      <c r="B25" t="s">
        <v>16</v>
      </c>
      <c r="C25" s="12"/>
      <c r="D25" s="12"/>
      <c r="E25" s="12"/>
      <c r="F25" s="22"/>
      <c r="G25" s="22"/>
      <c r="H25" s="4">
        <f t="shared" si="0"/>
        <v>0</v>
      </c>
      <c r="I25" s="4"/>
      <c r="J25" s="22">
        <f t="shared" si="1"/>
        <v>2.8734208000000008</v>
      </c>
      <c r="K25" s="22">
        <f t="shared" si="2"/>
        <v>2.8734208000000008</v>
      </c>
      <c r="L25" s="4">
        <f t="shared" si="3"/>
        <v>4.9217440000000003</v>
      </c>
      <c r="M25" s="4">
        <f t="shared" si="6"/>
        <v>5.6000000000000005</v>
      </c>
      <c r="N25" s="4">
        <f t="shared" si="4"/>
        <v>67.135999999999996</v>
      </c>
      <c r="O25" s="4">
        <f t="shared" si="5"/>
        <v>80.531164799999999</v>
      </c>
      <c r="P25" s="12"/>
      <c r="Q25" s="24">
        <v>1.0427999999999999</v>
      </c>
    </row>
    <row r="26" spans="1:20" x14ac:dyDescent="0.25">
      <c r="A26">
        <v>16</v>
      </c>
      <c r="B26" t="s">
        <v>17</v>
      </c>
      <c r="C26" s="12"/>
      <c r="D26" s="12"/>
      <c r="E26" s="12"/>
      <c r="F26" s="22"/>
      <c r="G26" s="22"/>
      <c r="H26" s="4">
        <f t="shared" si="0"/>
        <v>0</v>
      </c>
      <c r="I26" s="4"/>
      <c r="J26" s="22">
        <f t="shared" si="1"/>
        <v>4.0818687999999987</v>
      </c>
      <c r="K26" s="22">
        <f t="shared" si="2"/>
        <v>4.0818687999999987</v>
      </c>
      <c r="L26" s="4">
        <f t="shared" si="3"/>
        <v>5.0023840000000002</v>
      </c>
      <c r="M26" s="4">
        <f t="shared" si="6"/>
        <v>5.6000000000000005</v>
      </c>
      <c r="N26" s="4">
        <f t="shared" si="4"/>
        <v>67.135999999999996</v>
      </c>
      <c r="O26" s="4">
        <f t="shared" si="5"/>
        <v>81.820252799999992</v>
      </c>
      <c r="P26" s="12"/>
      <c r="Q26" s="24">
        <v>1.0608</v>
      </c>
    </row>
    <row r="27" spans="1:20" x14ac:dyDescent="0.25">
      <c r="A27">
        <v>16</v>
      </c>
      <c r="B27" t="s">
        <v>18</v>
      </c>
      <c r="C27" s="12"/>
      <c r="D27" s="12"/>
      <c r="E27" s="12"/>
      <c r="F27" s="22"/>
      <c r="G27" s="22"/>
      <c r="H27" s="4">
        <f t="shared" si="0"/>
        <v>0</v>
      </c>
      <c r="I27" s="4"/>
      <c r="J27" s="22">
        <f t="shared" si="1"/>
        <v>4.4444032000000027</v>
      </c>
      <c r="K27" s="22">
        <f t="shared" si="2"/>
        <v>4.4444032000000027</v>
      </c>
      <c r="L27" s="4">
        <f t="shared" si="3"/>
        <v>5.0265760000000004</v>
      </c>
      <c r="M27" s="4">
        <f t="shared" si="6"/>
        <v>5.6000000000000005</v>
      </c>
      <c r="N27" s="4">
        <f t="shared" si="4"/>
        <v>67.135999999999996</v>
      </c>
      <c r="O27" s="4">
        <f t="shared" si="5"/>
        <v>82.206979200000006</v>
      </c>
      <c r="P27" s="12"/>
      <c r="Q27" s="24">
        <v>1.0662</v>
      </c>
    </row>
    <row r="28" spans="1:20" x14ac:dyDescent="0.25">
      <c r="A28">
        <v>16</v>
      </c>
      <c r="B28" t="s">
        <v>19</v>
      </c>
      <c r="C28" s="12"/>
      <c r="D28" s="12"/>
      <c r="E28" s="12"/>
      <c r="F28" s="22"/>
      <c r="G28" s="22"/>
      <c r="H28" s="4">
        <f t="shared" si="0"/>
        <v>0</v>
      </c>
      <c r="I28" s="4"/>
      <c r="J28" s="22">
        <f t="shared" si="1"/>
        <v>3.8938880000000076</v>
      </c>
      <c r="K28" s="22">
        <f t="shared" si="2"/>
        <v>3.8938880000000076</v>
      </c>
      <c r="L28" s="4">
        <f t="shared" si="3"/>
        <v>4.9898400000000001</v>
      </c>
      <c r="M28" s="4">
        <f t="shared" si="6"/>
        <v>5.6000000000000005</v>
      </c>
      <c r="N28" s="4">
        <f t="shared" si="4"/>
        <v>67.135999999999996</v>
      </c>
      <c r="O28" s="4">
        <f t="shared" si="5"/>
        <v>81.619728000000009</v>
      </c>
      <c r="P28" s="12"/>
      <c r="Q28" s="24">
        <v>1.0580000000000001</v>
      </c>
    </row>
    <row r="29" spans="1:20" ht="18" x14ac:dyDescent="0.25">
      <c r="A29">
        <v>17</v>
      </c>
      <c r="B29" s="13" t="s">
        <v>20</v>
      </c>
      <c r="C29" s="12"/>
      <c r="D29" s="12" t="s">
        <v>100</v>
      </c>
      <c r="E29" s="71" t="s">
        <v>264</v>
      </c>
      <c r="F29" s="22">
        <f>10.82+0.79</f>
        <v>11.61</v>
      </c>
      <c r="G29" s="4">
        <f>$F$5*(0.0202+0.0013-0.0003)</f>
        <v>16.959999999999997</v>
      </c>
      <c r="H29" s="4">
        <f t="shared" si="0"/>
        <v>28.569999999999997</v>
      </c>
      <c r="I29" s="4">
        <f>(0.0079+0.0045)*$F$5*Q29</f>
        <v>10.293984000000002</v>
      </c>
      <c r="J29" s="22">
        <f t="shared" si="1"/>
        <v>2.5310272000000067</v>
      </c>
      <c r="K29" s="22">
        <f t="shared" si="2"/>
        <v>41.395011200000006</v>
      </c>
      <c r="L29" s="4">
        <f t="shared" si="3"/>
        <v>4.8988960000000006</v>
      </c>
      <c r="M29" s="4">
        <f t="shared" si="6"/>
        <v>5.6000000000000005</v>
      </c>
      <c r="N29" s="4">
        <f t="shared" si="4"/>
        <v>67.135999999999996</v>
      </c>
      <c r="O29" s="4">
        <f t="shared" si="5"/>
        <v>119.0299072</v>
      </c>
      <c r="P29" s="12"/>
      <c r="Q29" s="24">
        <v>1.0377000000000001</v>
      </c>
      <c r="S29" s="4">
        <f>K29-J29</f>
        <v>38.863984000000002</v>
      </c>
      <c r="T29" s="75" t="s">
        <v>102</v>
      </c>
    </row>
    <row r="30" spans="1:20" x14ac:dyDescent="0.25">
      <c r="A30">
        <v>18</v>
      </c>
      <c r="B30" t="s">
        <v>21</v>
      </c>
      <c r="C30" s="12"/>
      <c r="D30" s="12"/>
      <c r="E30" s="12"/>
      <c r="F30" s="22"/>
      <c r="G30" s="22"/>
      <c r="H30" s="4">
        <f t="shared" si="0"/>
        <v>0</v>
      </c>
      <c r="I30" s="4"/>
      <c r="J30" s="22">
        <f t="shared" si="1"/>
        <v>3.0278335999999939</v>
      </c>
      <c r="K30" s="22">
        <f t="shared" si="2"/>
        <v>3.0278335999999939</v>
      </c>
      <c r="L30" s="4">
        <f t="shared" si="3"/>
        <v>4.932048</v>
      </c>
      <c r="M30" s="4">
        <f t="shared" si="6"/>
        <v>5.6000000000000005</v>
      </c>
      <c r="N30" s="4">
        <f t="shared" si="4"/>
        <v>67.135999999999996</v>
      </c>
      <c r="O30" s="4">
        <f t="shared" si="5"/>
        <v>80.695881599999993</v>
      </c>
      <c r="P30" s="12"/>
      <c r="Q30" s="24">
        <v>1.0450999999999999</v>
      </c>
    </row>
    <row r="31" spans="1:20" x14ac:dyDescent="0.25">
      <c r="A31">
        <v>18</v>
      </c>
      <c r="B31" t="s">
        <v>22</v>
      </c>
      <c r="C31" s="12"/>
      <c r="D31" s="12"/>
      <c r="E31" s="12"/>
      <c r="F31" s="22"/>
      <c r="G31" s="22"/>
      <c r="H31" s="4">
        <f t="shared" si="0"/>
        <v>0</v>
      </c>
      <c r="I31" s="4"/>
      <c r="J31" s="22">
        <f t="shared" si="1"/>
        <v>3.0278335999999939</v>
      </c>
      <c r="K31" s="22">
        <f t="shared" si="2"/>
        <v>3.0278335999999939</v>
      </c>
      <c r="L31" s="4">
        <f t="shared" si="3"/>
        <v>4.932048</v>
      </c>
      <c r="M31" s="4">
        <f t="shared" si="6"/>
        <v>5.6000000000000005</v>
      </c>
      <c r="N31" s="4">
        <f t="shared" si="4"/>
        <v>67.135999999999996</v>
      </c>
      <c r="O31" s="4">
        <f t="shared" si="5"/>
        <v>80.695881599999993</v>
      </c>
      <c r="P31" s="12"/>
      <c r="Q31" s="24">
        <v>1.0450999999999999</v>
      </c>
    </row>
    <row r="32" spans="1:20" x14ac:dyDescent="0.25">
      <c r="B32" s="12" t="s">
        <v>23</v>
      </c>
      <c r="C32" s="12"/>
      <c r="D32" s="12"/>
      <c r="E32" s="12"/>
      <c r="F32" s="22"/>
      <c r="G32" s="22"/>
      <c r="H32" s="4">
        <f t="shared" si="0"/>
        <v>0</v>
      </c>
      <c r="I32" s="4"/>
      <c r="J32" s="22">
        <f t="shared" si="1"/>
        <v>3.0278335999999939</v>
      </c>
      <c r="K32" s="22">
        <f t="shared" si="2"/>
        <v>3.0278335999999939</v>
      </c>
      <c r="L32" s="4">
        <f t="shared" si="3"/>
        <v>4.932048</v>
      </c>
      <c r="M32" s="4">
        <f t="shared" si="6"/>
        <v>5.6000000000000005</v>
      </c>
      <c r="N32" s="4">
        <f t="shared" si="4"/>
        <v>67.135999999999996</v>
      </c>
      <c r="O32" s="4">
        <f t="shared" si="5"/>
        <v>80.695881599999993</v>
      </c>
      <c r="P32" s="12"/>
      <c r="Q32" s="24">
        <v>1.0450999999999999</v>
      </c>
    </row>
    <row r="33" spans="1:20" ht="18" x14ac:dyDescent="0.25">
      <c r="A33">
        <v>19</v>
      </c>
      <c r="B33" s="13" t="s">
        <v>24</v>
      </c>
      <c r="C33" s="12"/>
      <c r="D33" s="12" t="s">
        <v>100</v>
      </c>
      <c r="E33" s="71" t="s">
        <v>264</v>
      </c>
      <c r="F33" s="22">
        <f>13.66+1.12+0.52+0.79</f>
        <v>16.09</v>
      </c>
      <c r="G33" s="4">
        <f>$F$5*(0.0165+0.0037+0.0004+0.0012+0.005)</f>
        <v>21.440000000000005</v>
      </c>
      <c r="H33" s="4">
        <f t="shared" si="0"/>
        <v>37.53</v>
      </c>
      <c r="I33" s="4">
        <f>(0.0061+0.004)*$F$5*Q33</f>
        <v>8.6350960000000025</v>
      </c>
      <c r="J33" s="22">
        <f t="shared" si="1"/>
        <v>4.6122432000000027</v>
      </c>
      <c r="K33" s="22">
        <f t="shared" si="2"/>
        <v>50.777339200000007</v>
      </c>
      <c r="L33" s="4">
        <f t="shared" si="3"/>
        <v>5.037776</v>
      </c>
      <c r="M33" s="4">
        <f t="shared" si="6"/>
        <v>5.6000000000000005</v>
      </c>
      <c r="N33" s="4">
        <f t="shared" si="4"/>
        <v>67.135999999999996</v>
      </c>
      <c r="O33" s="4">
        <f t="shared" si="5"/>
        <v>128.5511152</v>
      </c>
      <c r="P33" s="12"/>
      <c r="Q33" s="24">
        <v>1.0687</v>
      </c>
      <c r="S33" s="4">
        <f>K33-J33</f>
        <v>46.165096000000005</v>
      </c>
      <c r="T33" s="75" t="s">
        <v>102</v>
      </c>
    </row>
    <row r="34" spans="1:20" ht="18" x14ac:dyDescent="0.25">
      <c r="A34">
        <v>20</v>
      </c>
      <c r="B34" s="13" t="s">
        <v>25</v>
      </c>
      <c r="C34" s="12"/>
      <c r="D34" s="12" t="s">
        <v>98</v>
      </c>
      <c r="E34" s="71" t="s">
        <v>264</v>
      </c>
      <c r="F34" s="22">
        <f>12.74+0.79</f>
        <v>13.530000000000001</v>
      </c>
      <c r="G34" s="4">
        <f>$F$5*(0.015+0.001-0.0008-0.0002)</f>
        <v>12</v>
      </c>
      <c r="H34" s="4">
        <f t="shared" si="0"/>
        <v>25.53</v>
      </c>
      <c r="I34" s="4">
        <f>(0.0081+0.0081)*$F$5*Q34</f>
        <v>13.740191999999999</v>
      </c>
      <c r="J34" s="22">
        <f t="shared" si="1"/>
        <v>4.0415872000000066</v>
      </c>
      <c r="K34" s="22">
        <f t="shared" si="2"/>
        <v>43.311779200000011</v>
      </c>
      <c r="L34" s="4">
        <f t="shared" si="3"/>
        <v>4.9996960000000001</v>
      </c>
      <c r="M34" s="4">
        <f t="shared" si="6"/>
        <v>5.6000000000000005</v>
      </c>
      <c r="N34" s="4">
        <f t="shared" si="4"/>
        <v>67.135999999999996</v>
      </c>
      <c r="O34" s="4">
        <f t="shared" si="5"/>
        <v>121.04747520000001</v>
      </c>
      <c r="P34" s="12"/>
      <c r="Q34" s="24">
        <v>1.0602</v>
      </c>
      <c r="S34" s="4">
        <f>K34-J34</f>
        <v>39.270192000000002</v>
      </c>
      <c r="T34" s="75" t="s">
        <v>102</v>
      </c>
    </row>
    <row r="35" spans="1:20" x14ac:dyDescent="0.25">
      <c r="A35">
        <v>21</v>
      </c>
      <c r="B35" t="s">
        <v>26</v>
      </c>
      <c r="C35" s="12"/>
      <c r="D35" s="12"/>
      <c r="E35" s="12"/>
      <c r="F35" s="22"/>
      <c r="G35" s="22"/>
      <c r="H35" s="4">
        <f t="shared" si="0"/>
        <v>0</v>
      </c>
      <c r="I35" s="4"/>
      <c r="J35" s="22">
        <f t="shared" si="1"/>
        <v>2.0610751999999954</v>
      </c>
      <c r="K35" s="22">
        <f t="shared" si="2"/>
        <v>2.0610751999999954</v>
      </c>
      <c r="L35" s="4">
        <f t="shared" si="3"/>
        <v>4.8675359999999994</v>
      </c>
      <c r="M35" s="4">
        <f t="shared" si="6"/>
        <v>5.6000000000000005</v>
      </c>
      <c r="N35" s="4">
        <f t="shared" si="4"/>
        <v>67.135999999999996</v>
      </c>
      <c r="O35" s="4">
        <f t="shared" si="5"/>
        <v>79.664611199999996</v>
      </c>
      <c r="P35" s="12"/>
      <c r="Q35" s="24">
        <v>1.0306999999999999</v>
      </c>
    </row>
    <row r="36" spans="1:20" x14ac:dyDescent="0.25">
      <c r="B36" t="s">
        <v>27</v>
      </c>
      <c r="C36" s="12"/>
      <c r="D36" s="12"/>
      <c r="E36" s="12"/>
      <c r="F36" s="22"/>
      <c r="G36" s="22"/>
      <c r="H36" s="4">
        <f t="shared" si="0"/>
        <v>0</v>
      </c>
      <c r="I36" s="4"/>
      <c r="J36" s="22">
        <f t="shared" si="1"/>
        <v>2.0610751999999954</v>
      </c>
      <c r="K36" s="22">
        <f t="shared" si="2"/>
        <v>2.0610751999999954</v>
      </c>
      <c r="L36" s="4">
        <f t="shared" si="3"/>
        <v>4.8675359999999994</v>
      </c>
      <c r="M36" s="4">
        <f t="shared" si="6"/>
        <v>5.6000000000000005</v>
      </c>
      <c r="N36" s="4">
        <f t="shared" si="4"/>
        <v>67.135999999999996</v>
      </c>
      <c r="O36" s="4">
        <f t="shared" si="5"/>
        <v>79.664611199999996</v>
      </c>
      <c r="P36" s="12"/>
      <c r="Q36" s="24">
        <v>1.0306999999999999</v>
      </c>
    </row>
    <row r="37" spans="1:20" x14ac:dyDescent="0.25">
      <c r="A37">
        <v>22</v>
      </c>
      <c r="B37" t="s">
        <v>28</v>
      </c>
      <c r="C37" s="12"/>
      <c r="D37" s="12"/>
      <c r="E37" s="12"/>
      <c r="F37" s="22"/>
      <c r="G37" s="22"/>
      <c r="H37" s="22"/>
      <c r="I37" s="12"/>
      <c r="J37" s="12"/>
      <c r="K37" s="12"/>
      <c r="L37" s="12"/>
      <c r="M37" s="4">
        <f t="shared" si="6"/>
        <v>5.6000000000000005</v>
      </c>
      <c r="N37" s="12"/>
      <c r="O37" s="12"/>
      <c r="P37" s="12"/>
      <c r="Q37" s="12"/>
    </row>
    <row r="38" spans="1:20" x14ac:dyDescent="0.25">
      <c r="A38">
        <v>23</v>
      </c>
      <c r="B38" t="s">
        <v>106</v>
      </c>
      <c r="C38" s="12"/>
      <c r="D38" s="12"/>
      <c r="E38" s="12"/>
      <c r="F38" s="22"/>
      <c r="G38" s="22"/>
      <c r="H38" s="4">
        <f t="shared" ref="H38:H51" si="7">F38+G38</f>
        <v>0</v>
      </c>
      <c r="I38" s="4"/>
      <c r="J38" s="22">
        <f t="shared" ref="J38:J52" si="8">(Q38*$F$5-$F$5)*$S$5</f>
        <v>3.155391999999992</v>
      </c>
      <c r="K38" s="22">
        <f t="shared" ref="K38:K52" si="9">H38+I38+J38</f>
        <v>3.155391999999992</v>
      </c>
      <c r="L38" s="4">
        <f t="shared" ref="L38:L48" si="10">$F$5*Q38*(0.0044+0.0012)+0.25</f>
        <v>4.9405599999999996</v>
      </c>
      <c r="M38" s="20">
        <f>0.0047*$F$5</f>
        <v>3.7600000000000002</v>
      </c>
      <c r="N38" s="29">
        <f>$F$5*($S$5-0.0175)</f>
        <v>53.135999999999996</v>
      </c>
      <c r="O38" s="4">
        <f t="shared" si="5"/>
        <v>64.991951999999984</v>
      </c>
      <c r="P38" s="12"/>
      <c r="Q38" s="24">
        <v>1.0469999999999999</v>
      </c>
    </row>
    <row r="39" spans="1:20" x14ac:dyDescent="0.25">
      <c r="A39">
        <v>24</v>
      </c>
      <c r="B39" t="s">
        <v>29</v>
      </c>
      <c r="C39" s="12"/>
      <c r="D39" s="12"/>
      <c r="E39" s="12"/>
      <c r="F39" s="22"/>
      <c r="G39" s="22"/>
      <c r="H39" s="4">
        <f t="shared" si="7"/>
        <v>0</v>
      </c>
      <c r="I39" s="4"/>
      <c r="J39" s="22">
        <f t="shared" si="8"/>
        <v>3.6253440000000037</v>
      </c>
      <c r="K39" s="22">
        <f t="shared" si="9"/>
        <v>3.6253440000000037</v>
      </c>
      <c r="L39" s="4">
        <f t="shared" si="10"/>
        <v>4.9719199999999999</v>
      </c>
      <c r="M39" s="4">
        <f t="shared" ref="M39:M44" si="11">0.007*$F$5</f>
        <v>5.6000000000000005</v>
      </c>
      <c r="N39" s="4">
        <f t="shared" ref="N39:N52" si="12">$F$5*$S$5</f>
        <v>67.135999999999996</v>
      </c>
      <c r="O39" s="4">
        <f t="shared" si="5"/>
        <v>81.333264</v>
      </c>
      <c r="P39" s="12"/>
      <c r="Q39" s="24">
        <v>1.054</v>
      </c>
    </row>
    <row r="40" spans="1:20" x14ac:dyDescent="0.25">
      <c r="A40">
        <v>25</v>
      </c>
      <c r="B40" t="s">
        <v>30</v>
      </c>
      <c r="C40" s="12"/>
      <c r="D40" s="12"/>
      <c r="E40" s="12"/>
      <c r="F40" s="22"/>
      <c r="G40" s="22"/>
      <c r="H40" s="4">
        <f t="shared" si="7"/>
        <v>0</v>
      </c>
      <c r="I40" s="4"/>
      <c r="J40" s="22">
        <f t="shared" si="8"/>
        <v>3.5313535999999939</v>
      </c>
      <c r="K40" s="22">
        <f t="shared" si="9"/>
        <v>3.5313535999999939</v>
      </c>
      <c r="L40" s="4">
        <f t="shared" si="10"/>
        <v>4.9656479999999998</v>
      </c>
      <c r="M40" s="4">
        <f t="shared" si="11"/>
        <v>5.6000000000000005</v>
      </c>
      <c r="N40" s="4">
        <f t="shared" si="12"/>
        <v>67.135999999999996</v>
      </c>
      <c r="O40" s="4">
        <f t="shared" si="5"/>
        <v>81.233001599999994</v>
      </c>
      <c r="P40" s="12"/>
      <c r="Q40" s="24">
        <v>1.0526</v>
      </c>
    </row>
    <row r="41" spans="1:20" ht="18" x14ac:dyDescent="0.25">
      <c r="A41">
        <v>26</v>
      </c>
      <c r="B41" s="13" t="s">
        <v>31</v>
      </c>
      <c r="C41" s="12"/>
      <c r="D41" s="12" t="s">
        <v>98</v>
      </c>
      <c r="E41" s="71" t="s">
        <v>261</v>
      </c>
      <c r="F41" s="22">
        <f>14.1+0.1+0.14+0.73-0.18</f>
        <v>14.89</v>
      </c>
      <c r="G41" s="4">
        <f>$F$5*(0.0172-0.0027+0.0007+0.0003)</f>
        <v>12.399999999999999</v>
      </c>
      <c r="H41" s="4">
        <f t="shared" si="7"/>
        <v>27.29</v>
      </c>
      <c r="I41" s="4">
        <f>(0.007+0.0054)*$F$5*Q41</f>
        <v>10.127328</v>
      </c>
      <c r="J41" s="22">
        <f t="shared" si="8"/>
        <v>1.4031423999999926</v>
      </c>
      <c r="K41" s="22">
        <f t="shared" si="9"/>
        <v>38.820470399999991</v>
      </c>
      <c r="L41" s="17">
        <f>$F$5*Q41*(0.0052+0.0011)+0.25</f>
        <v>5.3953359999999995</v>
      </c>
      <c r="M41" s="4">
        <f t="shared" si="11"/>
        <v>5.6000000000000005</v>
      </c>
      <c r="N41" s="4">
        <f t="shared" si="12"/>
        <v>67.135999999999996</v>
      </c>
      <c r="O41" s="4">
        <f t="shared" si="5"/>
        <v>116.95180639999998</v>
      </c>
      <c r="P41" s="12"/>
      <c r="Q41" s="24">
        <v>1.0208999999999999</v>
      </c>
      <c r="S41" s="4">
        <f>K41-J41</f>
        <v>37.417327999999998</v>
      </c>
      <c r="T41" s="99" t="s">
        <v>102</v>
      </c>
    </row>
    <row r="42" spans="1:20" x14ac:dyDescent="0.25">
      <c r="A42">
        <v>27</v>
      </c>
      <c r="B42" t="s">
        <v>107</v>
      </c>
      <c r="C42" s="12"/>
      <c r="D42" s="12"/>
      <c r="E42" s="12"/>
      <c r="F42" s="22"/>
      <c r="G42" s="22"/>
      <c r="H42" s="4">
        <f t="shared" si="7"/>
        <v>0</v>
      </c>
      <c r="I42" s="4"/>
      <c r="J42" s="22">
        <f t="shared" si="8"/>
        <v>4.397407999999988</v>
      </c>
      <c r="K42" s="22">
        <f t="shared" si="9"/>
        <v>4.397407999999988</v>
      </c>
      <c r="L42" s="4">
        <f t="shared" si="10"/>
        <v>5.023439999999999</v>
      </c>
      <c r="M42" s="4">
        <f t="shared" si="11"/>
        <v>5.6000000000000005</v>
      </c>
      <c r="N42" s="4">
        <f t="shared" si="12"/>
        <v>67.135999999999996</v>
      </c>
      <c r="O42" s="4">
        <f t="shared" si="5"/>
        <v>82.156847999999982</v>
      </c>
      <c r="P42" s="12"/>
      <c r="Q42" s="24">
        <v>1.0654999999999999</v>
      </c>
    </row>
    <row r="43" spans="1:20" ht="18" x14ac:dyDescent="0.25">
      <c r="A43">
        <v>28</v>
      </c>
      <c r="B43" s="13" t="s">
        <v>32</v>
      </c>
      <c r="C43" s="12"/>
      <c r="D43" s="12" t="s">
        <v>98</v>
      </c>
      <c r="E43" s="71" t="s">
        <v>264</v>
      </c>
      <c r="F43" s="22">
        <f>12.31+1.31+1.13+0.79</f>
        <v>15.54</v>
      </c>
      <c r="G43" s="4">
        <f>$F$5*(0.0116+0.0012-0.0018+0.0007)</f>
        <v>9.36</v>
      </c>
      <c r="H43" s="4">
        <f t="shared" si="7"/>
        <v>24.9</v>
      </c>
      <c r="I43" s="4">
        <f>(0.0067+0.0049)*$F$5*Q43</f>
        <v>9.8386560000000003</v>
      </c>
      <c r="J43" s="22">
        <f t="shared" si="8"/>
        <v>4.0415872000000066</v>
      </c>
      <c r="K43" s="22">
        <f t="shared" si="9"/>
        <v>38.780243200000008</v>
      </c>
      <c r="L43" s="4">
        <f t="shared" si="10"/>
        <v>4.9996960000000001</v>
      </c>
      <c r="M43" s="4">
        <f t="shared" si="11"/>
        <v>5.6000000000000005</v>
      </c>
      <c r="N43" s="4">
        <f t="shared" si="12"/>
        <v>67.135999999999996</v>
      </c>
      <c r="O43" s="4">
        <f t="shared" si="5"/>
        <v>116.51593920000001</v>
      </c>
      <c r="P43" s="12"/>
      <c r="Q43" s="24">
        <v>1.0602</v>
      </c>
      <c r="S43" s="4">
        <f>K43-J43</f>
        <v>34.738655999999999</v>
      </c>
      <c r="T43" s="75" t="s">
        <v>102</v>
      </c>
    </row>
    <row r="44" spans="1:20" x14ac:dyDescent="0.25">
      <c r="A44">
        <v>29</v>
      </c>
      <c r="B44" t="s">
        <v>33</v>
      </c>
      <c r="C44" s="12"/>
      <c r="D44" s="12"/>
      <c r="E44" s="12"/>
      <c r="F44" s="22"/>
      <c r="G44" s="22"/>
      <c r="H44" s="4">
        <f t="shared" si="7"/>
        <v>0</v>
      </c>
      <c r="I44" s="4"/>
      <c r="J44" s="22">
        <f t="shared" si="8"/>
        <v>3.0882560000000057</v>
      </c>
      <c r="K44" s="22">
        <f t="shared" si="9"/>
        <v>3.0882560000000057</v>
      </c>
      <c r="L44" s="4">
        <f t="shared" si="10"/>
        <v>4.9360800000000005</v>
      </c>
      <c r="M44" s="4">
        <f t="shared" si="11"/>
        <v>5.6000000000000005</v>
      </c>
      <c r="N44" s="4">
        <f t="shared" si="12"/>
        <v>67.135999999999996</v>
      </c>
      <c r="O44" s="4">
        <f t="shared" si="5"/>
        <v>80.760335999999995</v>
      </c>
      <c r="P44" s="12"/>
      <c r="Q44" s="24">
        <v>1.046</v>
      </c>
      <c r="S44" s="4"/>
    </row>
    <row r="45" spans="1:20" ht="18" x14ac:dyDescent="0.25">
      <c r="A45">
        <v>30</v>
      </c>
      <c r="B45" s="13" t="s">
        <v>34</v>
      </c>
      <c r="C45" s="12"/>
      <c r="D45" s="12" t="s">
        <v>98</v>
      </c>
      <c r="E45" s="71" t="s">
        <v>261</v>
      </c>
      <c r="F45" s="22">
        <f>14.69+1.47+0.04</f>
        <v>16.2</v>
      </c>
      <c r="G45" s="4">
        <f>$F$5*(0.0145+0.00006-0.0014+0.0011-0.0001)</f>
        <v>11.328000000000001</v>
      </c>
      <c r="H45" s="4">
        <f t="shared" si="7"/>
        <v>27.527999999999999</v>
      </c>
      <c r="I45" s="4">
        <f>(0.007+0.0053)*$F$5*Q45</f>
        <v>10.240487999999999</v>
      </c>
      <c r="J45" s="22">
        <f t="shared" si="8"/>
        <v>2.7324351999999954</v>
      </c>
      <c r="K45" s="22">
        <f t="shared" si="9"/>
        <v>40.500923199999995</v>
      </c>
      <c r="L45" s="17">
        <f>$F$5*Q45*(0.0052+0.0011)+0.25</f>
        <v>5.4951279999999993</v>
      </c>
      <c r="M45" s="20">
        <f>(0.764*0.007+0.236*0.0068)*$F$5</f>
        <v>5.5622400000000001</v>
      </c>
      <c r="N45" s="4">
        <f t="shared" si="12"/>
        <v>67.135999999999996</v>
      </c>
      <c r="O45" s="4">
        <f t="shared" si="5"/>
        <v>118.6942912</v>
      </c>
      <c r="P45" s="12"/>
      <c r="Q45" s="24">
        <v>1.0407</v>
      </c>
      <c r="S45" s="4">
        <f>K45-J45</f>
        <v>37.768487999999998</v>
      </c>
      <c r="T45" s="99" t="s">
        <v>102</v>
      </c>
    </row>
    <row r="46" spans="1:20" ht="18" x14ac:dyDescent="0.25">
      <c r="A46">
        <v>31</v>
      </c>
      <c r="B46" s="13" t="s">
        <v>35</v>
      </c>
      <c r="C46" s="12"/>
      <c r="D46" s="12" t="s">
        <v>98</v>
      </c>
      <c r="E46" s="71" t="s">
        <v>264</v>
      </c>
      <c r="F46" s="22">
        <f>13.62+1.08+0.26+0.79</f>
        <v>15.75</v>
      </c>
      <c r="G46" s="4">
        <f>$F$5*(0.0137+0.0054-0.0039+0.0008)</f>
        <v>12.799999999999997</v>
      </c>
      <c r="H46" s="4">
        <f t="shared" si="7"/>
        <v>28.549999999999997</v>
      </c>
      <c r="I46" s="4">
        <f>(0.0064+0.0047)*$F$5*Q46</f>
        <v>9.5655359999999998</v>
      </c>
      <c r="J46" s="22">
        <f t="shared" si="8"/>
        <v>5.1828991999999987</v>
      </c>
      <c r="K46" s="22">
        <f t="shared" si="9"/>
        <v>43.2984352</v>
      </c>
      <c r="L46" s="4">
        <f t="shared" si="10"/>
        <v>5.0758559999999999</v>
      </c>
      <c r="M46" s="4">
        <f t="shared" ref="M46:M52" si="13">0.007*$F$5</f>
        <v>5.6000000000000005</v>
      </c>
      <c r="N46" s="4">
        <f t="shared" si="12"/>
        <v>67.135999999999996</v>
      </c>
      <c r="O46" s="4">
        <f t="shared" si="5"/>
        <v>121.11029120000001</v>
      </c>
      <c r="P46" s="12"/>
      <c r="Q46" s="24">
        <v>1.0771999999999999</v>
      </c>
      <c r="S46" s="4">
        <f>K46-J46</f>
        <v>38.115535999999999</v>
      </c>
      <c r="T46" s="75" t="s">
        <v>102</v>
      </c>
    </row>
    <row r="47" spans="1:20" ht="18" x14ac:dyDescent="0.25">
      <c r="A47">
        <v>32</v>
      </c>
      <c r="B47" s="13" t="s">
        <v>108</v>
      </c>
      <c r="C47" s="12"/>
      <c r="D47" s="12" t="s">
        <v>98</v>
      </c>
      <c r="E47" s="71" t="s">
        <v>264</v>
      </c>
      <c r="F47" s="22">
        <f>5.99-1.35+1.39+0.79</f>
        <v>6.82</v>
      </c>
      <c r="G47" s="4">
        <f>$F$5*(0.0081+0.0004+0.0024+0.0011)</f>
        <v>9.6</v>
      </c>
      <c r="H47" s="4">
        <f t="shared" si="7"/>
        <v>16.420000000000002</v>
      </c>
      <c r="I47" s="4">
        <f>(0.0069+0.0031)*$F$5*Q47</f>
        <v>8.3567999999999998</v>
      </c>
      <c r="J47" s="22">
        <f t="shared" si="8"/>
        <v>2.9942655999999954</v>
      </c>
      <c r="K47" s="22">
        <f t="shared" si="9"/>
        <v>27.771065599999996</v>
      </c>
      <c r="L47" s="4">
        <f t="shared" si="10"/>
        <v>4.9298079999999995</v>
      </c>
      <c r="M47" s="4">
        <f t="shared" si="13"/>
        <v>5.6000000000000005</v>
      </c>
      <c r="N47" s="4">
        <f t="shared" si="12"/>
        <v>67.135999999999996</v>
      </c>
      <c r="O47" s="4">
        <f t="shared" si="5"/>
        <v>105.43687359999998</v>
      </c>
      <c r="P47" s="12"/>
      <c r="Q47" s="24">
        <v>1.0446</v>
      </c>
      <c r="S47" s="4">
        <f>K47-J47</f>
        <v>24.776800000000001</v>
      </c>
      <c r="T47" s="75" t="s">
        <v>102</v>
      </c>
    </row>
    <row r="48" spans="1:20" x14ac:dyDescent="0.25">
      <c r="A48">
        <v>33</v>
      </c>
      <c r="B48" t="s">
        <v>36</v>
      </c>
      <c r="C48" s="12"/>
      <c r="D48" s="12"/>
      <c r="E48" s="12"/>
      <c r="F48" s="22"/>
      <c r="G48" s="22"/>
      <c r="H48" s="4">
        <f t="shared" si="7"/>
        <v>0</v>
      </c>
      <c r="I48" s="4"/>
      <c r="J48" s="22">
        <f t="shared" si="8"/>
        <v>2.3430463999999964</v>
      </c>
      <c r="K48" s="22">
        <f t="shared" si="9"/>
        <v>2.3430463999999964</v>
      </c>
      <c r="L48" s="4">
        <f t="shared" si="10"/>
        <v>4.8863519999999996</v>
      </c>
      <c r="M48" s="4">
        <f t="shared" si="13"/>
        <v>5.6000000000000005</v>
      </c>
      <c r="N48" s="4">
        <f t="shared" si="12"/>
        <v>67.135999999999996</v>
      </c>
      <c r="O48" s="4">
        <f t="shared" si="5"/>
        <v>79.965398399999998</v>
      </c>
      <c r="P48" s="12"/>
      <c r="Q48" s="24">
        <v>1.0348999999999999</v>
      </c>
    </row>
    <row r="49" spans="1:20" ht="18" x14ac:dyDescent="0.25">
      <c r="A49">
        <v>34</v>
      </c>
      <c r="B49" s="13" t="s">
        <v>37</v>
      </c>
      <c r="C49" s="12"/>
      <c r="D49" s="12" t="s">
        <v>98</v>
      </c>
      <c r="E49" s="71" t="s">
        <v>261</v>
      </c>
      <c r="F49" s="22">
        <f>23.85</f>
        <v>23.85</v>
      </c>
      <c r="G49" s="4">
        <f>$F$5*(0.03353-0.0009+0.00062+0.00051-0.00005)</f>
        <v>26.967999999999996</v>
      </c>
      <c r="H49" s="4">
        <f t="shared" si="7"/>
        <v>50.817999999999998</v>
      </c>
      <c r="I49" s="4">
        <f>(0.00707+0.00509)*$F$5*Q49</f>
        <v>10.554879999999999</v>
      </c>
      <c r="J49" s="22">
        <f t="shared" si="8"/>
        <v>5.7065599999999996</v>
      </c>
      <c r="K49" s="22">
        <f t="shared" si="9"/>
        <v>67.079439999999991</v>
      </c>
      <c r="L49" s="17">
        <f>$F$5*Q49*(0.0052+0.0011)+0.25</f>
        <v>5.7183999999999999</v>
      </c>
      <c r="M49" s="4">
        <f t="shared" si="13"/>
        <v>5.6000000000000005</v>
      </c>
      <c r="N49" s="4">
        <f t="shared" si="12"/>
        <v>67.135999999999996</v>
      </c>
      <c r="O49" s="4">
        <f t="shared" si="5"/>
        <v>145.53384</v>
      </c>
      <c r="P49" s="22"/>
      <c r="Q49" s="24">
        <v>1.085</v>
      </c>
      <c r="S49" s="4">
        <f>K49-J49</f>
        <v>61.372879999999995</v>
      </c>
      <c r="T49" s="99" t="s">
        <v>102</v>
      </c>
    </row>
    <row r="50" spans="1:20" ht="18" x14ac:dyDescent="0.25">
      <c r="A50">
        <v>34</v>
      </c>
      <c r="B50" s="13" t="s">
        <v>38</v>
      </c>
      <c r="C50" s="12"/>
      <c r="D50" s="12" t="s">
        <v>98</v>
      </c>
      <c r="E50" s="71" t="s">
        <v>261</v>
      </c>
      <c r="F50" s="22">
        <f>60.9-28.5</f>
        <v>32.4</v>
      </c>
      <c r="G50" s="4">
        <f>$F$5*(0.03683-0.00085+0.00091+0.00075-0.00008)</f>
        <v>30.048000000000009</v>
      </c>
      <c r="H50" s="4">
        <f t="shared" si="7"/>
        <v>62.448000000000008</v>
      </c>
      <c r="I50" s="4">
        <f>(0.0069+0.0048)*$F$5*Q50</f>
        <v>10.221120000000001</v>
      </c>
      <c r="J50" s="22">
        <f t="shared" si="8"/>
        <v>6.1765120000000016</v>
      </c>
      <c r="K50" s="22">
        <f t="shared" si="9"/>
        <v>78.845632000000009</v>
      </c>
      <c r="L50" s="17">
        <f>$F$5*Q50*(0.0052+0.0011)+0.25</f>
        <v>5.7536800000000001</v>
      </c>
      <c r="M50" s="4">
        <f t="shared" si="13"/>
        <v>5.6000000000000005</v>
      </c>
      <c r="N50" s="4">
        <f t="shared" si="12"/>
        <v>67.135999999999996</v>
      </c>
      <c r="O50" s="4">
        <f t="shared" si="5"/>
        <v>157.33531199999999</v>
      </c>
      <c r="P50" s="12"/>
      <c r="Q50" s="24">
        <v>1.0920000000000001</v>
      </c>
      <c r="S50" s="4">
        <f>K50-J50</f>
        <v>72.669120000000007</v>
      </c>
      <c r="T50" s="73" t="s">
        <v>101</v>
      </c>
    </row>
    <row r="51" spans="1:20" x14ac:dyDescent="0.25">
      <c r="A51">
        <v>34</v>
      </c>
      <c r="B51" t="s">
        <v>121</v>
      </c>
      <c r="C51" s="12"/>
      <c r="D51" s="12"/>
      <c r="E51" s="12"/>
      <c r="F51" s="22"/>
      <c r="G51" s="22"/>
      <c r="H51" s="4">
        <f t="shared" si="7"/>
        <v>0</v>
      </c>
      <c r="I51" s="4"/>
      <c r="J51" s="22">
        <f t="shared" si="8"/>
        <v>6.1765120000000016</v>
      </c>
      <c r="K51" s="22">
        <f t="shared" si="9"/>
        <v>6.1765120000000016</v>
      </c>
      <c r="L51" s="17">
        <f>$F$5*Q51*(0.0052+0.0011)+0.25</f>
        <v>5.7536800000000001</v>
      </c>
      <c r="M51" s="4">
        <f t="shared" si="13"/>
        <v>5.6000000000000005</v>
      </c>
      <c r="N51" s="4">
        <f t="shared" si="12"/>
        <v>67.135999999999996</v>
      </c>
      <c r="O51" s="4">
        <f t="shared" si="5"/>
        <v>84.666191999999995</v>
      </c>
      <c r="P51" s="12"/>
      <c r="Q51" s="24">
        <v>1.0920000000000001</v>
      </c>
      <c r="S51" s="4"/>
    </row>
    <row r="52" spans="1:20" ht="18" x14ac:dyDescent="0.25">
      <c r="A52">
        <v>34</v>
      </c>
      <c r="B52" s="13" t="s">
        <v>39</v>
      </c>
      <c r="C52" s="12"/>
      <c r="D52" s="12" t="s">
        <v>98</v>
      </c>
      <c r="E52" s="71" t="s">
        <v>261</v>
      </c>
      <c r="F52" s="22">
        <v>16.5</v>
      </c>
      <c r="G52" s="4">
        <f>$F$5*(0.02529-0.00093+0.00053+0.00044-0.00005)</f>
        <v>20.223999999999997</v>
      </c>
      <c r="H52" s="4">
        <f>F52+G52</f>
        <v>36.723999999999997</v>
      </c>
      <c r="I52" s="4">
        <f>(0.00696+0.005)*$F$5*Q52</f>
        <v>10.314304</v>
      </c>
      <c r="J52" s="22">
        <f t="shared" si="8"/>
        <v>5.2366080000000075</v>
      </c>
      <c r="K52" s="22">
        <f t="shared" si="9"/>
        <v>52.274912</v>
      </c>
      <c r="L52" s="17">
        <f>$F$5*Q52*(0.0052+0.0011)+0.25</f>
        <v>5.6831200000000006</v>
      </c>
      <c r="M52" s="4">
        <f t="shared" si="13"/>
        <v>5.6000000000000005</v>
      </c>
      <c r="N52" s="4">
        <f t="shared" si="12"/>
        <v>67.135999999999996</v>
      </c>
      <c r="O52" s="4">
        <f t="shared" si="5"/>
        <v>130.69403199999999</v>
      </c>
      <c r="P52" s="12"/>
      <c r="Q52" s="24">
        <v>1.0780000000000001</v>
      </c>
      <c r="S52" s="4">
        <f t="shared" ref="S52:S55" si="14">K52-J52</f>
        <v>47.038303999999997</v>
      </c>
      <c r="T52" s="99" t="s">
        <v>102</v>
      </c>
    </row>
    <row r="53" spans="1:20" x14ac:dyDescent="0.25">
      <c r="A53">
        <v>34</v>
      </c>
      <c r="B53" t="s">
        <v>40</v>
      </c>
      <c r="C53" s="12"/>
      <c r="D53" s="12"/>
      <c r="E53" s="12"/>
      <c r="F53" s="22"/>
      <c r="G53" s="22"/>
      <c r="H53" s="18"/>
      <c r="I53" s="19"/>
      <c r="J53" s="19"/>
      <c r="K53" s="19"/>
      <c r="L53" s="19"/>
      <c r="M53" s="19"/>
      <c r="N53" s="19"/>
      <c r="O53" s="4">
        <f>F53+G53</f>
        <v>0</v>
      </c>
      <c r="P53" s="12"/>
      <c r="Q53" s="12"/>
    </row>
    <row r="54" spans="1:20" ht="18" x14ac:dyDescent="0.25">
      <c r="A54">
        <v>35</v>
      </c>
      <c r="B54" s="13" t="s">
        <v>41</v>
      </c>
      <c r="C54" s="12"/>
      <c r="D54" s="12" t="s">
        <v>98</v>
      </c>
      <c r="E54" s="71" t="s">
        <v>261</v>
      </c>
      <c r="F54" s="22">
        <v>9.42</v>
      </c>
      <c r="G54" s="100">
        <f>$F$5*(0.0228+0.00006-0.0022)</f>
        <v>16.528000000000002</v>
      </c>
      <c r="H54" s="4">
        <f t="shared" ref="H54:H55" si="15">F54+G54</f>
        <v>25.948</v>
      </c>
      <c r="I54" s="4">
        <f>(0.0073+0.0042)*$F$5*Q54</f>
        <v>9.5293600000000005</v>
      </c>
      <c r="J54" s="22">
        <f>(Q54*$F$5-$F$5)*$S$5</f>
        <v>2.4034688000000082</v>
      </c>
      <c r="K54" s="22">
        <f>H54+I54+J54</f>
        <v>37.88082880000001</v>
      </c>
      <c r="L54" s="17">
        <f>$F$5*Q54*(0.0052+0.0011)+0.25</f>
        <v>5.4704320000000006</v>
      </c>
      <c r="M54" s="20">
        <f>0.00694*$F$5</f>
        <v>5.5519999999999996</v>
      </c>
      <c r="N54" s="4">
        <f>$F$5*$S$5</f>
        <v>67.135999999999996</v>
      </c>
      <c r="O54" s="4">
        <f t="shared" ref="O54:O55" si="16">K54+L54+M54+N54</f>
        <v>116.03926080000001</v>
      </c>
      <c r="P54" s="12"/>
      <c r="Q54" s="24">
        <v>1.0358000000000001</v>
      </c>
      <c r="S54" s="4">
        <f t="shared" si="14"/>
        <v>35.477360000000004</v>
      </c>
      <c r="T54" s="73" t="s">
        <v>101</v>
      </c>
    </row>
    <row r="55" spans="1:20" ht="18" x14ac:dyDescent="0.25">
      <c r="A55">
        <v>36</v>
      </c>
      <c r="B55" s="13" t="s">
        <v>42</v>
      </c>
      <c r="C55" s="12"/>
      <c r="D55" s="12" t="s">
        <v>92</v>
      </c>
      <c r="E55" s="71" t="s">
        <v>264</v>
      </c>
      <c r="F55" s="22">
        <f>19.91+0.27+0.83+0.79</f>
        <v>21.799999999999997</v>
      </c>
      <c r="G55" s="100">
        <f>$F$5*(0.0178+0.0022-0.0032-0.002)</f>
        <v>11.84</v>
      </c>
      <c r="H55" s="4">
        <f t="shared" si="15"/>
        <v>33.64</v>
      </c>
      <c r="I55" s="4">
        <f>(0.0061+0.0044)*$F$5*Q55</f>
        <v>9.00732</v>
      </c>
      <c r="J55" s="22">
        <f>(Q55*$F$5-$F$5)*$S$5</f>
        <v>4.8539328000000026</v>
      </c>
      <c r="K55" s="22">
        <f>H55+I55+J55</f>
        <v>47.501252800000003</v>
      </c>
      <c r="L55" s="4">
        <f t="shared" ref="L55" si="17">$F$5*Q55*(0.0044+0.0012)+0.25</f>
        <v>5.0539040000000002</v>
      </c>
      <c r="M55" s="4">
        <f>0.007*$F$5</f>
        <v>5.6000000000000005</v>
      </c>
      <c r="N55" s="4">
        <f>$F$5*$S$5</f>
        <v>67.135999999999996</v>
      </c>
      <c r="O55" s="4">
        <f t="shared" si="16"/>
        <v>125.29115680000001</v>
      </c>
      <c r="P55" s="12"/>
      <c r="Q55" s="24">
        <v>1.0723</v>
      </c>
      <c r="S55" s="4">
        <f t="shared" si="14"/>
        <v>42.647320000000001</v>
      </c>
      <c r="T55" s="75" t="s">
        <v>102</v>
      </c>
    </row>
    <row r="56" spans="1:20" x14ac:dyDescent="0.25">
      <c r="A56">
        <v>37</v>
      </c>
      <c r="B56" t="s">
        <v>43</v>
      </c>
      <c r="C56" s="12"/>
      <c r="D56" s="12"/>
      <c r="E56" s="12"/>
      <c r="F56" s="22"/>
      <c r="G56" s="22"/>
      <c r="H56" s="22"/>
      <c r="I56" s="12"/>
      <c r="J56" s="12"/>
      <c r="K56" s="12"/>
      <c r="L56" s="12"/>
      <c r="N56" s="12"/>
      <c r="O56" s="12"/>
      <c r="P56" s="12"/>
      <c r="Q56" s="12"/>
    </row>
    <row r="57" spans="1:20" x14ac:dyDescent="0.25">
      <c r="A57">
        <v>38</v>
      </c>
      <c r="B57" t="s">
        <v>44</v>
      </c>
      <c r="C57" s="12"/>
      <c r="D57" s="12"/>
      <c r="E57" s="12"/>
      <c r="F57" s="22"/>
      <c r="G57" s="22"/>
      <c r="H57" s="4">
        <f t="shared" ref="H57:H98" si="18">F57+G57</f>
        <v>0</v>
      </c>
      <c r="I57" s="4"/>
      <c r="J57" s="22">
        <f t="shared" ref="J57:J98" si="19">(Q57*$F$5-$F$5)*$S$5</f>
        <v>2.8868479999999979</v>
      </c>
      <c r="K57" s="22">
        <f t="shared" ref="K57:K98" si="20">H57+I57+J57</f>
        <v>2.8868479999999979</v>
      </c>
      <c r="L57" s="4">
        <f t="shared" ref="L57:L98" si="21">$F$5*Q57*(0.0044+0.0012)+0.25</f>
        <v>4.9226399999999995</v>
      </c>
      <c r="M57" s="4">
        <f t="shared" ref="M57:M73" si="22">0.007*$F$5</f>
        <v>5.6000000000000005</v>
      </c>
      <c r="N57" s="4">
        <f t="shared" ref="N57:N98" si="23">$F$5*$S$5</f>
        <v>67.135999999999996</v>
      </c>
      <c r="O57" s="4">
        <f t="shared" ref="O57:O98" si="24">K57+L57+M57+N57</f>
        <v>80.545487999999992</v>
      </c>
      <c r="P57" s="12"/>
      <c r="Q57" s="24">
        <v>1.0429999999999999</v>
      </c>
    </row>
    <row r="58" spans="1:20" x14ac:dyDescent="0.25">
      <c r="A58">
        <v>39</v>
      </c>
      <c r="B58" t="s">
        <v>45</v>
      </c>
      <c r="C58" s="12"/>
      <c r="D58" s="12"/>
      <c r="E58" s="12"/>
      <c r="F58" s="22"/>
      <c r="G58" s="22"/>
      <c r="H58" s="4">
        <f t="shared" si="18"/>
        <v>0</v>
      </c>
      <c r="I58" s="4"/>
      <c r="J58" s="22">
        <f t="shared" si="19"/>
        <v>2.3094783999999984</v>
      </c>
      <c r="K58" s="22">
        <f t="shared" si="20"/>
        <v>2.3094783999999984</v>
      </c>
      <c r="L58" s="4">
        <f t="shared" si="21"/>
        <v>4.884112</v>
      </c>
      <c r="M58" s="4">
        <f t="shared" si="22"/>
        <v>5.6000000000000005</v>
      </c>
      <c r="N58" s="4">
        <f t="shared" si="23"/>
        <v>67.135999999999996</v>
      </c>
      <c r="O58" s="4">
        <f t="shared" si="24"/>
        <v>79.929590399999995</v>
      </c>
      <c r="P58" s="12"/>
      <c r="Q58" s="24">
        <v>1.0344</v>
      </c>
    </row>
    <row r="59" spans="1:20" ht="18" x14ac:dyDescent="0.25">
      <c r="A59">
        <v>40</v>
      </c>
      <c r="B59" s="13" t="s">
        <v>109</v>
      </c>
      <c r="C59" s="12"/>
      <c r="D59" s="12" t="s">
        <v>100</v>
      </c>
      <c r="E59" s="71" t="s">
        <v>264</v>
      </c>
      <c r="F59" s="22">
        <f>9.76+0.13+1.62+0.79</f>
        <v>12.3</v>
      </c>
      <c r="G59" s="100">
        <f>$F$5*(0.0173+0.0003-0.0004)</f>
        <v>13.76</v>
      </c>
      <c r="H59" s="4">
        <f t="shared" si="18"/>
        <v>26.060000000000002</v>
      </c>
      <c r="I59" s="4">
        <f>(0.0067+0.0014)*$F$5*Q59</f>
        <v>6.7074479999999985</v>
      </c>
      <c r="J59" s="22">
        <f t="shared" si="19"/>
        <v>2.356473599999994</v>
      </c>
      <c r="K59" s="22">
        <f t="shared" si="20"/>
        <v>35.123921599999996</v>
      </c>
      <c r="L59" s="4">
        <f t="shared" si="21"/>
        <v>4.8872479999999996</v>
      </c>
      <c r="M59" s="4">
        <f t="shared" si="22"/>
        <v>5.6000000000000005</v>
      </c>
      <c r="N59" s="4">
        <f t="shared" si="23"/>
        <v>67.135999999999996</v>
      </c>
      <c r="O59" s="4">
        <f t="shared" si="24"/>
        <v>112.74716959999999</v>
      </c>
      <c r="P59" s="12"/>
      <c r="Q59" s="24">
        <v>1.0350999999999999</v>
      </c>
      <c r="S59" s="4">
        <f t="shared" ref="S59" si="25">K59-J59</f>
        <v>32.767448000000002</v>
      </c>
      <c r="T59" s="75" t="s">
        <v>102</v>
      </c>
    </row>
    <row r="60" spans="1:20" x14ac:dyDescent="0.25">
      <c r="A60">
        <v>41</v>
      </c>
      <c r="B60" t="s">
        <v>46</v>
      </c>
      <c r="C60" s="12"/>
      <c r="D60" s="12"/>
      <c r="E60" s="12"/>
      <c r="F60" s="22"/>
      <c r="G60" s="22"/>
      <c r="H60" s="4">
        <f t="shared" si="18"/>
        <v>0</v>
      </c>
      <c r="I60" s="4"/>
      <c r="J60" s="22">
        <f t="shared" si="19"/>
        <v>3.7931840000000037</v>
      </c>
      <c r="K60" s="22">
        <f t="shared" si="20"/>
        <v>3.7931840000000037</v>
      </c>
      <c r="L60" s="4">
        <f t="shared" si="21"/>
        <v>4.9831200000000004</v>
      </c>
      <c r="M60" s="4">
        <f t="shared" si="22"/>
        <v>5.6000000000000005</v>
      </c>
      <c r="N60" s="4">
        <f t="shared" si="23"/>
        <v>67.135999999999996</v>
      </c>
      <c r="O60" s="4">
        <f t="shared" si="24"/>
        <v>81.512304</v>
      </c>
      <c r="P60" s="12"/>
      <c r="Q60" s="24">
        <v>1.0565</v>
      </c>
    </row>
    <row r="61" spans="1:20" x14ac:dyDescent="0.25">
      <c r="A61">
        <v>42</v>
      </c>
      <c r="B61" t="s">
        <v>47</v>
      </c>
      <c r="C61" s="12"/>
      <c r="D61" s="12"/>
      <c r="E61" s="12"/>
      <c r="F61" s="22"/>
      <c r="G61" s="22"/>
      <c r="H61" s="4">
        <f t="shared" si="18"/>
        <v>0</v>
      </c>
      <c r="I61" s="4"/>
      <c r="J61" s="22">
        <f t="shared" si="19"/>
        <v>4.9882048000000045</v>
      </c>
      <c r="K61" s="22">
        <f t="shared" si="20"/>
        <v>4.9882048000000045</v>
      </c>
      <c r="L61" s="4">
        <f t="shared" si="21"/>
        <v>5.0628640000000003</v>
      </c>
      <c r="M61" s="4">
        <f t="shared" si="22"/>
        <v>5.6000000000000005</v>
      </c>
      <c r="N61" s="4">
        <f t="shared" si="23"/>
        <v>67.135999999999996</v>
      </c>
      <c r="O61" s="4">
        <f t="shared" si="24"/>
        <v>82.7870688</v>
      </c>
      <c r="P61" s="12"/>
      <c r="Q61" s="24">
        <v>1.0743</v>
      </c>
    </row>
    <row r="62" spans="1:20" ht="18" x14ac:dyDescent="0.25">
      <c r="A62">
        <v>43</v>
      </c>
      <c r="B62" s="13" t="s">
        <v>48</v>
      </c>
      <c r="C62" s="12"/>
      <c r="D62" s="12" t="s">
        <v>92</v>
      </c>
      <c r="E62" s="71" t="s">
        <v>264</v>
      </c>
      <c r="F62" s="22">
        <f>13.12+0.79+1.58</f>
        <v>15.49</v>
      </c>
      <c r="G62" s="100">
        <f>$F$5*(0.0155-0.001-0.0011-0.001+0.00019)</f>
        <v>10.071999999999997</v>
      </c>
      <c r="H62" s="4">
        <f t="shared" si="18"/>
        <v>25.561999999999998</v>
      </c>
      <c r="I62" s="4">
        <f>(0.0071+0.0053)*$F$5*Q62</f>
        <v>10.267200000000001</v>
      </c>
      <c r="J62" s="22">
        <f t="shared" si="19"/>
        <v>2.3497599999999905</v>
      </c>
      <c r="K62" s="22">
        <f t="shared" si="20"/>
        <v>38.178959999999989</v>
      </c>
      <c r="L62" s="4">
        <f t="shared" si="21"/>
        <v>4.8867999999999991</v>
      </c>
      <c r="M62" s="4">
        <f t="shared" si="22"/>
        <v>5.6000000000000005</v>
      </c>
      <c r="N62" s="4">
        <f t="shared" si="23"/>
        <v>67.135999999999996</v>
      </c>
      <c r="O62" s="4">
        <f t="shared" si="24"/>
        <v>115.80175999999999</v>
      </c>
      <c r="P62" s="12"/>
      <c r="Q62" s="24">
        <v>1.0349999999999999</v>
      </c>
      <c r="S62" s="4">
        <f t="shared" ref="S62:S64" si="26">K62-J62</f>
        <v>35.8292</v>
      </c>
      <c r="T62" s="75" t="s">
        <v>102</v>
      </c>
    </row>
    <row r="63" spans="1:20" ht="18" x14ac:dyDescent="0.25">
      <c r="A63">
        <v>44</v>
      </c>
      <c r="B63" s="13" t="s">
        <v>49</v>
      </c>
      <c r="C63" s="12"/>
      <c r="D63" s="12" t="s">
        <v>92</v>
      </c>
      <c r="E63" s="71" t="s">
        <v>264</v>
      </c>
      <c r="F63" s="22">
        <f>15.23+0.88</f>
        <v>16.11</v>
      </c>
      <c r="G63" s="100">
        <f>$F$5*(0.02+0.002+0.0013)</f>
        <v>18.639999999999997</v>
      </c>
      <c r="H63" s="4">
        <f t="shared" si="18"/>
        <v>34.75</v>
      </c>
      <c r="I63" s="4">
        <f>(0.0055+0.0045)*$F$5*Q63</f>
        <v>8.5455999999999985</v>
      </c>
      <c r="J63" s="22">
        <f t="shared" si="19"/>
        <v>4.5786752000000046</v>
      </c>
      <c r="K63" s="22">
        <f t="shared" si="20"/>
        <v>47.874275200000007</v>
      </c>
      <c r="L63" s="29">
        <f>$F$5*Q63*(0.0052+0.0011)+0.25</f>
        <v>5.6337280000000005</v>
      </c>
      <c r="M63" s="4">
        <f t="shared" si="22"/>
        <v>5.6000000000000005</v>
      </c>
      <c r="N63" s="4">
        <f t="shared" si="23"/>
        <v>67.135999999999996</v>
      </c>
      <c r="O63" s="4">
        <f t="shared" si="24"/>
        <v>126.24400320000001</v>
      </c>
      <c r="P63" s="12"/>
      <c r="Q63" s="24">
        <v>1.0682</v>
      </c>
      <c r="S63" s="4">
        <f t="shared" si="26"/>
        <v>43.2956</v>
      </c>
      <c r="T63" s="73" t="s">
        <v>101</v>
      </c>
    </row>
    <row r="64" spans="1:20" ht="18" x14ac:dyDescent="0.25">
      <c r="A64">
        <v>45</v>
      </c>
      <c r="B64" s="13" t="s">
        <v>50</v>
      </c>
      <c r="C64" s="12"/>
      <c r="D64" s="12" t="s">
        <v>100</v>
      </c>
      <c r="E64" s="71" t="s">
        <v>264</v>
      </c>
      <c r="F64" s="22">
        <f>15+0.03+0.08+0.79</f>
        <v>15.899999999999999</v>
      </c>
      <c r="G64" s="100">
        <f>$F$5*(0.014+0.0002+0.0001)</f>
        <v>11.44</v>
      </c>
      <c r="H64" s="4">
        <f t="shared" si="18"/>
        <v>27.339999999999996</v>
      </c>
      <c r="I64" s="4">
        <f>(0.0072+0.0053)*$F$5*Q64</f>
        <v>10.362</v>
      </c>
      <c r="J64" s="22">
        <f t="shared" si="19"/>
        <v>2.4303232000000028</v>
      </c>
      <c r="K64" s="22">
        <f t="shared" si="20"/>
        <v>40.132323200000002</v>
      </c>
      <c r="L64" s="4">
        <f t="shared" si="21"/>
        <v>4.8921760000000001</v>
      </c>
      <c r="M64" s="4">
        <f t="shared" si="22"/>
        <v>5.6000000000000005</v>
      </c>
      <c r="N64" s="4">
        <f t="shared" si="23"/>
        <v>67.135999999999996</v>
      </c>
      <c r="O64" s="4">
        <f t="shared" si="24"/>
        <v>117.7604992</v>
      </c>
      <c r="P64" s="12"/>
      <c r="Q64" s="24">
        <v>1.0362</v>
      </c>
      <c r="S64" s="4">
        <f t="shared" si="26"/>
        <v>37.701999999999998</v>
      </c>
      <c r="T64" s="75" t="s">
        <v>102</v>
      </c>
    </row>
    <row r="65" spans="1:20" x14ac:dyDescent="0.25">
      <c r="A65">
        <v>46</v>
      </c>
      <c r="B65" t="s">
        <v>212</v>
      </c>
      <c r="C65" s="12"/>
      <c r="D65" s="12"/>
      <c r="E65" s="12"/>
      <c r="F65" s="22"/>
      <c r="G65" s="22"/>
      <c r="H65" s="4">
        <f t="shared" si="18"/>
        <v>0</v>
      </c>
      <c r="I65" s="4"/>
      <c r="J65" s="22">
        <f t="shared" si="19"/>
        <v>2.5713087999999988</v>
      </c>
      <c r="K65" s="22">
        <f t="shared" si="20"/>
        <v>2.5713087999999988</v>
      </c>
      <c r="L65" s="4">
        <f t="shared" si="21"/>
        <v>4.9015839999999997</v>
      </c>
      <c r="M65" s="4">
        <f t="shared" si="22"/>
        <v>5.6000000000000005</v>
      </c>
      <c r="N65" s="4">
        <f t="shared" si="23"/>
        <v>67.135999999999996</v>
      </c>
      <c r="O65" s="4">
        <f t="shared" si="24"/>
        <v>80.208892800000001</v>
      </c>
      <c r="P65" s="12"/>
      <c r="Q65" s="24">
        <v>1.0383</v>
      </c>
    </row>
    <row r="66" spans="1:20" x14ac:dyDescent="0.25">
      <c r="A66">
        <v>46</v>
      </c>
      <c r="B66" t="s">
        <v>213</v>
      </c>
      <c r="C66" s="12"/>
      <c r="D66" s="12"/>
      <c r="E66" s="12"/>
      <c r="F66" s="22"/>
      <c r="G66" s="22"/>
      <c r="H66" s="4">
        <f t="shared" si="18"/>
        <v>0</v>
      </c>
      <c r="I66" s="4"/>
      <c r="J66" s="22">
        <f t="shared" si="19"/>
        <v>2.5713087999999988</v>
      </c>
      <c r="K66" s="22">
        <f t="shared" si="20"/>
        <v>2.5713087999999988</v>
      </c>
      <c r="L66" s="4">
        <f t="shared" si="21"/>
        <v>4.9015839999999997</v>
      </c>
      <c r="M66" s="4">
        <f t="shared" si="22"/>
        <v>5.6000000000000005</v>
      </c>
      <c r="N66" s="4">
        <f t="shared" si="23"/>
        <v>67.135999999999996</v>
      </c>
      <c r="O66" s="4">
        <f t="shared" si="24"/>
        <v>80.208892800000001</v>
      </c>
      <c r="P66" s="12"/>
      <c r="Q66" s="24">
        <v>1.0383</v>
      </c>
    </row>
    <row r="67" spans="1:20" x14ac:dyDescent="0.25">
      <c r="A67">
        <v>47</v>
      </c>
      <c r="B67" t="s">
        <v>110</v>
      </c>
      <c r="C67" s="12"/>
      <c r="D67" s="12"/>
      <c r="E67" s="12"/>
      <c r="F67" s="22"/>
      <c r="G67" s="22"/>
      <c r="H67" s="4">
        <f t="shared" si="18"/>
        <v>0</v>
      </c>
      <c r="I67" s="4"/>
      <c r="J67" s="22">
        <f t="shared" si="19"/>
        <v>2.5444544000000042</v>
      </c>
      <c r="K67" s="22">
        <f t="shared" si="20"/>
        <v>2.5444544000000042</v>
      </c>
      <c r="L67" s="4">
        <f t="shared" si="21"/>
        <v>4.8997920000000006</v>
      </c>
      <c r="M67" s="4">
        <f t="shared" si="22"/>
        <v>5.6000000000000005</v>
      </c>
      <c r="N67" s="4">
        <f t="shared" si="23"/>
        <v>67.135999999999996</v>
      </c>
      <c r="O67" s="4">
        <f t="shared" si="24"/>
        <v>80.180246400000001</v>
      </c>
      <c r="P67" s="12"/>
      <c r="Q67" s="24">
        <v>1.0379</v>
      </c>
    </row>
    <row r="68" spans="1:20" x14ac:dyDescent="0.25">
      <c r="A68">
        <v>48</v>
      </c>
      <c r="B68" t="s">
        <v>124</v>
      </c>
      <c r="C68" s="12"/>
      <c r="D68" s="12"/>
      <c r="E68" s="12"/>
      <c r="F68" s="22"/>
      <c r="G68" s="22"/>
      <c r="H68" s="4">
        <f t="shared" si="18"/>
        <v>0</v>
      </c>
      <c r="I68" s="4"/>
      <c r="J68" s="22">
        <f t="shared" si="19"/>
        <v>3.7596160000000056</v>
      </c>
      <c r="K68" s="22">
        <f t="shared" si="20"/>
        <v>3.7596160000000056</v>
      </c>
      <c r="L68" s="4">
        <f t="shared" si="21"/>
        <v>4.98088</v>
      </c>
      <c r="M68" s="4">
        <f t="shared" si="22"/>
        <v>5.6000000000000005</v>
      </c>
      <c r="N68" s="4">
        <f t="shared" si="23"/>
        <v>67.135999999999996</v>
      </c>
      <c r="O68" s="4">
        <f t="shared" si="24"/>
        <v>81.476495999999997</v>
      </c>
      <c r="P68" s="12"/>
      <c r="Q68" s="24">
        <v>1.056</v>
      </c>
    </row>
    <row r="69" spans="1:20" x14ac:dyDescent="0.25">
      <c r="A69">
        <v>49</v>
      </c>
      <c r="B69" t="s">
        <v>52</v>
      </c>
      <c r="C69" s="12"/>
      <c r="D69" s="12"/>
      <c r="E69" s="12"/>
      <c r="F69" s="22"/>
      <c r="G69" s="22"/>
      <c r="H69" s="4">
        <f t="shared" si="18"/>
        <v>0</v>
      </c>
      <c r="I69" s="4"/>
      <c r="J69" s="22">
        <f t="shared" si="19"/>
        <v>3.7864704000000002</v>
      </c>
      <c r="K69" s="22">
        <f t="shared" si="20"/>
        <v>3.7864704000000002</v>
      </c>
      <c r="L69" s="4">
        <f t="shared" si="21"/>
        <v>4.982672</v>
      </c>
      <c r="M69" s="4">
        <f t="shared" si="22"/>
        <v>5.6000000000000005</v>
      </c>
      <c r="N69" s="4">
        <f t="shared" si="23"/>
        <v>67.135999999999996</v>
      </c>
      <c r="O69" s="4">
        <f t="shared" si="24"/>
        <v>81.505142399999997</v>
      </c>
      <c r="P69" s="12"/>
      <c r="Q69" s="24">
        <v>1.0564</v>
      </c>
    </row>
    <row r="70" spans="1:20" x14ac:dyDescent="0.25">
      <c r="A70">
        <v>50</v>
      </c>
      <c r="B70" t="s">
        <v>53</v>
      </c>
      <c r="C70" s="12"/>
      <c r="D70" s="12"/>
      <c r="E70" s="12"/>
      <c r="F70" s="22"/>
      <c r="G70" s="22"/>
      <c r="H70" s="4">
        <f t="shared" si="18"/>
        <v>0</v>
      </c>
      <c r="I70" s="4"/>
      <c r="J70" s="22">
        <f t="shared" si="19"/>
        <v>3.2225280000000076</v>
      </c>
      <c r="K70" s="22">
        <f t="shared" si="20"/>
        <v>3.2225280000000076</v>
      </c>
      <c r="L70" s="4">
        <f t="shared" si="21"/>
        <v>4.9450400000000005</v>
      </c>
      <c r="M70" s="4">
        <f t="shared" si="22"/>
        <v>5.6000000000000005</v>
      </c>
      <c r="N70" s="4">
        <f t="shared" si="23"/>
        <v>67.135999999999996</v>
      </c>
      <c r="O70" s="4">
        <f t="shared" si="24"/>
        <v>80.903568000000007</v>
      </c>
      <c r="P70" s="12"/>
      <c r="Q70" s="24">
        <v>1.048</v>
      </c>
    </row>
    <row r="71" spans="1:20" x14ac:dyDescent="0.25">
      <c r="A71">
        <v>51</v>
      </c>
      <c r="B71" t="s">
        <v>54</v>
      </c>
      <c r="D71" s="12"/>
      <c r="E71" s="12"/>
      <c r="F71" s="22"/>
      <c r="G71" s="22"/>
      <c r="H71" s="4">
        <f t="shared" si="18"/>
        <v>0</v>
      </c>
      <c r="I71" s="4"/>
      <c r="J71" s="22">
        <f t="shared" si="19"/>
        <v>4.7867967999999967</v>
      </c>
      <c r="K71" s="22">
        <f t="shared" si="20"/>
        <v>4.7867967999999967</v>
      </c>
      <c r="L71" s="4">
        <f t="shared" si="21"/>
        <v>5.0494240000000001</v>
      </c>
      <c r="M71" s="4">
        <f t="shared" si="22"/>
        <v>5.6000000000000005</v>
      </c>
      <c r="N71" s="4">
        <f t="shared" si="23"/>
        <v>67.135999999999996</v>
      </c>
      <c r="O71" s="4">
        <f t="shared" si="24"/>
        <v>82.572220799999997</v>
      </c>
      <c r="P71" s="12"/>
      <c r="Q71" s="24">
        <v>1.0712999999999999</v>
      </c>
    </row>
    <row r="72" spans="1:20" ht="18" x14ac:dyDescent="0.25">
      <c r="A72">
        <v>52</v>
      </c>
      <c r="B72" s="13" t="s">
        <v>111</v>
      </c>
      <c r="D72" s="12" t="s">
        <v>100</v>
      </c>
      <c r="E72" s="71" t="s">
        <v>264</v>
      </c>
      <c r="F72" s="22">
        <f>13.11+2.49-0.03+0.79</f>
        <v>16.36</v>
      </c>
      <c r="G72" s="100">
        <f>$F$5*(0.0143+0.0002+0.0003+0.0018+0.0003-0.0003)</f>
        <v>13.28</v>
      </c>
      <c r="H72" s="4">
        <f t="shared" si="18"/>
        <v>29.64</v>
      </c>
      <c r="I72" s="4">
        <f>(0.008+0.0055)*$F$5*Q72</f>
        <v>11.206080000000002</v>
      </c>
      <c r="J72" s="22">
        <f t="shared" si="19"/>
        <v>2.5243136000000033</v>
      </c>
      <c r="K72" s="22">
        <f t="shared" si="20"/>
        <v>43.370393600000007</v>
      </c>
      <c r="L72" s="4">
        <f t="shared" si="21"/>
        <v>4.8984480000000001</v>
      </c>
      <c r="M72" s="4">
        <f t="shared" si="22"/>
        <v>5.6000000000000005</v>
      </c>
      <c r="N72" s="4">
        <f t="shared" si="23"/>
        <v>67.135999999999996</v>
      </c>
      <c r="O72" s="4">
        <f t="shared" si="24"/>
        <v>121.00484160000001</v>
      </c>
      <c r="P72" s="12"/>
      <c r="Q72" s="24">
        <v>1.0376000000000001</v>
      </c>
      <c r="S72" s="4">
        <f t="shared" ref="S72:S73" si="27">K72-J72</f>
        <v>40.846080000000001</v>
      </c>
      <c r="T72" s="75" t="s">
        <v>102</v>
      </c>
    </row>
    <row r="73" spans="1:20" ht="18" x14ac:dyDescent="0.25">
      <c r="A73">
        <v>53</v>
      </c>
      <c r="B73" s="13" t="s">
        <v>112</v>
      </c>
      <c r="D73" s="12" t="s">
        <v>297</v>
      </c>
      <c r="E73" s="71" t="s">
        <v>264</v>
      </c>
      <c r="F73" s="22">
        <f>16.26+2.84+0.79</f>
        <v>19.89</v>
      </c>
      <c r="G73" s="100">
        <f>$F$5*(0.014+0.0011-0.0013-0.0003)</f>
        <v>10.8</v>
      </c>
      <c r="H73" s="4">
        <f t="shared" si="18"/>
        <v>30.69</v>
      </c>
      <c r="I73" s="4">
        <f>(0.0065+0.0035)*$F$5*Q73</f>
        <v>8.3743999999999996</v>
      </c>
      <c r="J73" s="22">
        <f t="shared" si="19"/>
        <v>3.1419647999999949</v>
      </c>
      <c r="K73" s="22">
        <f t="shared" si="20"/>
        <v>42.206364799999996</v>
      </c>
      <c r="L73" s="4">
        <f t="shared" si="21"/>
        <v>4.9396639999999996</v>
      </c>
      <c r="M73" s="4">
        <f t="shared" si="22"/>
        <v>5.6000000000000005</v>
      </c>
      <c r="N73" s="4">
        <f t="shared" si="23"/>
        <v>67.135999999999996</v>
      </c>
      <c r="O73" s="4">
        <f t="shared" si="24"/>
        <v>119.8820288</v>
      </c>
      <c r="P73" s="12"/>
      <c r="Q73" s="24">
        <v>1.0468</v>
      </c>
      <c r="S73" s="4">
        <f t="shared" si="27"/>
        <v>39.064399999999999</v>
      </c>
      <c r="T73" s="99" t="s">
        <v>102</v>
      </c>
    </row>
    <row r="74" spans="1:20" x14ac:dyDescent="0.25">
      <c r="A74">
        <v>54</v>
      </c>
      <c r="B74" t="s">
        <v>55</v>
      </c>
      <c r="D74" s="12"/>
      <c r="E74" s="12"/>
      <c r="F74" s="22"/>
      <c r="G74" s="22"/>
      <c r="H74" s="4">
        <f t="shared" si="18"/>
        <v>0</v>
      </c>
      <c r="I74" s="4"/>
      <c r="J74" s="22">
        <f t="shared" si="19"/>
        <v>3.7663295999999993</v>
      </c>
      <c r="K74" s="22">
        <f t="shared" si="20"/>
        <v>3.7663295999999993</v>
      </c>
      <c r="L74" s="4">
        <f t="shared" si="21"/>
        <v>4.9813279999999995</v>
      </c>
      <c r="M74" s="20">
        <f>0.0049*$F$5</f>
        <v>3.92</v>
      </c>
      <c r="N74" s="4">
        <f t="shared" si="23"/>
        <v>67.135999999999996</v>
      </c>
      <c r="O74" s="4">
        <f t="shared" si="24"/>
        <v>79.803657599999994</v>
      </c>
      <c r="P74" s="12"/>
      <c r="Q74" s="24">
        <v>1.0561</v>
      </c>
    </row>
    <row r="75" spans="1:20" x14ac:dyDescent="0.25">
      <c r="A75">
        <v>55</v>
      </c>
      <c r="B75" t="s">
        <v>56</v>
      </c>
      <c r="D75" s="12"/>
      <c r="E75" s="12"/>
      <c r="F75" s="22"/>
      <c r="G75" s="22"/>
      <c r="H75" s="4">
        <f t="shared" si="18"/>
        <v>0</v>
      </c>
      <c r="I75" s="4"/>
      <c r="J75" s="22">
        <f t="shared" si="19"/>
        <v>2.8868479999999979</v>
      </c>
      <c r="K75" s="22">
        <f t="shared" si="20"/>
        <v>2.8868479999999979</v>
      </c>
      <c r="L75" s="4">
        <f t="shared" si="21"/>
        <v>4.9226399999999995</v>
      </c>
      <c r="M75" s="4">
        <f>0.007*$F$5</f>
        <v>5.6000000000000005</v>
      </c>
      <c r="N75" s="4">
        <f t="shared" si="23"/>
        <v>67.135999999999996</v>
      </c>
      <c r="O75" s="4">
        <f t="shared" si="24"/>
        <v>80.545487999999992</v>
      </c>
      <c r="P75" s="12"/>
      <c r="Q75" s="24">
        <v>1.0429999999999999</v>
      </c>
    </row>
    <row r="76" spans="1:20" x14ac:dyDescent="0.25">
      <c r="A76">
        <v>56</v>
      </c>
      <c r="B76" t="s">
        <v>57</v>
      </c>
      <c r="D76" s="12"/>
      <c r="E76" s="12"/>
      <c r="F76" s="22"/>
      <c r="G76" s="22"/>
      <c r="H76" s="4">
        <f t="shared" si="18"/>
        <v>0</v>
      </c>
      <c r="I76" s="4"/>
      <c r="J76" s="22">
        <f t="shared" si="19"/>
        <v>2.618303999999994</v>
      </c>
      <c r="K76" s="22">
        <f t="shared" si="20"/>
        <v>2.618303999999994</v>
      </c>
      <c r="L76" s="4">
        <f t="shared" si="21"/>
        <v>4.9047199999999993</v>
      </c>
      <c r="M76" s="20">
        <f>(((6289/8995)*0.0049)+((1991/8995)*0.0042)+(((405+300)/8995)*0.007))*$F$5</f>
        <v>3.9233618677042803</v>
      </c>
      <c r="N76" s="4">
        <f t="shared" si="23"/>
        <v>67.135999999999996</v>
      </c>
      <c r="O76" s="4">
        <f t="shared" si="24"/>
        <v>78.582385867704275</v>
      </c>
      <c r="P76" s="12"/>
      <c r="Q76" s="24">
        <v>1.0389999999999999</v>
      </c>
    </row>
    <row r="77" spans="1:20" x14ac:dyDescent="0.25">
      <c r="A77">
        <v>57</v>
      </c>
      <c r="B77" s="12" t="s">
        <v>58</v>
      </c>
      <c r="C77" s="12"/>
      <c r="D77" s="12"/>
      <c r="E77" s="12"/>
      <c r="F77" s="22"/>
      <c r="G77" s="22"/>
      <c r="H77" s="4">
        <f t="shared" si="18"/>
        <v>0</v>
      </c>
      <c r="I77" s="4"/>
      <c r="J77" s="22">
        <f t="shared" si="19"/>
        <v>5.4313024000000016</v>
      </c>
      <c r="K77" s="22">
        <f t="shared" si="20"/>
        <v>5.4313024000000016</v>
      </c>
      <c r="L77" s="4">
        <f t="shared" si="21"/>
        <v>5.0924320000000005</v>
      </c>
      <c r="M77" s="20">
        <f>0.0065*$F$5</f>
        <v>5.2</v>
      </c>
      <c r="N77" s="4">
        <f t="shared" si="23"/>
        <v>67.135999999999996</v>
      </c>
      <c r="O77" s="4">
        <f t="shared" si="24"/>
        <v>82.859734399999994</v>
      </c>
      <c r="P77" s="12"/>
      <c r="Q77" s="24">
        <v>1.0809</v>
      </c>
    </row>
    <row r="78" spans="1:20" x14ac:dyDescent="0.25">
      <c r="A78">
        <v>58</v>
      </c>
      <c r="B78" t="s">
        <v>59</v>
      </c>
      <c r="D78" s="12"/>
      <c r="E78" s="12"/>
      <c r="F78" s="22"/>
      <c r="G78" s="22"/>
      <c r="H78" s="4">
        <f t="shared" si="18"/>
        <v>0</v>
      </c>
      <c r="I78" s="4"/>
      <c r="J78" s="22">
        <f t="shared" si="19"/>
        <v>3.6790527999999929</v>
      </c>
      <c r="K78" s="22">
        <f t="shared" si="20"/>
        <v>3.6790527999999929</v>
      </c>
      <c r="L78" s="4">
        <f t="shared" si="21"/>
        <v>4.9755039999999999</v>
      </c>
      <c r="M78" s="20">
        <f>0.0067*$F$5</f>
        <v>5.36</v>
      </c>
      <c r="N78" s="4">
        <f t="shared" si="23"/>
        <v>67.135999999999996</v>
      </c>
      <c r="O78" s="4">
        <f t="shared" si="24"/>
        <v>81.15055679999999</v>
      </c>
      <c r="Q78" s="24">
        <v>1.0548</v>
      </c>
    </row>
    <row r="79" spans="1:20" x14ac:dyDescent="0.25">
      <c r="A79">
        <v>59</v>
      </c>
      <c r="B79" t="s">
        <v>60</v>
      </c>
      <c r="D79" s="12"/>
      <c r="E79" s="12"/>
      <c r="F79" s="22"/>
      <c r="G79" s="22"/>
      <c r="H79" s="4">
        <f t="shared" si="18"/>
        <v>0</v>
      </c>
      <c r="I79" s="4"/>
      <c r="J79" s="22">
        <f t="shared" si="19"/>
        <v>2.3161920000000018</v>
      </c>
      <c r="K79" s="22">
        <f t="shared" si="20"/>
        <v>2.3161920000000018</v>
      </c>
      <c r="L79" s="4">
        <f t="shared" si="21"/>
        <v>4.8845600000000005</v>
      </c>
      <c r="M79" s="4">
        <f t="shared" ref="M79:M98" si="28">0.007*$F$5</f>
        <v>5.6000000000000005</v>
      </c>
      <c r="N79" s="4">
        <f t="shared" si="23"/>
        <v>67.135999999999996</v>
      </c>
      <c r="O79" s="4">
        <f t="shared" si="24"/>
        <v>79.936751999999998</v>
      </c>
      <c r="Q79" s="24">
        <v>1.0345</v>
      </c>
    </row>
    <row r="80" spans="1:20" ht="18" x14ac:dyDescent="0.25">
      <c r="A80">
        <v>60</v>
      </c>
      <c r="B80" s="13" t="s">
        <v>61</v>
      </c>
      <c r="D80" s="12" t="s">
        <v>92</v>
      </c>
      <c r="E80" s="71" t="s">
        <v>261</v>
      </c>
      <c r="F80" s="22">
        <f>12.34+0.2-0.14</f>
        <v>12.399999999999999</v>
      </c>
      <c r="G80" s="100">
        <f>$F$5*(0.0136+0.0003+0.0014-0.0019)</f>
        <v>10.719999999999999</v>
      </c>
      <c r="H80" s="4">
        <f t="shared" si="18"/>
        <v>23.119999999999997</v>
      </c>
      <c r="I80" s="4">
        <f>(0.0074+0.0032)*$F$5*Q80</f>
        <v>8.7725600000000004</v>
      </c>
      <c r="J80" s="22">
        <f t="shared" si="19"/>
        <v>2.3161920000000018</v>
      </c>
      <c r="K80" s="22">
        <f t="shared" si="20"/>
        <v>34.208751999999997</v>
      </c>
      <c r="L80" s="17">
        <f>$F$5*Q80*(0.0052+0.0011)+0.25</f>
        <v>5.4638800000000005</v>
      </c>
      <c r="M80" s="4">
        <f t="shared" si="28"/>
        <v>5.6000000000000005</v>
      </c>
      <c r="N80" s="4">
        <f t="shared" si="23"/>
        <v>67.135999999999996</v>
      </c>
      <c r="O80" s="4">
        <f t="shared" si="24"/>
        <v>112.408632</v>
      </c>
      <c r="Q80" s="24">
        <v>1.0345</v>
      </c>
      <c r="S80" s="4">
        <f t="shared" ref="S80" si="29">K80-J80</f>
        <v>31.892559999999996</v>
      </c>
      <c r="T80" s="99" t="s">
        <v>102</v>
      </c>
    </row>
    <row r="81" spans="1:20" x14ac:dyDescent="0.25">
      <c r="A81">
        <v>61</v>
      </c>
      <c r="B81" t="s">
        <v>62</v>
      </c>
      <c r="D81" s="12"/>
      <c r="E81" s="12"/>
      <c r="F81" s="22"/>
      <c r="G81" s="22"/>
      <c r="H81" s="4">
        <f t="shared" si="18"/>
        <v>0</v>
      </c>
      <c r="I81" s="4"/>
      <c r="J81" s="22">
        <f t="shared" si="19"/>
        <v>3.2829504000000003</v>
      </c>
      <c r="K81" s="22">
        <f t="shared" si="20"/>
        <v>3.2829504000000003</v>
      </c>
      <c r="L81" s="4">
        <f t="shared" si="21"/>
        <v>4.9490720000000001</v>
      </c>
      <c r="M81" s="20">
        <f>0.002*$F$5</f>
        <v>1.6</v>
      </c>
      <c r="N81" s="4">
        <f t="shared" si="23"/>
        <v>67.135999999999996</v>
      </c>
      <c r="O81" s="4">
        <f t="shared" si="24"/>
        <v>76.968022399999995</v>
      </c>
      <c r="Q81" s="24">
        <v>1.0488999999999999</v>
      </c>
    </row>
    <row r="82" spans="1:20" x14ac:dyDescent="0.25">
      <c r="A82">
        <v>62</v>
      </c>
      <c r="B82" t="s">
        <v>63</v>
      </c>
      <c r="D82" s="12"/>
      <c r="E82" s="12"/>
      <c r="F82" s="22"/>
      <c r="G82" s="22"/>
      <c r="H82" s="4">
        <f t="shared" si="18"/>
        <v>0</v>
      </c>
      <c r="I82" s="4"/>
      <c r="J82" s="22">
        <f t="shared" si="19"/>
        <v>5.4380159999999957</v>
      </c>
      <c r="K82" s="22">
        <f t="shared" si="20"/>
        <v>5.4380159999999957</v>
      </c>
      <c r="L82" s="4">
        <f t="shared" si="21"/>
        <v>5.0928800000000001</v>
      </c>
      <c r="M82" s="20">
        <f>0.0061*$F$5</f>
        <v>4.88</v>
      </c>
      <c r="N82" s="4">
        <f t="shared" si="23"/>
        <v>67.135999999999996</v>
      </c>
      <c r="O82" s="4">
        <f t="shared" si="24"/>
        <v>82.54689599999999</v>
      </c>
      <c r="Q82" s="24">
        <v>1.081</v>
      </c>
    </row>
    <row r="83" spans="1:20" x14ac:dyDescent="0.25">
      <c r="A83">
        <v>63</v>
      </c>
      <c r="B83" t="s">
        <v>64</v>
      </c>
      <c r="D83" s="12"/>
      <c r="E83" s="12"/>
      <c r="F83" s="22"/>
      <c r="G83" s="22"/>
      <c r="H83" s="4">
        <f t="shared" si="18"/>
        <v>0</v>
      </c>
      <c r="I83" s="4"/>
      <c r="J83" s="22">
        <f t="shared" si="19"/>
        <v>5.3507392000000085</v>
      </c>
      <c r="K83" s="22">
        <f t="shared" si="20"/>
        <v>5.3507392000000085</v>
      </c>
      <c r="L83" s="4">
        <f t="shared" si="21"/>
        <v>5.0870560000000005</v>
      </c>
      <c r="M83" s="4">
        <f t="shared" si="28"/>
        <v>5.6000000000000005</v>
      </c>
      <c r="N83" s="4">
        <f t="shared" si="23"/>
        <v>67.135999999999996</v>
      </c>
      <c r="O83" s="4">
        <f t="shared" si="24"/>
        <v>83.173795200000001</v>
      </c>
      <c r="Q83" s="24">
        <v>1.0797000000000001</v>
      </c>
    </row>
    <row r="84" spans="1:20" x14ac:dyDescent="0.25">
      <c r="A84">
        <v>64</v>
      </c>
      <c r="B84" t="s">
        <v>65</v>
      </c>
      <c r="D84" s="12"/>
      <c r="E84" s="12"/>
      <c r="F84" s="22"/>
      <c r="G84" s="22"/>
      <c r="H84" s="4">
        <f t="shared" si="18"/>
        <v>0</v>
      </c>
      <c r="I84" s="4"/>
      <c r="J84" s="22">
        <f t="shared" si="19"/>
        <v>6.0220991999999889</v>
      </c>
      <c r="K84" s="22">
        <f t="shared" si="20"/>
        <v>6.0220991999999889</v>
      </c>
      <c r="L84" s="4">
        <f t="shared" si="21"/>
        <v>5.1318559999999991</v>
      </c>
      <c r="M84" s="4">
        <f t="shared" si="28"/>
        <v>5.6000000000000005</v>
      </c>
      <c r="N84" s="4">
        <f t="shared" si="23"/>
        <v>67.135999999999996</v>
      </c>
      <c r="O84" s="4">
        <f t="shared" si="24"/>
        <v>83.889955199999989</v>
      </c>
      <c r="Q84" s="24">
        <v>1.0896999999999999</v>
      </c>
    </row>
    <row r="85" spans="1:20" x14ac:dyDescent="0.25">
      <c r="A85">
        <v>65</v>
      </c>
      <c r="B85" t="s">
        <v>66</v>
      </c>
      <c r="D85" s="12"/>
      <c r="E85" s="12"/>
      <c r="F85" s="22"/>
      <c r="G85" s="22"/>
      <c r="H85" s="4">
        <f t="shared" si="18"/>
        <v>0</v>
      </c>
      <c r="I85" s="4"/>
      <c r="J85" s="22">
        <f t="shared" si="19"/>
        <v>2.3497599999999905</v>
      </c>
      <c r="K85" s="22">
        <f t="shared" si="20"/>
        <v>2.3497599999999905</v>
      </c>
      <c r="L85" s="4">
        <f t="shared" si="21"/>
        <v>4.8867999999999991</v>
      </c>
      <c r="M85" s="4">
        <f t="shared" si="28"/>
        <v>5.6000000000000005</v>
      </c>
      <c r="N85" s="4">
        <f t="shared" si="23"/>
        <v>67.135999999999996</v>
      </c>
      <c r="O85" s="4">
        <f t="shared" si="24"/>
        <v>79.972559999999987</v>
      </c>
      <c r="Q85" s="24">
        <v>1.0349999999999999</v>
      </c>
    </row>
    <row r="86" spans="1:20" ht="18" x14ac:dyDescent="0.25">
      <c r="A86">
        <v>66</v>
      </c>
      <c r="B86" s="13" t="s">
        <v>67</v>
      </c>
      <c r="D86" s="12" t="s">
        <v>92</v>
      </c>
      <c r="E86" s="71" t="s">
        <v>264</v>
      </c>
      <c r="F86" s="22">
        <f>12.63-1.58+2.28+0.79</f>
        <v>14.120000000000001</v>
      </c>
      <c r="G86" s="100">
        <f>$F$5*(0.0122-0.0029)</f>
        <v>7.44</v>
      </c>
      <c r="H86" s="4">
        <f t="shared" si="18"/>
        <v>21.560000000000002</v>
      </c>
      <c r="I86" s="4">
        <f>(0.0065+0.0047)*$F$5*Q86</f>
        <v>9.266432</v>
      </c>
      <c r="J86" s="22">
        <f t="shared" si="19"/>
        <v>2.2960512000000008</v>
      </c>
      <c r="K86" s="22">
        <f t="shared" si="20"/>
        <v>33.122483200000005</v>
      </c>
      <c r="L86" s="4">
        <f t="shared" si="21"/>
        <v>4.883216</v>
      </c>
      <c r="M86" s="4">
        <f t="shared" si="28"/>
        <v>5.6000000000000005</v>
      </c>
      <c r="N86" s="4">
        <f t="shared" si="23"/>
        <v>67.135999999999996</v>
      </c>
      <c r="O86" s="4">
        <f t="shared" si="24"/>
        <v>110.7416992</v>
      </c>
      <c r="Q86" s="24">
        <v>1.0342</v>
      </c>
      <c r="R86" s="4"/>
      <c r="S86" s="4">
        <f t="shared" ref="S86" si="30">K86-J86</f>
        <v>30.826432000000004</v>
      </c>
      <c r="T86" s="75" t="s">
        <v>102</v>
      </c>
    </row>
    <row r="87" spans="1:20" x14ac:dyDescent="0.25">
      <c r="A87">
        <v>67</v>
      </c>
      <c r="B87" t="s">
        <v>68</v>
      </c>
      <c r="D87" s="12"/>
      <c r="E87" s="12"/>
      <c r="F87" s="22"/>
      <c r="G87" s="22"/>
      <c r="H87" s="4">
        <f t="shared" si="18"/>
        <v>0</v>
      </c>
      <c r="I87" s="4"/>
      <c r="J87" s="22">
        <f t="shared" si="19"/>
        <v>2.2356288000000082</v>
      </c>
      <c r="K87" s="22">
        <f t="shared" si="20"/>
        <v>2.2356288000000082</v>
      </c>
      <c r="L87" s="4">
        <f t="shared" si="21"/>
        <v>4.8791840000000004</v>
      </c>
      <c r="M87" s="4">
        <f t="shared" si="28"/>
        <v>5.6000000000000005</v>
      </c>
      <c r="N87" s="4">
        <f t="shared" si="23"/>
        <v>67.135999999999996</v>
      </c>
      <c r="O87" s="4">
        <f t="shared" si="24"/>
        <v>79.8508128</v>
      </c>
      <c r="Q87" s="24">
        <v>1.0333000000000001</v>
      </c>
    </row>
    <row r="88" spans="1:20" ht="18" x14ac:dyDescent="0.25">
      <c r="A88">
        <v>68</v>
      </c>
      <c r="B88" s="13" t="s">
        <v>69</v>
      </c>
      <c r="D88" s="12" t="s">
        <v>98</v>
      </c>
      <c r="E88" s="71" t="s">
        <v>264</v>
      </c>
      <c r="F88" s="22">
        <f>18.63+0.68+0.78+0.07+0.73</f>
        <v>20.89</v>
      </c>
      <c r="G88" s="100">
        <f>$F$5*(0.01538+0.00005+0.00061-0.00004)</f>
        <v>12.8</v>
      </c>
      <c r="H88" s="4">
        <f t="shared" si="18"/>
        <v>33.69</v>
      </c>
      <c r="I88" s="4">
        <f>(0.00766+0.00518)*$F$5*Q88</f>
        <v>10.658227200000001</v>
      </c>
      <c r="J88" s="22">
        <f t="shared" si="19"/>
        <v>2.5243136000000033</v>
      </c>
      <c r="K88" s="22">
        <f t="shared" si="20"/>
        <v>46.872540800000003</v>
      </c>
      <c r="L88" s="4">
        <f t="shared" si="21"/>
        <v>4.8984480000000001</v>
      </c>
      <c r="M88" s="4">
        <f t="shared" si="28"/>
        <v>5.6000000000000005</v>
      </c>
      <c r="N88" s="4">
        <f t="shared" si="23"/>
        <v>67.135999999999996</v>
      </c>
      <c r="O88" s="4">
        <f t="shared" si="24"/>
        <v>124.5069888</v>
      </c>
      <c r="Q88" s="24">
        <v>1.0376000000000001</v>
      </c>
      <c r="R88" s="4"/>
      <c r="S88" s="4">
        <f t="shared" ref="S88" si="31">K88-J88</f>
        <v>44.348227199999997</v>
      </c>
      <c r="T88" s="99" t="s">
        <v>102</v>
      </c>
    </row>
    <row r="89" spans="1:20" x14ac:dyDescent="0.25">
      <c r="A89">
        <v>69</v>
      </c>
      <c r="B89" t="s">
        <v>113</v>
      </c>
      <c r="D89" s="12"/>
      <c r="E89" s="12"/>
      <c r="F89" s="22"/>
      <c r="G89" s="22"/>
      <c r="H89" s="4">
        <f t="shared" si="18"/>
        <v>0</v>
      </c>
      <c r="I89" s="4"/>
      <c r="J89" s="22">
        <f t="shared" si="19"/>
        <v>3.2359552000000047</v>
      </c>
      <c r="K89" s="22">
        <f t="shared" si="20"/>
        <v>3.2359552000000047</v>
      </c>
      <c r="L89" s="4">
        <f t="shared" si="21"/>
        <v>4.9459360000000006</v>
      </c>
      <c r="M89" s="4">
        <f t="shared" si="28"/>
        <v>5.6000000000000005</v>
      </c>
      <c r="N89" s="4">
        <f t="shared" si="23"/>
        <v>67.135999999999996</v>
      </c>
      <c r="O89" s="4">
        <f t="shared" si="24"/>
        <v>80.9178912</v>
      </c>
      <c r="Q89" s="24">
        <v>1.0482</v>
      </c>
    </row>
    <row r="90" spans="1:20" x14ac:dyDescent="0.25">
      <c r="A90">
        <v>70</v>
      </c>
      <c r="B90" t="s">
        <v>114</v>
      </c>
      <c r="D90" s="12"/>
      <c r="E90" s="12"/>
      <c r="F90" s="22"/>
      <c r="G90" s="22"/>
      <c r="H90" s="4">
        <f t="shared" si="18"/>
        <v>0</v>
      </c>
      <c r="I90" s="4"/>
      <c r="J90" s="22">
        <f t="shared" si="19"/>
        <v>3.2359552000000047</v>
      </c>
      <c r="K90" s="22">
        <f t="shared" si="20"/>
        <v>3.2359552000000047</v>
      </c>
      <c r="L90" s="4">
        <f t="shared" si="21"/>
        <v>4.9459360000000006</v>
      </c>
      <c r="M90" s="4">
        <f t="shared" si="28"/>
        <v>5.6000000000000005</v>
      </c>
      <c r="N90" s="4">
        <f t="shared" si="23"/>
        <v>67.135999999999996</v>
      </c>
      <c r="O90" s="4">
        <f t="shared" si="24"/>
        <v>80.9178912</v>
      </c>
      <c r="Q90" s="24">
        <v>1.0482</v>
      </c>
    </row>
    <row r="91" spans="1:20" ht="18" x14ac:dyDescent="0.25">
      <c r="A91">
        <v>71</v>
      </c>
      <c r="B91" s="13" t="s">
        <v>70</v>
      </c>
      <c r="D91" s="12" t="s">
        <v>98</v>
      </c>
      <c r="E91" s="71" t="s">
        <v>264</v>
      </c>
      <c r="F91" s="22">
        <f>11.2+0.65+1.86+0.79</f>
        <v>14.5</v>
      </c>
      <c r="G91" s="100">
        <f>$F$5*(0.014+0.0019+0.0003-0.002-0.0142-0.0038)</f>
        <v>-3.0399999999999987</v>
      </c>
      <c r="H91" s="4">
        <f t="shared" si="18"/>
        <v>11.46</v>
      </c>
      <c r="I91" s="4">
        <f>(0.0068+0.0049)*$F$5*Q91</f>
        <v>10.11816</v>
      </c>
      <c r="J91" s="22">
        <f t="shared" si="19"/>
        <v>5.4380159999999957</v>
      </c>
      <c r="K91" s="22">
        <f t="shared" si="20"/>
        <v>27.016175999999994</v>
      </c>
      <c r="L91" s="4">
        <f t="shared" si="21"/>
        <v>5.0928800000000001</v>
      </c>
      <c r="M91" s="4">
        <f t="shared" si="28"/>
        <v>5.6000000000000005</v>
      </c>
      <c r="N91" s="4">
        <f t="shared" si="23"/>
        <v>67.135999999999996</v>
      </c>
      <c r="O91" s="4">
        <f t="shared" si="24"/>
        <v>104.845056</v>
      </c>
      <c r="Q91" s="24">
        <v>1.081</v>
      </c>
      <c r="R91" s="4"/>
      <c r="S91" s="4">
        <f t="shared" ref="S91" si="32">K91-J91</f>
        <v>21.578159999999997</v>
      </c>
      <c r="T91" s="75" t="s">
        <v>102</v>
      </c>
    </row>
    <row r="92" spans="1:20" x14ac:dyDescent="0.25">
      <c r="A92">
        <v>72</v>
      </c>
      <c r="B92" t="s">
        <v>71</v>
      </c>
      <c r="D92" s="12"/>
      <c r="E92" s="12"/>
      <c r="F92" s="22"/>
      <c r="G92" s="22"/>
      <c r="H92" s="4">
        <f t="shared" si="18"/>
        <v>0</v>
      </c>
      <c r="I92" s="4"/>
      <c r="J92" s="22">
        <f t="shared" si="19"/>
        <v>2.7122943999999944</v>
      </c>
      <c r="K92" s="22">
        <f t="shared" si="20"/>
        <v>2.7122943999999944</v>
      </c>
      <c r="L92" s="4">
        <f t="shared" si="21"/>
        <v>4.9109919999999994</v>
      </c>
      <c r="M92" s="4">
        <f t="shared" si="28"/>
        <v>5.6000000000000005</v>
      </c>
      <c r="N92" s="4">
        <f t="shared" si="23"/>
        <v>67.135999999999996</v>
      </c>
      <c r="O92" s="4">
        <f t="shared" si="24"/>
        <v>80.359286399999988</v>
      </c>
      <c r="Q92" s="24">
        <v>1.0404</v>
      </c>
      <c r="R92" s="4"/>
    </row>
    <row r="93" spans="1:20" x14ac:dyDescent="0.25">
      <c r="A93">
        <v>73</v>
      </c>
      <c r="B93" t="s">
        <v>72</v>
      </c>
      <c r="D93" s="12"/>
      <c r="E93" s="12"/>
      <c r="F93" s="22"/>
      <c r="G93" s="22"/>
      <c r="H93" s="4">
        <f t="shared" si="18"/>
        <v>0</v>
      </c>
      <c r="I93" s="4"/>
      <c r="J93" s="22">
        <f t="shared" si="19"/>
        <v>3.5716351999999953</v>
      </c>
      <c r="K93" s="22">
        <f t="shared" si="20"/>
        <v>3.5716351999999953</v>
      </c>
      <c r="L93" s="4">
        <f t="shared" si="21"/>
        <v>4.9683359999999999</v>
      </c>
      <c r="M93" s="4">
        <f t="shared" si="28"/>
        <v>5.6000000000000005</v>
      </c>
      <c r="N93" s="4">
        <f t="shared" si="23"/>
        <v>67.135999999999996</v>
      </c>
      <c r="O93" s="4">
        <f t="shared" si="24"/>
        <v>81.275971199999987</v>
      </c>
      <c r="Q93" s="24">
        <v>1.0531999999999999</v>
      </c>
    </row>
    <row r="94" spans="1:20" x14ac:dyDescent="0.25">
      <c r="A94">
        <v>74</v>
      </c>
      <c r="B94" t="s">
        <v>73</v>
      </c>
      <c r="D94" s="12"/>
      <c r="E94" s="12"/>
      <c r="F94" s="22"/>
      <c r="G94" s="22"/>
      <c r="H94" s="4">
        <f t="shared" si="18"/>
        <v>0</v>
      </c>
      <c r="I94" s="4"/>
      <c r="J94" s="22">
        <f t="shared" si="19"/>
        <v>4.8069376000000066</v>
      </c>
      <c r="K94" s="22">
        <f t="shared" si="20"/>
        <v>4.8069376000000066</v>
      </c>
      <c r="L94" s="4">
        <f t="shared" si="21"/>
        <v>5.0507680000000006</v>
      </c>
      <c r="M94" s="4">
        <f t="shared" si="28"/>
        <v>5.6000000000000005</v>
      </c>
      <c r="N94" s="4">
        <f t="shared" si="23"/>
        <v>67.135999999999996</v>
      </c>
      <c r="O94" s="4">
        <f t="shared" si="24"/>
        <v>82.593705600000007</v>
      </c>
      <c r="Q94" s="24">
        <v>1.0716000000000001</v>
      </c>
    </row>
    <row r="95" spans="1:20" x14ac:dyDescent="0.25">
      <c r="A95">
        <v>75</v>
      </c>
      <c r="B95" t="s">
        <v>74</v>
      </c>
      <c r="D95" s="12"/>
      <c r="E95" s="12"/>
      <c r="F95" s="22"/>
      <c r="G95" s="22"/>
      <c r="H95" s="4">
        <f t="shared" si="18"/>
        <v>0</v>
      </c>
      <c r="I95" s="4"/>
      <c r="J95" s="22">
        <f t="shared" si="19"/>
        <v>3.1352512000000008</v>
      </c>
      <c r="K95" s="22">
        <f t="shared" si="20"/>
        <v>3.1352512000000008</v>
      </c>
      <c r="L95" s="4">
        <f t="shared" si="21"/>
        <v>4.9392160000000001</v>
      </c>
      <c r="M95" s="4">
        <f t="shared" si="28"/>
        <v>5.6000000000000005</v>
      </c>
      <c r="N95" s="4">
        <f t="shared" si="23"/>
        <v>67.135999999999996</v>
      </c>
      <c r="O95" s="4">
        <f t="shared" si="24"/>
        <v>80.810467200000005</v>
      </c>
      <c r="Q95" s="24">
        <v>1.0467</v>
      </c>
    </row>
    <row r="96" spans="1:20" ht="18" x14ac:dyDescent="0.25">
      <c r="A96">
        <v>76</v>
      </c>
      <c r="B96" s="13" t="s">
        <v>75</v>
      </c>
      <c r="D96" s="12" t="s">
        <v>92</v>
      </c>
      <c r="E96" s="71" t="s">
        <v>264</v>
      </c>
      <c r="F96" s="22">
        <f>12.33+0.19+0.91</f>
        <v>13.43</v>
      </c>
      <c r="G96" s="100">
        <f>$F$5*(0.0154+0.0018+0.0026)</f>
        <v>15.839999999999998</v>
      </c>
      <c r="H96" s="4">
        <f t="shared" si="18"/>
        <v>29.269999999999996</v>
      </c>
      <c r="I96" s="4">
        <f>(0.0071+0.0023)*$F$5*Q96</f>
        <v>8.0464000000000002</v>
      </c>
      <c r="J96" s="22">
        <f t="shared" si="19"/>
        <v>4.6995199999999997</v>
      </c>
      <c r="K96" s="22">
        <f t="shared" si="20"/>
        <v>42.015919999999994</v>
      </c>
      <c r="L96" s="29">
        <f>$F$5*Q96*(0.0052+0.0011)+0.25</f>
        <v>5.6428000000000003</v>
      </c>
      <c r="M96" s="4">
        <f t="shared" si="28"/>
        <v>5.6000000000000005</v>
      </c>
      <c r="N96" s="4">
        <f t="shared" si="23"/>
        <v>67.135999999999996</v>
      </c>
      <c r="O96" s="4">
        <f t="shared" si="24"/>
        <v>120.39471999999999</v>
      </c>
      <c r="Q96" s="24">
        <v>1.07</v>
      </c>
      <c r="R96" s="4"/>
      <c r="S96" s="4">
        <f t="shared" ref="S96" si="33">K96-J96</f>
        <v>37.316399999999994</v>
      </c>
      <c r="T96" s="99" t="s">
        <v>102</v>
      </c>
    </row>
    <row r="97" spans="1:18" x14ac:dyDescent="0.25">
      <c r="A97">
        <v>77</v>
      </c>
      <c r="B97" t="s">
        <v>76</v>
      </c>
      <c r="D97" s="12"/>
      <c r="E97" s="12"/>
      <c r="F97" s="22"/>
      <c r="G97" s="22"/>
      <c r="H97" s="4">
        <f t="shared" si="18"/>
        <v>0</v>
      </c>
      <c r="I97" s="4"/>
      <c r="J97" s="22">
        <f t="shared" si="19"/>
        <v>3.0479744000000042</v>
      </c>
      <c r="K97" s="22">
        <f t="shared" si="20"/>
        <v>3.0479744000000042</v>
      </c>
      <c r="L97" s="4">
        <f t="shared" si="21"/>
        <v>4.9333920000000004</v>
      </c>
      <c r="M97" s="4">
        <f t="shared" si="28"/>
        <v>5.6000000000000005</v>
      </c>
      <c r="N97" s="4">
        <f t="shared" si="23"/>
        <v>67.135999999999996</v>
      </c>
      <c r="O97" s="4">
        <f t="shared" si="24"/>
        <v>80.717366400000003</v>
      </c>
      <c r="Q97" s="24">
        <v>1.0454000000000001</v>
      </c>
      <c r="R97" s="4"/>
    </row>
    <row r="98" spans="1:18" x14ac:dyDescent="0.25">
      <c r="A98">
        <v>78</v>
      </c>
      <c r="B98" t="s">
        <v>77</v>
      </c>
      <c r="D98" s="12"/>
      <c r="E98" s="12"/>
      <c r="F98" s="22"/>
      <c r="G98" s="22"/>
      <c r="H98" s="4">
        <f t="shared" si="18"/>
        <v>0</v>
      </c>
      <c r="I98" s="4"/>
      <c r="J98" s="22">
        <f t="shared" si="19"/>
        <v>2.893561599999992</v>
      </c>
      <c r="K98" s="22">
        <f t="shared" si="20"/>
        <v>2.893561599999992</v>
      </c>
      <c r="L98" s="4">
        <f t="shared" si="21"/>
        <v>4.923087999999999</v>
      </c>
      <c r="M98" s="4">
        <f t="shared" si="28"/>
        <v>5.6000000000000005</v>
      </c>
      <c r="N98" s="4">
        <f t="shared" si="23"/>
        <v>67.135999999999996</v>
      </c>
      <c r="O98" s="4">
        <f t="shared" si="24"/>
        <v>80.552649599999995</v>
      </c>
      <c r="Q98" s="24">
        <v>1.0430999999999999</v>
      </c>
    </row>
    <row r="99" spans="1:18" x14ac:dyDescent="0.25">
      <c r="F99" s="12"/>
      <c r="G99" s="12"/>
    </row>
    <row r="100" spans="1:18" x14ac:dyDescent="0.25">
      <c r="F100" s="12"/>
      <c r="G100" s="12"/>
    </row>
    <row r="101" spans="1:18" x14ac:dyDescent="0.25">
      <c r="F101" s="12"/>
      <c r="G101" s="12"/>
    </row>
    <row r="102" spans="1:18" ht="18.75" x14ac:dyDescent="0.3">
      <c r="A102" s="27"/>
      <c r="B102" s="33" t="s">
        <v>216</v>
      </c>
      <c r="C102" s="34"/>
      <c r="D102" s="34">
        <f>COUNTA(B8:B98)</f>
        <v>91</v>
      </c>
      <c r="E102" s="34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8" ht="18.75" x14ac:dyDescent="0.3">
      <c r="A103" s="27"/>
      <c r="B103" s="33" t="s">
        <v>217</v>
      </c>
      <c r="C103" s="34"/>
      <c r="D103" s="34">
        <f>COUNTA(F8:F98)</f>
        <v>33</v>
      </c>
      <c r="E103" s="34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8" ht="18.75" x14ac:dyDescent="0.3">
      <c r="A104" s="27"/>
      <c r="B104" s="33" t="s">
        <v>218</v>
      </c>
      <c r="C104" s="34"/>
      <c r="D104" s="34">
        <f>COUNTIF(E8:E98, "No Application")</f>
        <v>0</v>
      </c>
      <c r="E104" s="34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8" ht="18.75" x14ac:dyDescent="0.3">
      <c r="A105" s="27"/>
      <c r="B105" s="33" t="s">
        <v>219</v>
      </c>
      <c r="C105" s="34"/>
      <c r="D105" s="35">
        <f>MIN(H9:H98)</f>
        <v>0</v>
      </c>
      <c r="E105" s="34" t="str">
        <f>INDEX($B$8:$B$98,MATCH(D105,$H$8:$H$98,0))</f>
        <v>Brantford Power</v>
      </c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8" ht="18.75" x14ac:dyDescent="0.3">
      <c r="A106" s="27"/>
      <c r="B106" s="33" t="s">
        <v>220</v>
      </c>
      <c r="C106" s="34"/>
      <c r="D106" s="35">
        <f>MAX(H8:H98)</f>
        <v>62.448000000000008</v>
      </c>
      <c r="E106" s="34" t="str">
        <f>INDEX($B$8:$B$98,MATCH(D106,$H$8:$H$98,0))</f>
        <v>Hydro One Networks (R2)</v>
      </c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8" ht="18.75" x14ac:dyDescent="0.3">
      <c r="A107" s="27"/>
      <c r="B107" s="33" t="s">
        <v>222</v>
      </c>
      <c r="C107" s="34"/>
      <c r="D107" s="35">
        <f>MIN(O54:O98,O8:O52)</f>
        <v>64.991951999999984</v>
      </c>
      <c r="E107" s="34" t="str">
        <f>INDEX($B$8:$B$98,MATCH(D107,$O$8:$O$98,0))</f>
        <v>Fort Frances Power</v>
      </c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8" ht="18.75" x14ac:dyDescent="0.3">
      <c r="A108" s="27"/>
      <c r="B108" s="33" t="s">
        <v>221</v>
      </c>
      <c r="C108" s="34"/>
      <c r="D108" s="35">
        <f>MAX(O8:O98)</f>
        <v>157.33531199999999</v>
      </c>
      <c r="E108" s="34" t="str">
        <f>INDEX($B$8:$B$98,MATCH(D108,$O$8:$O$98,0))</f>
        <v>Hydro One Networks (R2)</v>
      </c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8" ht="18.75" x14ac:dyDescent="0.3">
      <c r="A109" s="27"/>
      <c r="B109" s="34"/>
      <c r="C109" s="34"/>
      <c r="D109" s="34"/>
      <c r="E109" s="34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8" ht="18.75" x14ac:dyDescent="0.3">
      <c r="A110" s="27"/>
      <c r="B110" s="34"/>
      <c r="C110" s="34"/>
      <c r="D110" s="34"/>
      <c r="E110" s="34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8" ht="18.75" x14ac:dyDescent="0.3">
      <c r="A111" s="27"/>
      <c r="B111" s="34"/>
      <c r="C111" s="34"/>
      <c r="D111" s="34"/>
      <c r="E111" s="34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8" ht="18.75" x14ac:dyDescent="0.3">
      <c r="A112" s="27"/>
      <c r="B112" s="34"/>
      <c r="C112" s="34"/>
      <c r="D112" s="34"/>
      <c r="E112" s="34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</sheetData>
  <mergeCells count="1">
    <mergeCell ref="F6:H6"/>
  </mergeCell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87"/>
  <sheetViews>
    <sheetView zoomScale="130" zoomScaleNormal="130" workbookViewId="0">
      <selection activeCell="E27" sqref="E27"/>
    </sheetView>
  </sheetViews>
  <sheetFormatPr defaultRowHeight="15" x14ac:dyDescent="0.25"/>
  <cols>
    <col min="1" max="1" width="3" bestFit="1" customWidth="1"/>
    <col min="2" max="2" width="35" bestFit="1" customWidth="1"/>
    <col min="3" max="3" width="7.7109375" bestFit="1" customWidth="1"/>
    <col min="4" max="4" width="24" bestFit="1" customWidth="1"/>
  </cols>
  <sheetData>
    <row r="1" spans="1:7" x14ac:dyDescent="0.25">
      <c r="A1">
        <v>1</v>
      </c>
      <c r="B1" t="s">
        <v>2</v>
      </c>
      <c r="C1" t="s">
        <v>92</v>
      </c>
      <c r="D1" t="s">
        <v>97</v>
      </c>
      <c r="E1" t="s">
        <v>270</v>
      </c>
    </row>
    <row r="2" spans="1:7" x14ac:dyDescent="0.25">
      <c r="A2">
        <v>6</v>
      </c>
      <c r="B2" t="s">
        <v>7</v>
      </c>
      <c r="C2" t="s">
        <v>98</v>
      </c>
      <c r="D2" t="s">
        <v>97</v>
      </c>
      <c r="E2" t="s">
        <v>270</v>
      </c>
    </row>
    <row r="3" spans="1:7" x14ac:dyDescent="0.25">
      <c r="A3">
        <v>9</v>
      </c>
      <c r="B3" t="s">
        <v>8</v>
      </c>
      <c r="C3" t="s">
        <v>98</v>
      </c>
      <c r="D3" t="s">
        <v>97</v>
      </c>
      <c r="E3" t="s">
        <v>270</v>
      </c>
    </row>
    <row r="4" spans="1:7" x14ac:dyDescent="0.25">
      <c r="A4">
        <v>9</v>
      </c>
      <c r="B4" s="12" t="s">
        <v>9</v>
      </c>
      <c r="C4" s="12" t="s">
        <v>98</v>
      </c>
      <c r="D4" s="12" t="s">
        <v>97</v>
      </c>
    </row>
    <row r="5" spans="1:7" x14ac:dyDescent="0.25">
      <c r="A5">
        <v>9</v>
      </c>
      <c r="B5" s="12" t="s">
        <v>10</v>
      </c>
      <c r="C5" s="12" t="s">
        <v>98</v>
      </c>
      <c r="D5" s="12" t="s">
        <v>97</v>
      </c>
    </row>
    <row r="6" spans="1:7" x14ac:dyDescent="0.25">
      <c r="A6">
        <v>13</v>
      </c>
      <c r="B6" t="s">
        <v>105</v>
      </c>
      <c r="C6" t="s">
        <v>100</v>
      </c>
      <c r="D6" t="s">
        <v>97</v>
      </c>
      <c r="E6" t="s">
        <v>270</v>
      </c>
    </row>
    <row r="7" spans="1:7" x14ac:dyDescent="0.25">
      <c r="A7">
        <v>15</v>
      </c>
      <c r="B7" t="s">
        <v>15</v>
      </c>
      <c r="C7" t="s">
        <v>98</v>
      </c>
      <c r="D7" t="s">
        <v>97</v>
      </c>
      <c r="E7" t="s">
        <v>270</v>
      </c>
    </row>
    <row r="8" spans="1:7" x14ac:dyDescent="0.25">
      <c r="A8">
        <v>25</v>
      </c>
      <c r="B8" t="s">
        <v>30</v>
      </c>
      <c r="C8" s="12" t="s">
        <v>98</v>
      </c>
      <c r="D8" t="s">
        <v>97</v>
      </c>
      <c r="E8" t="s">
        <v>271</v>
      </c>
      <c r="F8" s="48" t="s">
        <v>273</v>
      </c>
      <c r="G8" s="11"/>
    </row>
    <row r="9" spans="1:7" x14ac:dyDescent="0.25">
      <c r="A9">
        <v>26</v>
      </c>
      <c r="B9" t="s">
        <v>31</v>
      </c>
      <c r="C9" s="12" t="s">
        <v>98</v>
      </c>
      <c r="D9" t="s">
        <v>97</v>
      </c>
      <c r="E9" t="s">
        <v>270</v>
      </c>
    </row>
    <row r="10" spans="1:7" x14ac:dyDescent="0.25">
      <c r="A10">
        <v>30</v>
      </c>
      <c r="B10" t="s">
        <v>34</v>
      </c>
      <c r="C10" t="s">
        <v>118</v>
      </c>
      <c r="D10" t="s">
        <v>97</v>
      </c>
      <c r="E10" t="s">
        <v>270</v>
      </c>
    </row>
    <row r="11" spans="1:7" x14ac:dyDescent="0.25">
      <c r="A11">
        <v>32</v>
      </c>
      <c r="B11" t="s">
        <v>108</v>
      </c>
      <c r="C11" t="s">
        <v>100</v>
      </c>
      <c r="D11" t="s">
        <v>97</v>
      </c>
      <c r="E11" t="s">
        <v>270</v>
      </c>
    </row>
    <row r="12" spans="1:7" x14ac:dyDescent="0.25">
      <c r="A12">
        <v>33</v>
      </c>
      <c r="B12" t="s">
        <v>36</v>
      </c>
      <c r="C12" t="s">
        <v>92</v>
      </c>
      <c r="D12" t="s">
        <v>97</v>
      </c>
      <c r="E12" t="s">
        <v>270</v>
      </c>
    </row>
    <row r="13" spans="1:7" x14ac:dyDescent="0.25">
      <c r="A13">
        <v>34</v>
      </c>
      <c r="B13" t="s">
        <v>37</v>
      </c>
      <c r="C13" t="s">
        <v>118</v>
      </c>
      <c r="D13" s="11" t="s">
        <v>97</v>
      </c>
      <c r="E13" t="s">
        <v>270</v>
      </c>
    </row>
    <row r="14" spans="1:7" x14ac:dyDescent="0.25">
      <c r="A14">
        <v>34</v>
      </c>
      <c r="B14" t="s">
        <v>38</v>
      </c>
      <c r="C14" t="s">
        <v>118</v>
      </c>
      <c r="D14" s="11" t="s">
        <v>97</v>
      </c>
    </row>
    <row r="15" spans="1:7" x14ac:dyDescent="0.25">
      <c r="A15">
        <v>34</v>
      </c>
      <c r="B15" t="s">
        <v>121</v>
      </c>
      <c r="C15" t="s">
        <v>118</v>
      </c>
      <c r="D15" s="11" t="s">
        <v>97</v>
      </c>
    </row>
    <row r="16" spans="1:7" x14ac:dyDescent="0.25">
      <c r="A16">
        <v>34</v>
      </c>
      <c r="B16" t="s">
        <v>39</v>
      </c>
      <c r="C16" t="s">
        <v>118</v>
      </c>
      <c r="D16" s="11" t="s">
        <v>97</v>
      </c>
    </row>
    <row r="17" spans="1:5" x14ac:dyDescent="0.25">
      <c r="A17">
        <v>35</v>
      </c>
      <c r="B17" t="s">
        <v>41</v>
      </c>
      <c r="C17" t="s">
        <v>100</v>
      </c>
      <c r="D17" t="s">
        <v>97</v>
      </c>
      <c r="E17" t="s">
        <v>270</v>
      </c>
    </row>
    <row r="18" spans="1:5" x14ac:dyDescent="0.25">
      <c r="A18">
        <v>36</v>
      </c>
      <c r="B18" t="s">
        <v>274</v>
      </c>
      <c r="C18" s="12" t="s">
        <v>98</v>
      </c>
      <c r="D18" t="s">
        <v>97</v>
      </c>
      <c r="E18" t="s">
        <v>270</v>
      </c>
    </row>
    <row r="19" spans="1:5" x14ac:dyDescent="0.25">
      <c r="A19">
        <v>40</v>
      </c>
      <c r="B19" t="s">
        <v>109</v>
      </c>
      <c r="C19" t="s">
        <v>100</v>
      </c>
      <c r="D19" t="s">
        <v>97</v>
      </c>
      <c r="E19" t="s">
        <v>270</v>
      </c>
    </row>
    <row r="20" spans="1:5" x14ac:dyDescent="0.25">
      <c r="A20">
        <v>42</v>
      </c>
      <c r="B20" t="s">
        <v>47</v>
      </c>
      <c r="C20" t="s">
        <v>100</v>
      </c>
      <c r="D20" t="s">
        <v>97</v>
      </c>
      <c r="E20" t="s">
        <v>270</v>
      </c>
    </row>
    <row r="21" spans="1:5" x14ac:dyDescent="0.25">
      <c r="A21">
        <v>52</v>
      </c>
      <c r="B21" t="s">
        <v>111</v>
      </c>
      <c r="C21" s="12" t="s">
        <v>98</v>
      </c>
      <c r="D21" t="s">
        <v>97</v>
      </c>
      <c r="E21" t="s">
        <v>270</v>
      </c>
    </row>
    <row r="22" spans="1:5" x14ac:dyDescent="0.25">
      <c r="A22">
        <v>57</v>
      </c>
      <c r="B22" s="11" t="s">
        <v>58</v>
      </c>
      <c r="C22" t="s">
        <v>100</v>
      </c>
      <c r="D22" t="s">
        <v>97</v>
      </c>
      <c r="E22" t="s">
        <v>270</v>
      </c>
    </row>
    <row r="23" spans="1:5" x14ac:dyDescent="0.25">
      <c r="A23">
        <v>59</v>
      </c>
      <c r="B23" t="s">
        <v>60</v>
      </c>
      <c r="C23" s="12" t="s">
        <v>98</v>
      </c>
      <c r="D23" t="s">
        <v>97</v>
      </c>
    </row>
    <row r="24" spans="1:5" x14ac:dyDescent="0.25">
      <c r="A24">
        <v>60</v>
      </c>
      <c r="B24" t="s">
        <v>61</v>
      </c>
      <c r="C24" s="12" t="s">
        <v>98</v>
      </c>
      <c r="D24" t="s">
        <v>97</v>
      </c>
      <c r="E24" t="s">
        <v>270</v>
      </c>
    </row>
    <row r="25" spans="1:5" x14ac:dyDescent="0.25">
      <c r="A25">
        <v>65</v>
      </c>
      <c r="B25" t="s">
        <v>66</v>
      </c>
      <c r="C25" t="s">
        <v>92</v>
      </c>
      <c r="D25" t="s">
        <v>97</v>
      </c>
    </row>
    <row r="26" spans="1:5" x14ac:dyDescent="0.25">
      <c r="A26">
        <v>76</v>
      </c>
      <c r="B26" t="s">
        <v>76</v>
      </c>
      <c r="C26" t="s">
        <v>100</v>
      </c>
      <c r="D26" t="s">
        <v>97</v>
      </c>
    </row>
    <row r="27" spans="1:5" x14ac:dyDescent="0.25">
      <c r="A27">
        <v>21</v>
      </c>
      <c r="B27" t="s">
        <v>26</v>
      </c>
      <c r="C27" t="s">
        <v>92</v>
      </c>
      <c r="D27" t="s">
        <v>96</v>
      </c>
      <c r="E27" t="s">
        <v>270</v>
      </c>
    </row>
    <row r="28" spans="1:5" x14ac:dyDescent="0.25">
      <c r="A28">
        <v>39</v>
      </c>
      <c r="B28" t="s">
        <v>45</v>
      </c>
      <c r="C28" t="s">
        <v>100</v>
      </c>
      <c r="D28" t="s">
        <v>96</v>
      </c>
      <c r="E28" t="s">
        <v>270</v>
      </c>
    </row>
    <row r="29" spans="1:5" x14ac:dyDescent="0.25">
      <c r="A29">
        <v>71</v>
      </c>
      <c r="B29" t="s">
        <v>71</v>
      </c>
      <c r="C29" s="12" t="s">
        <v>98</v>
      </c>
      <c r="D29" t="s">
        <v>96</v>
      </c>
      <c r="E29" t="s">
        <v>270</v>
      </c>
    </row>
    <row r="30" spans="1:5" x14ac:dyDescent="0.25">
      <c r="A30">
        <v>20</v>
      </c>
      <c r="B30" t="s">
        <v>25</v>
      </c>
      <c r="C30" s="12" t="s">
        <v>98</v>
      </c>
      <c r="D30" t="s">
        <v>116</v>
      </c>
      <c r="E30" t="s">
        <v>275</v>
      </c>
    </row>
    <row r="31" spans="1:5" x14ac:dyDescent="0.25">
      <c r="A31">
        <v>48</v>
      </c>
      <c r="B31" t="s">
        <v>124</v>
      </c>
      <c r="C31" t="s">
        <v>92</v>
      </c>
      <c r="D31" t="s">
        <v>123</v>
      </c>
      <c r="E31" t="s">
        <v>275</v>
      </c>
    </row>
    <row r="32" spans="1:5" x14ac:dyDescent="0.25">
      <c r="A32">
        <v>2</v>
      </c>
      <c r="B32" t="s">
        <v>3</v>
      </c>
      <c r="C32" t="s">
        <v>100</v>
      </c>
      <c r="D32" t="s">
        <v>96</v>
      </c>
      <c r="E32" t="s">
        <v>275</v>
      </c>
    </row>
    <row r="33" spans="1:5" x14ac:dyDescent="0.25">
      <c r="A33">
        <v>4</v>
      </c>
      <c r="B33" t="s">
        <v>5</v>
      </c>
      <c r="C33" t="s">
        <v>100</v>
      </c>
      <c r="D33" t="s">
        <v>96</v>
      </c>
      <c r="E33" t="s">
        <v>275</v>
      </c>
    </row>
    <row r="34" spans="1:5" x14ac:dyDescent="0.25">
      <c r="A34">
        <v>5</v>
      </c>
      <c r="B34" t="s">
        <v>6</v>
      </c>
      <c r="C34" t="s">
        <v>210</v>
      </c>
      <c r="D34" t="s">
        <v>96</v>
      </c>
      <c r="E34" t="s">
        <v>275</v>
      </c>
    </row>
    <row r="35" spans="1:5" x14ac:dyDescent="0.25">
      <c r="A35">
        <v>7</v>
      </c>
      <c r="B35" t="s">
        <v>103</v>
      </c>
      <c r="C35" t="s">
        <v>98</v>
      </c>
      <c r="D35" t="s">
        <v>96</v>
      </c>
      <c r="E35" t="s">
        <v>275</v>
      </c>
    </row>
    <row r="36" spans="1:5" x14ac:dyDescent="0.25">
      <c r="A36">
        <v>8</v>
      </c>
      <c r="B36" t="s">
        <v>104</v>
      </c>
      <c r="C36" t="s">
        <v>98</v>
      </c>
      <c r="D36" t="s">
        <v>96</v>
      </c>
      <c r="E36" t="s">
        <v>275</v>
      </c>
    </row>
    <row r="37" spans="1:5" x14ac:dyDescent="0.25">
      <c r="A37">
        <v>10</v>
      </c>
      <c r="B37" t="s">
        <v>11</v>
      </c>
      <c r="C37" s="12" t="s">
        <v>98</v>
      </c>
      <c r="D37" t="s">
        <v>96</v>
      </c>
      <c r="E37" t="s">
        <v>275</v>
      </c>
    </row>
    <row r="38" spans="1:5" x14ac:dyDescent="0.25">
      <c r="A38">
        <v>11</v>
      </c>
      <c r="B38" t="s">
        <v>12</v>
      </c>
      <c r="C38" s="12" t="s">
        <v>100</v>
      </c>
      <c r="D38" t="s">
        <v>96</v>
      </c>
      <c r="E38" t="s">
        <v>271</v>
      </c>
    </row>
    <row r="39" spans="1:5" x14ac:dyDescent="0.25">
      <c r="A39">
        <v>12</v>
      </c>
      <c r="B39" t="s">
        <v>13</v>
      </c>
      <c r="C39" t="s">
        <v>100</v>
      </c>
      <c r="D39" t="s">
        <v>96</v>
      </c>
      <c r="E39" t="s">
        <v>275</v>
      </c>
    </row>
    <row r="40" spans="1:5" x14ac:dyDescent="0.25">
      <c r="A40">
        <v>14</v>
      </c>
      <c r="B40" t="s">
        <v>14</v>
      </c>
      <c r="C40" t="s">
        <v>100</v>
      </c>
      <c r="D40" t="s">
        <v>96</v>
      </c>
      <c r="E40" t="s">
        <v>275</v>
      </c>
    </row>
    <row r="41" spans="1:5" x14ac:dyDescent="0.25">
      <c r="A41">
        <v>16</v>
      </c>
      <c r="B41" t="s">
        <v>16</v>
      </c>
      <c r="C41" s="12" t="s">
        <v>98</v>
      </c>
      <c r="D41" t="s">
        <v>96</v>
      </c>
      <c r="E41" t="s">
        <v>275</v>
      </c>
    </row>
    <row r="42" spans="1:5" x14ac:dyDescent="0.25">
      <c r="A42">
        <v>16</v>
      </c>
      <c r="B42" t="s">
        <v>17</v>
      </c>
      <c r="C42" s="12" t="s">
        <v>98</v>
      </c>
      <c r="D42" t="s">
        <v>96</v>
      </c>
    </row>
    <row r="43" spans="1:5" x14ac:dyDescent="0.25">
      <c r="A43">
        <v>16</v>
      </c>
      <c r="B43" t="s">
        <v>18</v>
      </c>
      <c r="C43" s="12" t="s">
        <v>98</v>
      </c>
      <c r="D43" t="s">
        <v>96</v>
      </c>
    </row>
    <row r="44" spans="1:5" x14ac:dyDescent="0.25">
      <c r="A44">
        <v>16</v>
      </c>
      <c r="B44" t="s">
        <v>19</v>
      </c>
      <c r="C44" s="12" t="s">
        <v>98</v>
      </c>
      <c r="D44" t="s">
        <v>96</v>
      </c>
    </row>
    <row r="45" spans="1:5" x14ac:dyDescent="0.25">
      <c r="A45">
        <v>17</v>
      </c>
      <c r="B45" t="s">
        <v>20</v>
      </c>
      <c r="C45" t="s">
        <v>210</v>
      </c>
      <c r="D45" t="s">
        <v>96</v>
      </c>
      <c r="E45" t="s">
        <v>275</v>
      </c>
    </row>
    <row r="46" spans="1:5" x14ac:dyDescent="0.25">
      <c r="A46">
        <v>18</v>
      </c>
      <c r="B46" t="s">
        <v>21</v>
      </c>
      <c r="C46" t="s">
        <v>100</v>
      </c>
      <c r="D46" t="s">
        <v>96</v>
      </c>
      <c r="E46" t="s">
        <v>275</v>
      </c>
    </row>
    <row r="47" spans="1:5" x14ac:dyDescent="0.25">
      <c r="A47">
        <v>18</v>
      </c>
      <c r="B47" t="s">
        <v>21</v>
      </c>
      <c r="C47" t="s">
        <v>100</v>
      </c>
      <c r="D47" t="s">
        <v>96</v>
      </c>
    </row>
    <row r="48" spans="1:5" x14ac:dyDescent="0.25">
      <c r="A48">
        <v>19</v>
      </c>
      <c r="B48" t="s">
        <v>24</v>
      </c>
      <c r="C48" s="12" t="s">
        <v>98</v>
      </c>
      <c r="D48" t="s">
        <v>96</v>
      </c>
      <c r="E48" t="s">
        <v>271</v>
      </c>
    </row>
    <row r="49" spans="1:5" x14ac:dyDescent="0.25">
      <c r="A49">
        <v>23</v>
      </c>
      <c r="B49" t="s">
        <v>106</v>
      </c>
      <c r="C49" t="s">
        <v>100</v>
      </c>
      <c r="D49" t="s">
        <v>96</v>
      </c>
      <c r="E49" t="s">
        <v>275</v>
      </c>
    </row>
    <row r="50" spans="1:5" x14ac:dyDescent="0.25">
      <c r="A50">
        <v>24</v>
      </c>
      <c r="B50" t="s">
        <v>29</v>
      </c>
      <c r="C50" t="s">
        <v>100</v>
      </c>
      <c r="D50" t="s">
        <v>96</v>
      </c>
      <c r="E50" t="s">
        <v>275</v>
      </c>
    </row>
    <row r="51" spans="1:5" x14ac:dyDescent="0.25">
      <c r="A51">
        <v>28</v>
      </c>
      <c r="B51" t="s">
        <v>32</v>
      </c>
      <c r="C51" s="12" t="s">
        <v>98</v>
      </c>
      <c r="D51" t="s">
        <v>96</v>
      </c>
      <c r="E51" t="s">
        <v>275</v>
      </c>
    </row>
    <row r="52" spans="1:5" x14ac:dyDescent="0.25">
      <c r="A52">
        <v>31</v>
      </c>
      <c r="B52" t="s">
        <v>35</v>
      </c>
      <c r="C52" t="s">
        <v>100</v>
      </c>
      <c r="D52" t="s">
        <v>96</v>
      </c>
      <c r="E52" t="s">
        <v>275</v>
      </c>
    </row>
    <row r="53" spans="1:5" x14ac:dyDescent="0.25">
      <c r="A53">
        <v>34</v>
      </c>
      <c r="B53" t="s">
        <v>40</v>
      </c>
      <c r="C53" t="s">
        <v>100</v>
      </c>
      <c r="D53" t="s">
        <v>96</v>
      </c>
      <c r="E53" t="s">
        <v>275</v>
      </c>
    </row>
    <row r="54" spans="1:5" x14ac:dyDescent="0.25">
      <c r="A54">
        <v>38</v>
      </c>
      <c r="B54" t="s">
        <v>44</v>
      </c>
      <c r="C54" t="s">
        <v>210</v>
      </c>
      <c r="D54" t="s">
        <v>96</v>
      </c>
      <c r="E54" t="s">
        <v>275</v>
      </c>
    </row>
    <row r="55" spans="1:5" x14ac:dyDescent="0.25">
      <c r="A55">
        <v>41</v>
      </c>
      <c r="B55" t="s">
        <v>46</v>
      </c>
      <c r="C55" s="12" t="s">
        <v>98</v>
      </c>
      <c r="D55" t="s">
        <v>96</v>
      </c>
      <c r="E55" t="s">
        <v>275</v>
      </c>
    </row>
    <row r="56" spans="1:5" x14ac:dyDescent="0.25">
      <c r="A56">
        <v>43</v>
      </c>
      <c r="B56" t="s">
        <v>48</v>
      </c>
      <c r="C56" t="s">
        <v>100</v>
      </c>
      <c r="D56" t="s">
        <v>96</v>
      </c>
      <c r="E56" t="s">
        <v>275</v>
      </c>
    </row>
    <row r="57" spans="1:5" x14ac:dyDescent="0.25">
      <c r="A57">
        <v>44</v>
      </c>
      <c r="B57" t="s">
        <v>49</v>
      </c>
      <c r="C57" t="s">
        <v>100</v>
      </c>
      <c r="D57" t="s">
        <v>96</v>
      </c>
      <c r="E57" t="s">
        <v>275</v>
      </c>
    </row>
    <row r="58" spans="1:5" x14ac:dyDescent="0.25">
      <c r="A58">
        <v>45</v>
      </c>
      <c r="B58" t="s">
        <v>50</v>
      </c>
      <c r="C58" s="12" t="s">
        <v>98</v>
      </c>
      <c r="D58" t="s">
        <v>96</v>
      </c>
      <c r="E58" t="s">
        <v>275</v>
      </c>
    </row>
    <row r="59" spans="1:5" x14ac:dyDescent="0.25">
      <c r="A59">
        <v>47</v>
      </c>
      <c r="B59" t="s">
        <v>110</v>
      </c>
      <c r="C59" s="12" t="s">
        <v>98</v>
      </c>
      <c r="D59" t="s">
        <v>96</v>
      </c>
      <c r="E59" t="s">
        <v>275</v>
      </c>
    </row>
    <row r="60" spans="1:5" x14ac:dyDescent="0.25">
      <c r="A60">
        <v>51</v>
      </c>
      <c r="B60" t="s">
        <v>54</v>
      </c>
      <c r="C60" t="s">
        <v>100</v>
      </c>
      <c r="D60" t="s">
        <v>96</v>
      </c>
      <c r="E60" t="s">
        <v>275</v>
      </c>
    </row>
    <row r="61" spans="1:5" x14ac:dyDescent="0.25">
      <c r="A61">
        <v>53</v>
      </c>
      <c r="B61" t="s">
        <v>112</v>
      </c>
      <c r="C61" t="s">
        <v>100</v>
      </c>
      <c r="D61" t="s">
        <v>96</v>
      </c>
      <c r="E61" t="s">
        <v>275</v>
      </c>
    </row>
    <row r="62" spans="1:5" x14ac:dyDescent="0.25">
      <c r="A62">
        <v>54</v>
      </c>
      <c r="B62" t="s">
        <v>55</v>
      </c>
      <c r="C62" s="12" t="s">
        <v>98</v>
      </c>
      <c r="D62" t="s">
        <v>96</v>
      </c>
      <c r="E62" t="s">
        <v>275</v>
      </c>
    </row>
    <row r="63" spans="1:5" x14ac:dyDescent="0.25">
      <c r="A63">
        <v>58</v>
      </c>
      <c r="B63" t="s">
        <v>59</v>
      </c>
      <c r="C63" t="s">
        <v>100</v>
      </c>
      <c r="D63" t="s">
        <v>96</v>
      </c>
      <c r="E63" t="s">
        <v>275</v>
      </c>
    </row>
    <row r="64" spans="1:5" x14ac:dyDescent="0.25">
      <c r="A64">
        <v>61</v>
      </c>
      <c r="B64" t="s">
        <v>62</v>
      </c>
      <c r="C64" t="s">
        <v>100</v>
      </c>
      <c r="D64" t="s">
        <v>96</v>
      </c>
      <c r="E64" t="s">
        <v>275</v>
      </c>
    </row>
    <row r="65" spans="1:5" x14ac:dyDescent="0.25">
      <c r="A65">
        <v>62</v>
      </c>
      <c r="B65" t="s">
        <v>63</v>
      </c>
      <c r="C65" t="s">
        <v>210</v>
      </c>
      <c r="D65" t="s">
        <v>96</v>
      </c>
      <c r="E65" t="s">
        <v>271</v>
      </c>
    </row>
    <row r="66" spans="1:5" x14ac:dyDescent="0.25">
      <c r="A66">
        <v>63</v>
      </c>
      <c r="B66" t="s">
        <v>64</v>
      </c>
      <c r="C66" t="s">
        <v>100</v>
      </c>
      <c r="D66" t="s">
        <v>96</v>
      </c>
      <c r="E66" t="s">
        <v>271</v>
      </c>
    </row>
    <row r="67" spans="1:5" x14ac:dyDescent="0.25">
      <c r="A67">
        <v>64</v>
      </c>
      <c r="B67" t="s">
        <v>65</v>
      </c>
      <c r="C67" t="s">
        <v>100</v>
      </c>
      <c r="D67" t="s">
        <v>96</v>
      </c>
      <c r="E67" t="s">
        <v>275</v>
      </c>
    </row>
    <row r="68" spans="1:5" x14ac:dyDescent="0.25">
      <c r="A68">
        <v>66</v>
      </c>
      <c r="B68" t="s">
        <v>67</v>
      </c>
      <c r="C68" t="s">
        <v>100</v>
      </c>
      <c r="D68" t="s">
        <v>96</v>
      </c>
      <c r="E68" t="s">
        <v>275</v>
      </c>
    </row>
    <row r="69" spans="1:5" x14ac:dyDescent="0.25">
      <c r="A69">
        <v>67</v>
      </c>
      <c r="B69" t="s">
        <v>68</v>
      </c>
      <c r="C69" t="s">
        <v>100</v>
      </c>
      <c r="D69" t="s">
        <v>96</v>
      </c>
      <c r="E69" t="s">
        <v>271</v>
      </c>
    </row>
    <row r="70" spans="1:5" x14ac:dyDescent="0.25">
      <c r="A70">
        <v>69</v>
      </c>
      <c r="B70" t="s">
        <v>113</v>
      </c>
      <c r="C70" t="s">
        <v>100</v>
      </c>
      <c r="D70" t="s">
        <v>96</v>
      </c>
      <c r="E70" t="s">
        <v>275</v>
      </c>
    </row>
    <row r="71" spans="1:5" x14ac:dyDescent="0.25">
      <c r="A71">
        <v>70</v>
      </c>
      <c r="B71" t="s">
        <v>70</v>
      </c>
      <c r="C71" t="s">
        <v>100</v>
      </c>
      <c r="D71" t="s">
        <v>96</v>
      </c>
      <c r="E71" t="s">
        <v>275</v>
      </c>
    </row>
    <row r="72" spans="1:5" x14ac:dyDescent="0.25">
      <c r="A72">
        <v>72</v>
      </c>
      <c r="B72" t="s">
        <v>72</v>
      </c>
      <c r="C72" t="s">
        <v>100</v>
      </c>
      <c r="D72" t="s">
        <v>96</v>
      </c>
      <c r="E72" t="s">
        <v>275</v>
      </c>
    </row>
    <row r="73" spans="1:5" x14ac:dyDescent="0.25">
      <c r="A73">
        <v>73</v>
      </c>
      <c r="B73" t="s">
        <v>73</v>
      </c>
      <c r="C73" t="s">
        <v>100</v>
      </c>
      <c r="D73" t="s">
        <v>96</v>
      </c>
      <c r="E73" t="s">
        <v>275</v>
      </c>
    </row>
    <row r="74" spans="1:5" x14ac:dyDescent="0.25">
      <c r="A74">
        <v>74</v>
      </c>
      <c r="B74" t="s">
        <v>74</v>
      </c>
      <c r="C74" t="s">
        <v>100</v>
      </c>
      <c r="D74" t="s">
        <v>96</v>
      </c>
    </row>
    <row r="75" spans="1:5" x14ac:dyDescent="0.25">
      <c r="A75">
        <v>75</v>
      </c>
      <c r="B75" t="s">
        <v>75</v>
      </c>
      <c r="C75" t="s">
        <v>100</v>
      </c>
      <c r="D75" t="s">
        <v>96</v>
      </c>
    </row>
    <row r="76" spans="1:5" x14ac:dyDescent="0.25">
      <c r="A76">
        <v>27</v>
      </c>
      <c r="B76" t="s">
        <v>107</v>
      </c>
      <c r="D76" s="11" t="s">
        <v>119</v>
      </c>
      <c r="E76" t="s">
        <v>270</v>
      </c>
    </row>
    <row r="77" spans="1:5" x14ac:dyDescent="0.25">
      <c r="A77">
        <v>49</v>
      </c>
      <c r="B77" t="s">
        <v>52</v>
      </c>
      <c r="D77" s="11" t="s">
        <v>119</v>
      </c>
      <c r="E77" t="s">
        <v>270</v>
      </c>
    </row>
    <row r="78" spans="1:5" x14ac:dyDescent="0.25">
      <c r="A78">
        <v>77</v>
      </c>
      <c r="B78" t="s">
        <v>77</v>
      </c>
      <c r="D78" s="11" t="s">
        <v>119</v>
      </c>
      <c r="E78" t="s">
        <v>270</v>
      </c>
    </row>
    <row r="79" spans="1:5" x14ac:dyDescent="0.25">
      <c r="A79">
        <v>56</v>
      </c>
      <c r="B79" t="s">
        <v>57</v>
      </c>
      <c r="D79" s="11" t="s">
        <v>126</v>
      </c>
    </row>
    <row r="80" spans="1:5" x14ac:dyDescent="0.25">
      <c r="A80">
        <v>3</v>
      </c>
      <c r="B80" t="s">
        <v>4</v>
      </c>
      <c r="D80" s="11" t="s">
        <v>122</v>
      </c>
    </row>
    <row r="81" spans="1:7" x14ac:dyDescent="0.25">
      <c r="A81">
        <v>22</v>
      </c>
      <c r="B81" t="s">
        <v>28</v>
      </c>
      <c r="D81" s="11" t="s">
        <v>122</v>
      </c>
    </row>
    <row r="82" spans="1:7" x14ac:dyDescent="0.25">
      <c r="A82">
        <v>37</v>
      </c>
      <c r="B82" t="s">
        <v>43</v>
      </c>
      <c r="D82" s="11" t="s">
        <v>122</v>
      </c>
    </row>
    <row r="83" spans="1:7" x14ac:dyDescent="0.25">
      <c r="A83">
        <v>29</v>
      </c>
      <c r="B83" t="s">
        <v>33</v>
      </c>
      <c r="C83" s="12" t="s">
        <v>92</v>
      </c>
      <c r="D83" s="11" t="s">
        <v>117</v>
      </c>
      <c r="E83" s="76" t="s">
        <v>271</v>
      </c>
    </row>
    <row r="84" spans="1:7" x14ac:dyDescent="0.25">
      <c r="A84">
        <v>46</v>
      </c>
      <c r="B84" t="s">
        <v>51</v>
      </c>
      <c r="D84" s="11" t="s">
        <v>117</v>
      </c>
      <c r="E84" s="43" t="s">
        <v>271</v>
      </c>
    </row>
    <row r="85" spans="1:7" x14ac:dyDescent="0.25">
      <c r="A85">
        <v>55</v>
      </c>
      <c r="B85" t="s">
        <v>56</v>
      </c>
      <c r="C85" s="12" t="s">
        <v>118</v>
      </c>
      <c r="D85" s="11" t="s">
        <v>117</v>
      </c>
      <c r="E85" s="76" t="s">
        <v>271</v>
      </c>
    </row>
    <row r="86" spans="1:7" x14ac:dyDescent="0.25">
      <c r="A86">
        <v>68</v>
      </c>
      <c r="B86" t="s">
        <v>69</v>
      </c>
      <c r="C86" t="s">
        <v>118</v>
      </c>
      <c r="D86" s="11" t="s">
        <v>117</v>
      </c>
      <c r="E86" s="11" t="s">
        <v>270</v>
      </c>
      <c r="F86" s="11" t="s">
        <v>272</v>
      </c>
      <c r="G86" s="11"/>
    </row>
    <row r="87" spans="1:7" x14ac:dyDescent="0.25">
      <c r="A87">
        <v>50</v>
      </c>
      <c r="B87" s="11" t="s">
        <v>53</v>
      </c>
      <c r="C87" t="s">
        <v>92</v>
      </c>
      <c r="D87" s="11" t="s">
        <v>125</v>
      </c>
      <c r="E87" s="43" t="s">
        <v>271</v>
      </c>
    </row>
  </sheetData>
  <sortState ref="A1:D87">
    <sortCondition ref="D1:D87"/>
  </sortState>
  <pageMargins left="0.7" right="0.7" top="0.75" bottom="0.75" header="0.3" footer="0.3"/>
  <pageSetup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16"/>
  <sheetViews>
    <sheetView tabSelected="1" topLeftCell="A4" workbookViewId="0">
      <pane xSplit="3" ySplit="3" topLeftCell="D104" activePane="bottomRight" state="frozen"/>
      <selection activeCell="A4" sqref="A4"/>
      <selection pane="topRight" activeCell="D4" sqref="D4"/>
      <selection pane="bottomLeft" activeCell="A7" sqref="A7"/>
      <selection pane="bottomRight" activeCell="A105" sqref="A105"/>
    </sheetView>
  </sheetViews>
  <sheetFormatPr defaultRowHeight="15" x14ac:dyDescent="0.25"/>
  <cols>
    <col min="1" max="1" width="13.42578125" customWidth="1"/>
    <col min="2" max="2" width="7.5703125" customWidth="1"/>
  </cols>
  <sheetData>
    <row r="1" spans="1:17" ht="14.45" x14ac:dyDescent="0.3">
      <c r="N1" s="40" t="s">
        <v>320</v>
      </c>
      <c r="O1" s="11"/>
      <c r="P1" s="11"/>
      <c r="Q1" s="11"/>
    </row>
    <row r="2" spans="1:17" ht="14.45" x14ac:dyDescent="0.3">
      <c r="N2" t="s">
        <v>86</v>
      </c>
      <c r="O2" s="8">
        <v>8.6999999999999994E-2</v>
      </c>
      <c r="P2" s="9">
        <v>0.65</v>
      </c>
      <c r="Q2" s="8"/>
    </row>
    <row r="3" spans="1:17" ht="14.45" x14ac:dyDescent="0.3">
      <c r="B3" s="31" t="s">
        <v>305</v>
      </c>
      <c r="N3" t="s">
        <v>87</v>
      </c>
      <c r="O3" s="8">
        <v>0.13200000000000001</v>
      </c>
      <c r="P3" s="9">
        <v>0.17</v>
      </c>
      <c r="Q3" s="8"/>
    </row>
    <row r="4" spans="1:17" ht="21" x14ac:dyDescent="0.35">
      <c r="B4" s="1" t="s">
        <v>200</v>
      </c>
      <c r="I4" s="14" t="s">
        <v>102</v>
      </c>
      <c r="J4" s="87" t="s">
        <v>312</v>
      </c>
      <c r="K4" s="87"/>
      <c r="N4" t="s">
        <v>88</v>
      </c>
      <c r="O4" s="8">
        <v>0.18</v>
      </c>
      <c r="P4" s="9">
        <v>0.18</v>
      </c>
      <c r="Q4" s="8"/>
    </row>
    <row r="5" spans="1:17" ht="14.45" x14ac:dyDescent="0.3">
      <c r="B5" t="str">
        <f>CONCATENATE("Residential @ ",F5,"kWh/month")</f>
        <v>Residential @ 460kWh/month</v>
      </c>
      <c r="F5" s="3">
        <v>460</v>
      </c>
      <c r="G5" t="s">
        <v>81</v>
      </c>
      <c r="N5" t="s">
        <v>89</v>
      </c>
      <c r="O5" s="8">
        <f>P2*O2+P3*O3+P4*O4</f>
        <v>0.11139</v>
      </c>
      <c r="P5" s="8"/>
      <c r="Q5" s="8"/>
    </row>
    <row r="6" spans="1:17" ht="18.600000000000001" thickBot="1" x14ac:dyDescent="0.4">
      <c r="B6" s="2" t="s">
        <v>1</v>
      </c>
      <c r="F6" s="128"/>
      <c r="G6" s="128"/>
      <c r="H6" s="128"/>
      <c r="O6" t="s">
        <v>302</v>
      </c>
    </row>
    <row r="7" spans="1:17" ht="18" x14ac:dyDescent="0.35">
      <c r="B7" s="2"/>
      <c r="D7" s="3" t="s">
        <v>277</v>
      </c>
      <c r="E7" s="3" t="s">
        <v>283</v>
      </c>
      <c r="F7" s="7" t="s">
        <v>78</v>
      </c>
      <c r="G7" s="7" t="s">
        <v>79</v>
      </c>
      <c r="H7" s="7" t="s">
        <v>80</v>
      </c>
      <c r="J7" s="3" t="s">
        <v>82</v>
      </c>
      <c r="K7" s="3" t="s">
        <v>90</v>
      </c>
      <c r="L7" s="3" t="s">
        <v>91</v>
      </c>
      <c r="M7" s="5" t="s">
        <v>83</v>
      </c>
      <c r="N7">
        <v>500</v>
      </c>
      <c r="O7" s="125">
        <v>1000</v>
      </c>
    </row>
    <row r="8" spans="1:17" ht="18" x14ac:dyDescent="0.25">
      <c r="A8" s="13">
        <v>1</v>
      </c>
      <c r="B8" s="13" t="s">
        <v>2</v>
      </c>
      <c r="C8" s="13" t="s">
        <v>98</v>
      </c>
      <c r="D8" s="82" t="s">
        <v>261</v>
      </c>
      <c r="E8" s="83" t="s">
        <v>278</v>
      </c>
      <c r="F8" s="30">
        <f>27.76+0.79</f>
        <v>28.55</v>
      </c>
      <c r="G8" s="30">
        <f>$F$5*(0.0288-0.0019)</f>
        <v>12.374000000000001</v>
      </c>
      <c r="H8" s="30">
        <f t="shared" ref="H8:H58" si="0">F8+G8</f>
        <v>40.923999999999999</v>
      </c>
      <c r="I8" s="14" t="s">
        <v>102</v>
      </c>
      <c r="J8" s="30">
        <f>(0.007+0.0051)*$F$5*M8</f>
        <v>6.0764021999999995</v>
      </c>
      <c r="K8" s="30">
        <f>(M8*$F$5-$F$5)*$O$5</f>
        <v>4.6986529799999959</v>
      </c>
      <c r="L8" s="30">
        <f t="shared" ref="L8:L9" si="1">H8+J8+K8</f>
        <v>51.699055179999995</v>
      </c>
      <c r="M8" s="88">
        <v>1.0916999999999999</v>
      </c>
    </row>
    <row r="9" spans="1:17" ht="18" x14ac:dyDescent="0.25">
      <c r="A9" s="13">
        <v>2</v>
      </c>
      <c r="B9" s="13" t="s">
        <v>3</v>
      </c>
      <c r="C9" s="13" t="s">
        <v>210</v>
      </c>
      <c r="D9" s="84" t="s">
        <v>264</v>
      </c>
      <c r="E9" s="83" t="s">
        <v>278</v>
      </c>
      <c r="F9" s="30">
        <f>36.95+1.06+0.79</f>
        <v>38.800000000000004</v>
      </c>
      <c r="G9" s="30">
        <f>$F$5*(0.0104+0.0008)</f>
        <v>5.1520000000000001</v>
      </c>
      <c r="H9" s="30">
        <f t="shared" si="0"/>
        <v>43.952000000000005</v>
      </c>
      <c r="I9" s="14" t="s">
        <v>102</v>
      </c>
      <c r="J9" s="30">
        <f>(0.0046+0.0035)*$F$5*M9</f>
        <v>4.0158828</v>
      </c>
      <c r="K9" s="30">
        <f>(M9*$F$5-$F$5)*$O$5</f>
        <v>3.9864253200000075</v>
      </c>
      <c r="L9" s="30">
        <f t="shared" si="1"/>
        <v>51.954308120000015</v>
      </c>
      <c r="M9" s="88">
        <v>1.0778000000000001</v>
      </c>
    </row>
    <row r="10" spans="1:17" ht="17.45" x14ac:dyDescent="0.3">
      <c r="A10" s="19">
        <v>3</v>
      </c>
      <c r="B10" s="19" t="s">
        <v>4</v>
      </c>
      <c r="C10" s="19"/>
      <c r="D10" s="86"/>
      <c r="E10" s="86"/>
      <c r="F10" s="22"/>
      <c r="G10" s="22"/>
      <c r="H10" s="22"/>
      <c r="I10" s="23"/>
      <c r="J10" s="12"/>
      <c r="K10" s="12"/>
      <c r="L10" s="12"/>
      <c r="M10" s="12"/>
    </row>
    <row r="11" spans="1:17" ht="18" x14ac:dyDescent="0.25">
      <c r="A11" s="13">
        <v>4</v>
      </c>
      <c r="B11" s="13" t="s">
        <v>5</v>
      </c>
      <c r="C11" s="13" t="s">
        <v>98</v>
      </c>
      <c r="D11" s="84" t="s">
        <v>264</v>
      </c>
      <c r="E11" s="83" t="s">
        <v>278</v>
      </c>
      <c r="F11" s="30">
        <f>19.87+0.79</f>
        <v>20.66</v>
      </c>
      <c r="G11" s="30">
        <f>$F$5*(0.0166+0.0002+0.0002-0.0002)</f>
        <v>7.7279999999999998</v>
      </c>
      <c r="H11" s="30">
        <f t="shared" si="0"/>
        <v>28.387999999999998</v>
      </c>
      <c r="I11" s="14" t="s">
        <v>102</v>
      </c>
      <c r="J11" s="30">
        <f>(0.0066+0.0058)*$F$5*M11</f>
        <v>5.9441383999999999</v>
      </c>
      <c r="K11" s="30">
        <f t="shared" ref="K11:K19" si="2">(M11*$F$5-$F$5)*$O$5</f>
        <v>2.1571787399999987</v>
      </c>
      <c r="L11" s="30">
        <f t="shared" ref="L11:L19" si="3">H11+J11+K11</f>
        <v>36.489317139999997</v>
      </c>
      <c r="M11" s="88">
        <v>1.0421</v>
      </c>
    </row>
    <row r="12" spans="1:17" ht="18" x14ac:dyDescent="0.25">
      <c r="A12" s="13">
        <v>5</v>
      </c>
      <c r="B12" s="13" t="s">
        <v>307</v>
      </c>
      <c r="C12" s="13" t="s">
        <v>210</v>
      </c>
      <c r="D12" s="84" t="s">
        <v>264</v>
      </c>
      <c r="E12" s="83" t="s">
        <v>278</v>
      </c>
      <c r="F12" s="30">
        <f>15.59-0.04+1.75+0.79</f>
        <v>18.09</v>
      </c>
      <c r="G12" s="30">
        <f>$F$5*(0.0158+0.0021+0.0024)</f>
        <v>9.338000000000001</v>
      </c>
      <c r="H12" s="30">
        <f t="shared" si="0"/>
        <v>27.428000000000001</v>
      </c>
      <c r="I12" s="14" t="s">
        <v>102</v>
      </c>
      <c r="J12" s="30">
        <f>(0.0061+0.0031)*$F$5*M12</f>
        <v>4.4414840000000009</v>
      </c>
      <c r="K12" s="30">
        <f t="shared" si="2"/>
        <v>2.5363503000000045</v>
      </c>
      <c r="L12" s="30">
        <f t="shared" si="3"/>
        <v>34.405834300000002</v>
      </c>
      <c r="M12" s="88">
        <v>1.0495000000000001</v>
      </c>
    </row>
    <row r="13" spans="1:17" ht="18" x14ac:dyDescent="0.25">
      <c r="A13" s="13">
        <v>6</v>
      </c>
      <c r="B13" s="13" t="s">
        <v>7</v>
      </c>
      <c r="C13" s="13" t="s">
        <v>100</v>
      </c>
      <c r="D13" s="84" t="s">
        <v>261</v>
      </c>
      <c r="E13" s="83" t="s">
        <v>278</v>
      </c>
      <c r="F13" s="30">
        <f>14.64+0.04-0.48+1.47+0.79</f>
        <v>16.46</v>
      </c>
      <c r="G13" s="30">
        <f>$F$5*(0.011+0.0005-0.0017)</f>
        <v>4.508</v>
      </c>
      <c r="H13" s="30">
        <f t="shared" si="0"/>
        <v>20.968</v>
      </c>
      <c r="I13" s="14" t="s">
        <v>102</v>
      </c>
      <c r="J13" s="30">
        <f>(0.0082+0.0056)*$F$5*M13</f>
        <v>6.5695451999999994</v>
      </c>
      <c r="K13" s="30">
        <f t="shared" si="2"/>
        <v>1.7882550599999971</v>
      </c>
      <c r="L13" s="30">
        <f t="shared" si="3"/>
        <v>29.325800259999998</v>
      </c>
      <c r="M13" s="88">
        <v>1.0348999999999999</v>
      </c>
    </row>
    <row r="14" spans="1:17" ht="18" x14ac:dyDescent="0.25">
      <c r="A14" s="13">
        <v>7</v>
      </c>
      <c r="B14" s="13" t="s">
        <v>103</v>
      </c>
      <c r="C14" s="13" t="s">
        <v>100</v>
      </c>
      <c r="D14" s="84" t="s">
        <v>264</v>
      </c>
      <c r="E14" s="83" t="s">
        <v>278</v>
      </c>
      <c r="F14" s="30">
        <f>15.46+0.79+0.02</f>
        <v>16.27</v>
      </c>
      <c r="G14" s="30">
        <f>$F$5*(0.0125+0.001)</f>
        <v>6.2100000000000009</v>
      </c>
      <c r="H14" s="30">
        <f t="shared" si="0"/>
        <v>22.48</v>
      </c>
      <c r="I14" s="14" t="s">
        <v>102</v>
      </c>
      <c r="J14" s="30">
        <f>(0.007+0.0061)*$F$5*M14</f>
        <v>6.2525776000000004</v>
      </c>
      <c r="K14" s="30">
        <f t="shared" si="2"/>
        <v>1.9266014400000055</v>
      </c>
      <c r="L14" s="30">
        <f t="shared" si="3"/>
        <v>30.659179040000005</v>
      </c>
      <c r="M14" s="88">
        <v>1.0376000000000001</v>
      </c>
    </row>
    <row r="15" spans="1:17" ht="18" x14ac:dyDescent="0.25">
      <c r="A15" s="13">
        <v>8</v>
      </c>
      <c r="B15" s="13" t="s">
        <v>308</v>
      </c>
      <c r="C15" s="13" t="s">
        <v>100</v>
      </c>
      <c r="D15" s="84" t="s">
        <v>264</v>
      </c>
      <c r="E15" s="83" t="s">
        <v>278</v>
      </c>
      <c r="F15" s="30">
        <f>14.52+0.79</f>
        <v>15.309999999999999</v>
      </c>
      <c r="G15" s="30">
        <f>$F$5*(0.0137+0.0001+0.0003-0.0015)</f>
        <v>5.7960000000000003</v>
      </c>
      <c r="H15" s="30">
        <f t="shared" si="0"/>
        <v>21.105999999999998</v>
      </c>
      <c r="I15" s="14" t="s">
        <v>102</v>
      </c>
      <c r="J15" s="30">
        <f>(0.0061+0.0041)*$F$5*M15</f>
        <v>4.8491820000000008</v>
      </c>
      <c r="K15" s="30">
        <f t="shared" si="2"/>
        <v>1.7165199000000029</v>
      </c>
      <c r="L15" s="30">
        <f t="shared" si="3"/>
        <v>27.671701900000002</v>
      </c>
      <c r="M15" s="88">
        <v>1.0335000000000001</v>
      </c>
    </row>
    <row r="16" spans="1:17" ht="18" x14ac:dyDescent="0.25">
      <c r="A16" s="13">
        <v>9</v>
      </c>
      <c r="B16" s="13" t="s">
        <v>8</v>
      </c>
      <c r="C16" s="13" t="s">
        <v>100</v>
      </c>
      <c r="D16" s="84" t="s">
        <v>261</v>
      </c>
      <c r="E16" s="83" t="s">
        <v>278</v>
      </c>
      <c r="F16" s="30">
        <f>23.44+0.79</f>
        <v>24.23</v>
      </c>
      <c r="G16" s="30">
        <f>$F$5*(0.0152+0.0002+0.0003-0.0027)</f>
        <v>5.98</v>
      </c>
      <c r="H16" s="30">
        <f t="shared" si="0"/>
        <v>30.21</v>
      </c>
      <c r="I16" s="14" t="s">
        <v>102</v>
      </c>
      <c r="J16" s="30">
        <f>(0.0072+0.0058)*$F$5*M16</f>
        <v>6.3041159999999996</v>
      </c>
      <c r="K16" s="30">
        <f t="shared" si="2"/>
        <v>2.7771754800000017</v>
      </c>
      <c r="L16" s="30">
        <f t="shared" si="3"/>
        <v>39.291291480000005</v>
      </c>
      <c r="M16" s="88">
        <v>1.0542</v>
      </c>
    </row>
    <row r="17" spans="1:17" ht="18" x14ac:dyDescent="0.25">
      <c r="A17" s="13">
        <v>9</v>
      </c>
      <c r="B17" s="13" t="s">
        <v>9</v>
      </c>
      <c r="C17" s="13" t="s">
        <v>100</v>
      </c>
      <c r="D17" s="84" t="s">
        <v>261</v>
      </c>
      <c r="E17" s="83" t="s">
        <v>278</v>
      </c>
      <c r="F17" s="30">
        <f>23.44+0.79</f>
        <v>24.23</v>
      </c>
      <c r="G17" s="30">
        <f>$F$5*(0.0152+0.0002+0.0008-0.0004)</f>
        <v>7.2679999999999989</v>
      </c>
      <c r="H17" s="30">
        <f t="shared" si="0"/>
        <v>31.497999999999998</v>
      </c>
      <c r="I17" s="14" t="s">
        <v>102</v>
      </c>
      <c r="J17" s="30">
        <f>(0.0072+0.0058)*$F$5*M17</f>
        <v>6.3041159999999996</v>
      </c>
      <c r="K17" s="30">
        <f t="shared" si="2"/>
        <v>2.7771754800000017</v>
      </c>
      <c r="L17" s="30">
        <f t="shared" si="3"/>
        <v>40.579291480000002</v>
      </c>
      <c r="M17" s="88">
        <v>1.0542</v>
      </c>
    </row>
    <row r="18" spans="1:17" ht="18" x14ac:dyDescent="0.25">
      <c r="A18" s="13">
        <v>9</v>
      </c>
      <c r="B18" s="13" t="s">
        <v>10</v>
      </c>
      <c r="C18" s="13" t="s">
        <v>100</v>
      </c>
      <c r="D18" s="84" t="s">
        <v>261</v>
      </c>
      <c r="E18" s="83" t="s">
        <v>278</v>
      </c>
      <c r="F18" s="30">
        <f>23.44+0.79</f>
        <v>24.23</v>
      </c>
      <c r="G18" s="30">
        <f>$F$5*(0.0152+0.0002-0.0007-0.0013+0.0007)</f>
        <v>6.4860000000000007</v>
      </c>
      <c r="H18" s="30">
        <f t="shared" si="0"/>
        <v>30.716000000000001</v>
      </c>
      <c r="I18" s="14" t="s">
        <v>102</v>
      </c>
      <c r="J18" s="30">
        <f>(0.0072+0.0058)*$F$5*M18</f>
        <v>6.3041159999999996</v>
      </c>
      <c r="K18" s="30">
        <f t="shared" si="2"/>
        <v>2.7771754800000017</v>
      </c>
      <c r="L18" s="30">
        <f t="shared" si="3"/>
        <v>39.797291480000005</v>
      </c>
      <c r="M18" s="88">
        <v>1.0542</v>
      </c>
    </row>
    <row r="19" spans="1:17" ht="18" x14ac:dyDescent="0.25">
      <c r="A19" s="13">
        <v>10</v>
      </c>
      <c r="B19" s="13" t="s">
        <v>11</v>
      </c>
      <c r="C19" s="13" t="s">
        <v>98</v>
      </c>
      <c r="D19" s="82" t="s">
        <v>264</v>
      </c>
      <c r="E19" s="83" t="s">
        <v>278</v>
      </c>
      <c r="F19" s="30">
        <f>18.3+0.79</f>
        <v>19.09</v>
      </c>
      <c r="G19" s="30">
        <f>$F$5*(0.011+0.0018)</f>
        <v>5.8879999999999999</v>
      </c>
      <c r="H19" s="30">
        <f t="shared" si="0"/>
        <v>24.978000000000002</v>
      </c>
      <c r="I19" s="14" t="s">
        <v>102</v>
      </c>
      <c r="J19" s="30">
        <f>(0.0067+0.0053)*$F$5*M19</f>
        <v>5.7943440000000006</v>
      </c>
      <c r="K19" s="30">
        <f t="shared" si="2"/>
        <v>2.5465981800000028</v>
      </c>
      <c r="L19" s="30">
        <f t="shared" si="3"/>
        <v>33.318942180000008</v>
      </c>
      <c r="M19" s="88">
        <v>1.0497000000000001</v>
      </c>
    </row>
    <row r="20" spans="1:17" ht="17.45" x14ac:dyDescent="0.3">
      <c r="A20">
        <v>11</v>
      </c>
      <c r="B20" t="s">
        <v>12</v>
      </c>
      <c r="C20" s="11" t="s">
        <v>92</v>
      </c>
      <c r="D20" s="81" t="s">
        <v>264</v>
      </c>
      <c r="E20" s="79" t="s">
        <v>309</v>
      </c>
      <c r="F20" s="22"/>
      <c r="G20" s="22"/>
      <c r="H20" s="22"/>
      <c r="I20" s="23"/>
      <c r="J20" s="22"/>
      <c r="K20" s="22"/>
      <c r="L20" s="22"/>
      <c r="M20" s="24"/>
    </row>
    <row r="21" spans="1:17" ht="18" x14ac:dyDescent="0.25">
      <c r="A21" s="13">
        <v>12</v>
      </c>
      <c r="B21" s="13" t="s">
        <v>13</v>
      </c>
      <c r="C21" s="13" t="s">
        <v>100</v>
      </c>
      <c r="D21" s="82" t="s">
        <v>264</v>
      </c>
      <c r="E21" s="83" t="s">
        <v>278</v>
      </c>
      <c r="F21" s="30">
        <f>13.83+0.79+0.12</f>
        <v>14.74</v>
      </c>
      <c r="G21" s="30">
        <f>$F$5*(0.0152+0.0016)</f>
        <v>7.7279999999999998</v>
      </c>
      <c r="H21" s="30">
        <f t="shared" si="0"/>
        <v>22.468</v>
      </c>
      <c r="I21" s="14" t="s">
        <v>102</v>
      </c>
      <c r="J21" s="30">
        <f>(0.0066+0.0038)*$F$5*M21</f>
        <v>5.1236639999999998</v>
      </c>
      <c r="K21" s="30">
        <f>(M21*$F$5-$F$5)*$O$5</f>
        <v>3.6379973999999966</v>
      </c>
      <c r="L21" s="30">
        <f t="shared" ref="L21:L22" si="4">H21+J21+K21</f>
        <v>31.229661399999998</v>
      </c>
      <c r="M21" s="88">
        <v>1.071</v>
      </c>
    </row>
    <row r="22" spans="1:17" ht="18" x14ac:dyDescent="0.25">
      <c r="A22" s="13">
        <v>13</v>
      </c>
      <c r="B22" s="13" t="s">
        <v>105</v>
      </c>
      <c r="C22" s="13" t="s">
        <v>100</v>
      </c>
      <c r="D22" s="84" t="s">
        <v>261</v>
      </c>
      <c r="E22" s="83" t="s">
        <v>278</v>
      </c>
      <c r="F22" s="30">
        <f>18.25+0.79</f>
        <v>19.04</v>
      </c>
      <c r="G22" s="30">
        <f>$F$5*(0.0106+0.0018)</f>
        <v>5.7039999999999997</v>
      </c>
      <c r="H22" s="30">
        <f t="shared" si="0"/>
        <v>24.744</v>
      </c>
      <c r="I22" s="14" t="s">
        <v>102</v>
      </c>
      <c r="J22" s="30">
        <f>(0.0068+0.0053)*$F$5*M22</f>
        <v>5.9350258</v>
      </c>
      <c r="K22" s="30">
        <f>(M22*$F$5-$F$5)*$O$5</f>
        <v>3.397172219999999</v>
      </c>
      <c r="L22" s="30">
        <f t="shared" si="4"/>
        <v>34.07619802</v>
      </c>
      <c r="M22" s="88">
        <v>1.0663</v>
      </c>
    </row>
    <row r="23" spans="1:17" ht="17.45" x14ac:dyDescent="0.3">
      <c r="A23" s="11"/>
      <c r="B23" s="11" t="s">
        <v>316</v>
      </c>
      <c r="C23" s="11"/>
      <c r="D23" s="81" t="s">
        <v>295</v>
      </c>
      <c r="E23" s="104"/>
      <c r="F23" s="17">
        <v>9.2799999999999994</v>
      </c>
      <c r="G23" s="17">
        <f>IF($F$5&lt;250,0.1514*$F$5,250*0.1514+($F$5-250)*0.1193)</f>
        <v>62.903000000000006</v>
      </c>
      <c r="H23" s="17"/>
      <c r="I23" s="15"/>
      <c r="J23" s="17"/>
      <c r="K23" s="17"/>
      <c r="L23" s="17"/>
      <c r="M23" s="98"/>
      <c r="N23" s="12"/>
      <c r="O23" s="12"/>
      <c r="P23" s="12"/>
      <c r="Q23" s="12"/>
    </row>
    <row r="24" spans="1:17" ht="17.45" x14ac:dyDescent="0.3">
      <c r="A24" s="11"/>
      <c r="B24" s="11" t="s">
        <v>317</v>
      </c>
      <c r="C24" s="11"/>
      <c r="D24" s="81" t="s">
        <v>295</v>
      </c>
      <c r="E24" s="104"/>
      <c r="F24" s="17">
        <v>12.19</v>
      </c>
      <c r="G24" s="17">
        <f>IF($F$5&lt;250,0.1666*$F$5,250*0.1239+($F$5-250)*0.1193)</f>
        <v>56.027999999999999</v>
      </c>
      <c r="H24" s="17"/>
      <c r="I24" s="15"/>
      <c r="J24" s="17"/>
      <c r="K24" s="17"/>
      <c r="L24" s="17"/>
      <c r="M24" s="98"/>
      <c r="N24" s="12"/>
      <c r="O24" s="12"/>
      <c r="P24" s="12"/>
      <c r="Q24" s="12"/>
    </row>
    <row r="25" spans="1:17" ht="18" x14ac:dyDescent="0.25">
      <c r="A25" s="13">
        <v>14</v>
      </c>
      <c r="B25" s="13" t="s">
        <v>14</v>
      </c>
      <c r="C25" s="13" t="s">
        <v>98</v>
      </c>
      <c r="D25" s="84" t="s">
        <v>264</v>
      </c>
      <c r="E25" s="83" t="s">
        <v>278</v>
      </c>
      <c r="F25" s="30">
        <f>13.33+0.79</f>
        <v>14.120000000000001</v>
      </c>
      <c r="G25" s="30">
        <f>$F$5*(0.0062-0.0055+0.0012)</f>
        <v>0.874</v>
      </c>
      <c r="H25" s="30">
        <f t="shared" si="0"/>
        <v>14.994000000000002</v>
      </c>
      <c r="I25" s="14" t="s">
        <v>102</v>
      </c>
      <c r="J25" s="30">
        <f>(0.006+0.0042)*$F$5*M25</f>
        <v>5.0720520000000002</v>
      </c>
      <c r="K25" s="30">
        <f t="shared" ref="K25:K33" si="5">(M25*$F$5-$F$5)*$O$5</f>
        <v>4.1503913999999993</v>
      </c>
      <c r="L25" s="30">
        <f t="shared" ref="L25:L33" si="6">H25+J25+K25</f>
        <v>24.216443400000003</v>
      </c>
      <c r="M25" s="88">
        <v>1.081</v>
      </c>
    </row>
    <row r="26" spans="1:17" ht="18" x14ac:dyDescent="0.25">
      <c r="A26" s="13">
        <v>15</v>
      </c>
      <c r="B26" s="13" t="s">
        <v>15</v>
      </c>
      <c r="C26" s="13" t="s">
        <v>98</v>
      </c>
      <c r="D26" s="84" t="s">
        <v>264</v>
      </c>
      <c r="E26" s="83" t="s">
        <v>278</v>
      </c>
      <c r="F26" s="30">
        <f>15.75+0.79+0.01+0.06+0.6</f>
        <v>17.21</v>
      </c>
      <c r="G26" s="30">
        <f>$F$5*(0.0102+0.0002+0.0003)</f>
        <v>4.9220000000000006</v>
      </c>
      <c r="H26" s="30">
        <f t="shared" si="0"/>
        <v>22.132000000000001</v>
      </c>
      <c r="I26" s="14" t="s">
        <v>102</v>
      </c>
      <c r="J26" s="30">
        <f>(0.0077+0.0064)*$F$5*M26</f>
        <v>6.7194960000000012</v>
      </c>
      <c r="K26" s="30">
        <f t="shared" si="5"/>
        <v>1.8446184000000003</v>
      </c>
      <c r="L26" s="30">
        <f t="shared" si="6"/>
        <v>30.696114400000006</v>
      </c>
      <c r="M26" s="88">
        <v>1.036</v>
      </c>
    </row>
    <row r="27" spans="1:17" ht="18" x14ac:dyDescent="0.25">
      <c r="A27" s="13">
        <v>16</v>
      </c>
      <c r="B27" s="13" t="s">
        <v>16</v>
      </c>
      <c r="C27" s="13" t="s">
        <v>92</v>
      </c>
      <c r="D27" s="84" t="s">
        <v>264</v>
      </c>
      <c r="E27" s="83" t="s">
        <v>278</v>
      </c>
      <c r="F27" s="30">
        <f>18.98+0.22+0.79+0.25-1.4</f>
        <v>18.84</v>
      </c>
      <c r="G27" s="30">
        <f>$F$5*(0.0077+0.0017+0.0002+0.0015)</f>
        <v>5.1059999999999999</v>
      </c>
      <c r="H27" s="30">
        <f t="shared" si="0"/>
        <v>23.945999999999998</v>
      </c>
      <c r="I27" s="14" t="s">
        <v>102</v>
      </c>
      <c r="J27" s="30">
        <f>(0.007+0.0053)*$F$5*M27</f>
        <v>5.9024255999999999</v>
      </c>
      <c r="K27" s="30">
        <f t="shared" si="5"/>
        <v>2.2135420799999954</v>
      </c>
      <c r="L27" s="30">
        <f t="shared" si="6"/>
        <v>32.061967679999995</v>
      </c>
      <c r="M27" s="88">
        <v>1.0431999999999999</v>
      </c>
    </row>
    <row r="28" spans="1:17" ht="18" x14ac:dyDescent="0.25">
      <c r="A28" s="19">
        <v>16</v>
      </c>
      <c r="B28" s="19" t="s">
        <v>17</v>
      </c>
      <c r="C28" s="12"/>
      <c r="D28" s="79"/>
      <c r="E28" s="79"/>
      <c r="F28" s="30">
        <f t="shared" ref="F28:F30" si="7">18.98+0.22+0.79+0.25-1.4</f>
        <v>18.84</v>
      </c>
      <c r="G28" s="30">
        <f>$F$5*(0.0077+0.0017+0.0002+0.0015)</f>
        <v>5.1059999999999999</v>
      </c>
      <c r="H28" s="30">
        <f t="shared" si="0"/>
        <v>23.945999999999998</v>
      </c>
      <c r="I28" s="14" t="s">
        <v>102</v>
      </c>
      <c r="J28" s="30">
        <f>(0.007+0.0053)*$F$5*M28</f>
        <v>5.9024255999999999</v>
      </c>
      <c r="K28" s="30">
        <f t="shared" si="5"/>
        <v>2.2135420799999954</v>
      </c>
      <c r="L28" s="30">
        <f t="shared" si="6"/>
        <v>32.061967679999995</v>
      </c>
      <c r="M28" s="88">
        <v>1.0431999999999999</v>
      </c>
    </row>
    <row r="29" spans="1:17" ht="18" x14ac:dyDescent="0.25">
      <c r="A29" s="19">
        <v>16</v>
      </c>
      <c r="B29" s="19" t="s">
        <v>18</v>
      </c>
      <c r="C29" s="12"/>
      <c r="D29" s="79"/>
      <c r="E29" s="79"/>
      <c r="F29" s="30">
        <f t="shared" si="7"/>
        <v>18.84</v>
      </c>
      <c r="G29" s="30">
        <f>$F$5*(0.0077+0.0017+0.0002+0.0015+0.0004)</f>
        <v>5.29</v>
      </c>
      <c r="H29" s="30">
        <f t="shared" si="0"/>
        <v>24.13</v>
      </c>
      <c r="I29" s="14" t="s">
        <v>102</v>
      </c>
      <c r="J29" s="30">
        <f>(0.007+0.0053)*$F$5*M29</f>
        <v>5.9024255999999999</v>
      </c>
      <c r="K29" s="30">
        <f t="shared" si="5"/>
        <v>2.2135420799999954</v>
      </c>
      <c r="L29" s="30">
        <f t="shared" si="6"/>
        <v>32.245967679999993</v>
      </c>
      <c r="M29" s="88">
        <v>1.0431999999999999</v>
      </c>
    </row>
    <row r="30" spans="1:17" ht="18" x14ac:dyDescent="0.25">
      <c r="A30" s="19">
        <v>16</v>
      </c>
      <c r="B30" s="19" t="s">
        <v>19</v>
      </c>
      <c r="C30" s="12"/>
      <c r="D30" s="79"/>
      <c r="E30" s="79"/>
      <c r="F30" s="30">
        <f t="shared" si="7"/>
        <v>18.84</v>
      </c>
      <c r="G30" s="30">
        <f>$F$5*(0.0077+0.0017+0.0002+0.0015+0.0023+0.0052)</f>
        <v>8.5559999999999992</v>
      </c>
      <c r="H30" s="30">
        <f t="shared" si="0"/>
        <v>27.396000000000001</v>
      </c>
      <c r="I30" s="14" t="s">
        <v>102</v>
      </c>
      <c r="J30" s="30">
        <f>(0.007+0.0053)*$F$5*M30</f>
        <v>5.9024255999999999</v>
      </c>
      <c r="K30" s="30">
        <f t="shared" si="5"/>
        <v>2.2135420799999954</v>
      </c>
      <c r="L30" s="30">
        <f t="shared" si="6"/>
        <v>35.511967679999998</v>
      </c>
      <c r="M30" s="88">
        <v>1.0431999999999999</v>
      </c>
    </row>
    <row r="31" spans="1:17" ht="18" x14ac:dyDescent="0.25">
      <c r="A31" s="13">
        <v>17</v>
      </c>
      <c r="B31" s="13" t="s">
        <v>20</v>
      </c>
      <c r="C31" s="13" t="s">
        <v>310</v>
      </c>
      <c r="D31" s="84" t="s">
        <v>264</v>
      </c>
      <c r="E31" s="83" t="s">
        <v>278</v>
      </c>
      <c r="F31" s="30">
        <f>14.88+0.69-0.16+0.79</f>
        <v>16.2</v>
      </c>
      <c r="G31" s="30">
        <f>$F$5*(0.0157)</f>
        <v>7.2219999999999995</v>
      </c>
      <c r="H31" s="30">
        <f t="shared" si="0"/>
        <v>23.421999999999997</v>
      </c>
      <c r="I31" s="14" t="s">
        <v>102</v>
      </c>
      <c r="J31" s="30">
        <f>(0.0078+0.0049)*$F$5*M31</f>
        <v>6.0622433999999998</v>
      </c>
      <c r="K31" s="30">
        <f t="shared" si="5"/>
        <v>1.9317253800000047</v>
      </c>
      <c r="L31" s="30">
        <f t="shared" si="6"/>
        <v>31.41596878</v>
      </c>
      <c r="M31" s="88">
        <v>1.0377000000000001</v>
      </c>
    </row>
    <row r="32" spans="1:17" ht="18" x14ac:dyDescent="0.25">
      <c r="A32" s="13">
        <v>18</v>
      </c>
      <c r="B32" s="13" t="s">
        <v>21</v>
      </c>
      <c r="C32" s="13" t="s">
        <v>100</v>
      </c>
      <c r="D32" s="84" t="s">
        <v>264</v>
      </c>
      <c r="E32" s="83" t="s">
        <v>278</v>
      </c>
      <c r="F32" s="30">
        <f>19.38+0.79+0.09</f>
        <v>20.259999999999998</v>
      </c>
      <c r="G32" s="30">
        <f>$F$5*(0.0139+0.0021+0.0009)</f>
        <v>7.7740000000000009</v>
      </c>
      <c r="H32" s="30">
        <f t="shared" si="0"/>
        <v>28.033999999999999</v>
      </c>
      <c r="I32" s="10" t="s">
        <v>101</v>
      </c>
      <c r="J32" s="30">
        <f>(0.0062+0.0053)*$F$5*M32</f>
        <v>5.5285789999999997</v>
      </c>
      <c r="K32" s="30">
        <f t="shared" si="5"/>
        <v>2.3108969399999979</v>
      </c>
      <c r="L32" s="30">
        <f t="shared" si="6"/>
        <v>35.873475939999999</v>
      </c>
      <c r="M32" s="88">
        <v>1.0450999999999999</v>
      </c>
    </row>
    <row r="33" spans="1:13" ht="18" x14ac:dyDescent="0.35">
      <c r="A33" s="19">
        <v>18</v>
      </c>
      <c r="B33" s="19" t="s">
        <v>311</v>
      </c>
      <c r="D33" s="3"/>
      <c r="E33" s="79"/>
      <c r="F33" s="30">
        <f>19.38+0.79+0.09</f>
        <v>20.259999999999998</v>
      </c>
      <c r="G33" s="30">
        <f>$F$5*(0.0139+0.0021+0.0009+0.0073)</f>
        <v>11.132000000000001</v>
      </c>
      <c r="H33" s="30">
        <f t="shared" si="0"/>
        <v>31.391999999999999</v>
      </c>
      <c r="I33" s="16" t="s">
        <v>120</v>
      </c>
      <c r="J33" s="30">
        <f>(0.0062+0.0053)*$F$5*M33</f>
        <v>5.5285789999999997</v>
      </c>
      <c r="K33" s="30">
        <f t="shared" si="5"/>
        <v>2.3108969399999979</v>
      </c>
      <c r="L33" s="30">
        <f t="shared" si="6"/>
        <v>39.231475939999996</v>
      </c>
      <c r="M33" s="88">
        <v>1.0450999999999999</v>
      </c>
    </row>
    <row r="34" spans="1:13" ht="17.45" x14ac:dyDescent="0.3">
      <c r="A34">
        <v>19</v>
      </c>
      <c r="B34" t="s">
        <v>24</v>
      </c>
      <c r="C34" s="11" t="s">
        <v>92</v>
      </c>
      <c r="D34" s="81" t="s">
        <v>264</v>
      </c>
      <c r="E34" s="79" t="s">
        <v>309</v>
      </c>
      <c r="F34" s="22"/>
      <c r="G34" s="22"/>
      <c r="H34" s="22"/>
      <c r="I34" s="23"/>
      <c r="J34" s="22"/>
      <c r="K34" s="22"/>
      <c r="L34" s="22"/>
      <c r="M34" s="24"/>
    </row>
    <row r="35" spans="1:13" ht="18" x14ac:dyDescent="0.25">
      <c r="A35" s="13">
        <v>20</v>
      </c>
      <c r="B35" s="13" t="s">
        <v>25</v>
      </c>
      <c r="C35" s="13" t="s">
        <v>100</v>
      </c>
      <c r="D35" s="84" t="s">
        <v>264</v>
      </c>
      <c r="E35" s="83" t="s">
        <v>278</v>
      </c>
      <c r="F35" s="30">
        <f>16.58+0.79-0.11</f>
        <v>17.259999999999998</v>
      </c>
      <c r="G35" s="30">
        <f>$F$5*(0.0116+0.001-0.0023)</f>
        <v>4.7380000000000004</v>
      </c>
      <c r="H35" s="30">
        <f t="shared" si="0"/>
        <v>21.997999999999998</v>
      </c>
      <c r="I35" s="14" t="s">
        <v>102</v>
      </c>
      <c r="J35" s="30">
        <f>(0.0052+0.0034)*$F$5*M35</f>
        <v>4.1941512000000003</v>
      </c>
      <c r="K35" s="30">
        <f>(M35*$F$5-$F$5)*$O$5</f>
        <v>3.0846118800000011</v>
      </c>
      <c r="L35" s="30">
        <f t="shared" ref="L35:L52" si="8">H35+J35+K35</f>
        <v>29.276763079999998</v>
      </c>
      <c r="M35" s="88">
        <v>1.0602</v>
      </c>
    </row>
    <row r="36" spans="1:13" ht="18" x14ac:dyDescent="0.25">
      <c r="A36" s="13">
        <v>21</v>
      </c>
      <c r="B36" s="13" t="s">
        <v>26</v>
      </c>
      <c r="C36" s="13" t="s">
        <v>98</v>
      </c>
      <c r="D36" s="84" t="s">
        <v>261</v>
      </c>
      <c r="E36" s="83" t="s">
        <v>278</v>
      </c>
      <c r="F36" s="30">
        <f>19.21+0.79</f>
        <v>20</v>
      </c>
      <c r="G36" s="30">
        <f>$F$5*(0.0125-0.0001+0.0003+0.0004+0.0008+0.0002)</f>
        <v>6.4860000000000007</v>
      </c>
      <c r="H36" s="30">
        <f t="shared" si="0"/>
        <v>26.486000000000001</v>
      </c>
      <c r="I36" s="14" t="s">
        <v>102</v>
      </c>
      <c r="J36" s="30">
        <f>(0.0071+0.0046)*$F$5*M36</f>
        <v>5.5386161999999999</v>
      </c>
      <c r="K36" s="30">
        <f>(M36*$F$5-$F$5)*$O$5</f>
        <v>1.4910665399999965</v>
      </c>
      <c r="L36" s="30">
        <f t="shared" si="8"/>
        <v>33.515682739999995</v>
      </c>
      <c r="M36" s="88">
        <v>1.0290999999999999</v>
      </c>
    </row>
    <row r="37" spans="1:13" ht="14.45" x14ac:dyDescent="0.3">
      <c r="A37" s="19">
        <v>22</v>
      </c>
      <c r="B37" s="19" t="s">
        <v>28</v>
      </c>
      <c r="C37" s="19"/>
      <c r="D37" s="86"/>
      <c r="E37" s="86"/>
      <c r="F37" s="22"/>
      <c r="G37" s="22"/>
      <c r="H37" s="22"/>
      <c r="I37" s="12"/>
      <c r="J37" s="12"/>
      <c r="K37" s="12"/>
      <c r="L37" s="12"/>
      <c r="M37" s="12"/>
    </row>
    <row r="38" spans="1:13" ht="18" x14ac:dyDescent="0.25">
      <c r="A38" s="13">
        <v>23</v>
      </c>
      <c r="B38" s="13" t="s">
        <v>106</v>
      </c>
      <c r="C38" s="13" t="s">
        <v>100</v>
      </c>
      <c r="D38" s="84" t="s">
        <v>264</v>
      </c>
      <c r="E38" s="83" t="s">
        <v>278</v>
      </c>
      <c r="F38" s="30">
        <f>22.58+0.79</f>
        <v>23.369999999999997</v>
      </c>
      <c r="G38" s="30">
        <f>$F$5*(0.0106+0.0006+0.0001-0.0004)</f>
        <v>5.0140000000000002</v>
      </c>
      <c r="H38" s="30">
        <f t="shared" si="0"/>
        <v>28.383999999999997</v>
      </c>
      <c r="I38" s="14" t="s">
        <v>102</v>
      </c>
      <c r="J38" s="30">
        <f>(0.0067+0.0018)*$F$5*M38</f>
        <v>4.0937700000000001</v>
      </c>
      <c r="K38" s="30">
        <f t="shared" ref="K38:K52" si="9">(M38*$F$5-$F$5)*$O$5</f>
        <v>2.4082517999999942</v>
      </c>
      <c r="L38" s="30">
        <f t="shared" si="8"/>
        <v>34.886021799999995</v>
      </c>
      <c r="M38" s="88">
        <v>1.0469999999999999</v>
      </c>
    </row>
    <row r="39" spans="1:13" ht="18" x14ac:dyDescent="0.25">
      <c r="A39" s="13">
        <v>24</v>
      </c>
      <c r="B39" s="13" t="s">
        <v>29</v>
      </c>
      <c r="C39" s="13" t="s">
        <v>100</v>
      </c>
      <c r="D39" s="84" t="s">
        <v>264</v>
      </c>
      <c r="E39" s="83" t="s">
        <v>278</v>
      </c>
      <c r="F39" s="30">
        <f>18.63+0.41+0.79+0.04</f>
        <v>19.869999999999997</v>
      </c>
      <c r="G39" s="30">
        <f>$F$5*(0.0093+0.0002-0.0003-0.0014)</f>
        <v>3.5879999999999996</v>
      </c>
      <c r="H39" s="30">
        <f t="shared" si="0"/>
        <v>23.457999999999998</v>
      </c>
      <c r="I39" s="14" t="s">
        <v>102</v>
      </c>
      <c r="J39" s="30">
        <f>(0.0059+0.0043)*$F$5*M39</f>
        <v>4.9453680000000002</v>
      </c>
      <c r="K39" s="30">
        <f t="shared" si="9"/>
        <v>2.7669276000000038</v>
      </c>
      <c r="L39" s="30">
        <f t="shared" si="8"/>
        <v>31.170295600000003</v>
      </c>
      <c r="M39" s="88">
        <v>1.054</v>
      </c>
    </row>
    <row r="40" spans="1:13" ht="18" x14ac:dyDescent="0.25">
      <c r="A40" s="13">
        <v>25</v>
      </c>
      <c r="B40" s="13" t="s">
        <v>30</v>
      </c>
      <c r="C40" s="13" t="s">
        <v>92</v>
      </c>
      <c r="D40" s="84" t="s">
        <v>318</v>
      </c>
      <c r="E40" s="83" t="s">
        <v>278</v>
      </c>
      <c r="F40" s="30">
        <f>19.55+0.79+0.32</f>
        <v>20.66</v>
      </c>
      <c r="G40" s="30">
        <f>$F$5*(0.0099+0.001+0.0001)</f>
        <v>5.0599999999999996</v>
      </c>
      <c r="H40" s="30">
        <f t="shared" si="0"/>
        <v>25.72</v>
      </c>
      <c r="I40" s="14" t="s">
        <v>102</v>
      </c>
      <c r="J40" s="30">
        <f>(0.0057+0.0033)*$F$5*M40</f>
        <v>4.3291980000000008</v>
      </c>
      <c r="K40" s="30">
        <f t="shared" si="9"/>
        <v>2.3416405800000053</v>
      </c>
      <c r="L40" s="30">
        <f t="shared" si="8"/>
        <v>32.390838580000008</v>
      </c>
      <c r="M40" s="88">
        <v>1.0457000000000001</v>
      </c>
    </row>
    <row r="41" spans="1:13" ht="18" x14ac:dyDescent="0.25">
      <c r="A41" s="13">
        <v>26</v>
      </c>
      <c r="B41" s="13" t="s">
        <v>31</v>
      </c>
      <c r="C41" s="13" t="s">
        <v>92</v>
      </c>
      <c r="D41" s="84" t="s">
        <v>261</v>
      </c>
      <c r="E41" s="83" t="s">
        <v>278</v>
      </c>
      <c r="F41" s="30">
        <f>18.93+0.73-0.18+0.79-0.29</f>
        <v>19.98</v>
      </c>
      <c r="G41" s="30">
        <f>$F$5*(0.0144+0.0007+0.0003)</f>
        <v>7.0839999999999996</v>
      </c>
      <c r="H41" s="30">
        <f t="shared" si="0"/>
        <v>27.064</v>
      </c>
      <c r="I41" s="14" t="s">
        <v>102</v>
      </c>
      <c r="J41" s="30">
        <f>(0.0074+0.0058)*$F$5*M41</f>
        <v>6.2298720000000003</v>
      </c>
      <c r="K41" s="30">
        <f t="shared" si="9"/>
        <v>1.3322244000000041</v>
      </c>
      <c r="L41" s="30">
        <f t="shared" si="8"/>
        <v>34.626096400000002</v>
      </c>
      <c r="M41" s="88">
        <v>1.026</v>
      </c>
    </row>
    <row r="42" spans="1:13" ht="18" x14ac:dyDescent="0.25">
      <c r="A42" s="13">
        <v>27</v>
      </c>
      <c r="B42" s="13" t="s">
        <v>107</v>
      </c>
      <c r="C42" s="13" t="s">
        <v>280</v>
      </c>
      <c r="D42" s="103" t="s">
        <v>261</v>
      </c>
      <c r="E42" s="83" t="s">
        <v>278</v>
      </c>
      <c r="F42" s="30">
        <f>20.74-0.21+0.79</f>
        <v>21.319999999999997</v>
      </c>
      <c r="G42" s="30">
        <f>$F$5*(0.0198+0.0004-0.0002-0.0015+0.0002)</f>
        <v>8.6020000000000003</v>
      </c>
      <c r="H42" s="30">
        <f t="shared" si="0"/>
        <v>29.921999999999997</v>
      </c>
      <c r="I42" s="14" t="s">
        <v>102</v>
      </c>
      <c r="J42" s="30">
        <f>(0.0068+0.0052)*$F$5*M42</f>
        <v>5.8815599999999995</v>
      </c>
      <c r="K42" s="30">
        <f t="shared" si="9"/>
        <v>3.3561806999999932</v>
      </c>
      <c r="L42" s="30">
        <f t="shared" si="8"/>
        <v>39.159740699999993</v>
      </c>
      <c r="M42" s="88">
        <v>1.0654999999999999</v>
      </c>
    </row>
    <row r="43" spans="1:13" ht="18" x14ac:dyDescent="0.25">
      <c r="A43" s="13">
        <v>28</v>
      </c>
      <c r="B43" s="13" t="s">
        <v>32</v>
      </c>
      <c r="C43" s="13" t="s">
        <v>92</v>
      </c>
      <c r="D43" s="84" t="s">
        <v>264</v>
      </c>
      <c r="E43" s="83" t="s">
        <v>278</v>
      </c>
      <c r="F43" s="109">
        <f>17.04+0.79+2.23+0.37</f>
        <v>20.43</v>
      </c>
      <c r="G43" s="30">
        <f>$F$5*(0.01+0.0026-0.0006)</f>
        <v>5.5200000000000005</v>
      </c>
      <c r="H43" s="30">
        <f t="shared" si="0"/>
        <v>25.95</v>
      </c>
      <c r="I43" s="14" t="s">
        <v>102</v>
      </c>
      <c r="J43" s="30">
        <f>(0.0067+0.0052)*$F$5*M43</f>
        <v>5.7805440000000008</v>
      </c>
      <c r="K43" s="30">
        <f t="shared" si="9"/>
        <v>2.8694064000000052</v>
      </c>
      <c r="L43" s="30">
        <f t="shared" si="8"/>
        <v>34.599950400000004</v>
      </c>
      <c r="M43" s="88">
        <v>1.056</v>
      </c>
    </row>
    <row r="44" spans="1:13" ht="18" x14ac:dyDescent="0.25">
      <c r="A44" s="13">
        <v>29</v>
      </c>
      <c r="B44" s="13" t="s">
        <v>33</v>
      </c>
      <c r="C44" s="27" t="s">
        <v>92</v>
      </c>
      <c r="D44" s="84" t="s">
        <v>264</v>
      </c>
      <c r="E44" s="83" t="s">
        <v>278</v>
      </c>
      <c r="F44" s="30">
        <f>11.93-0.15+3.48+0.24+0.79</f>
        <v>16.29</v>
      </c>
      <c r="G44" s="30">
        <f>$F$5*(0.0126+0.0013-0.0005+0.0002+0.0007)</f>
        <v>6.5779999999999994</v>
      </c>
      <c r="H44" s="30">
        <f t="shared" si="0"/>
        <v>22.867999999999999</v>
      </c>
      <c r="I44" s="10" t="s">
        <v>101</v>
      </c>
      <c r="J44" s="30">
        <f>(0.0063+0.0051)*$F$5*M44</f>
        <v>5.4611016000000001</v>
      </c>
      <c r="K44" s="30">
        <f t="shared" si="9"/>
        <v>2.1213111600000043</v>
      </c>
      <c r="L44" s="30">
        <f t="shared" si="8"/>
        <v>30.450412760000003</v>
      </c>
      <c r="M44" s="13">
        <v>1.0414000000000001</v>
      </c>
    </row>
    <row r="45" spans="1:13" ht="18" x14ac:dyDescent="0.25">
      <c r="A45" s="13">
        <v>30</v>
      </c>
      <c r="B45" s="13" t="s">
        <v>34</v>
      </c>
      <c r="C45" s="13" t="s">
        <v>201</v>
      </c>
      <c r="D45" s="84" t="s">
        <v>261</v>
      </c>
      <c r="E45" s="83" t="s">
        <v>278</v>
      </c>
      <c r="F45" s="30">
        <f>18.8+0.79+0.79</f>
        <v>20.38</v>
      </c>
      <c r="G45" s="30">
        <f>$F$5*(0.0121+0.00006+0.0003)</f>
        <v>5.7315999999999994</v>
      </c>
      <c r="H45" s="30">
        <f t="shared" si="0"/>
        <v>26.111599999999999</v>
      </c>
      <c r="I45" s="14" t="s">
        <v>102</v>
      </c>
      <c r="J45" s="30">
        <f>(0.0078+0.0059)*$F$5*M45</f>
        <v>6.5408458000000005</v>
      </c>
      <c r="K45" s="30">
        <f t="shared" si="9"/>
        <v>1.941973260000003</v>
      </c>
      <c r="L45" s="30">
        <f t="shared" si="8"/>
        <v>34.594419060000007</v>
      </c>
      <c r="M45" s="88">
        <v>1.0379</v>
      </c>
    </row>
    <row r="46" spans="1:13" ht="18" x14ac:dyDescent="0.25">
      <c r="A46" s="13">
        <v>31</v>
      </c>
      <c r="B46" s="13" t="s">
        <v>35</v>
      </c>
      <c r="C46" s="13" t="s">
        <v>100</v>
      </c>
      <c r="D46" s="84" t="s">
        <v>264</v>
      </c>
      <c r="E46" s="83" t="s">
        <v>278</v>
      </c>
      <c r="F46" s="109">
        <f>18.31+0.79</f>
        <v>19.099999999999998</v>
      </c>
      <c r="G46" s="30">
        <f>$F$5*(0.012+0.0054+0.0027)</f>
        <v>9.2460000000000004</v>
      </c>
      <c r="H46" s="30">
        <f t="shared" si="0"/>
        <v>28.345999999999997</v>
      </c>
      <c r="I46" s="110" t="s">
        <v>102</v>
      </c>
      <c r="J46" s="30">
        <f>(0.0068+0.0051)*$F$5*M46</f>
        <v>5.8965927999999996</v>
      </c>
      <c r="K46" s="30">
        <f t="shared" si="9"/>
        <v>3.9556816799999939</v>
      </c>
      <c r="L46" s="30">
        <f t="shared" si="8"/>
        <v>38.198274479999988</v>
      </c>
      <c r="M46" s="88">
        <v>1.0771999999999999</v>
      </c>
    </row>
    <row r="47" spans="1:13" ht="18" x14ac:dyDescent="0.25">
      <c r="A47" s="13">
        <v>32</v>
      </c>
      <c r="B47" s="13" t="s">
        <v>108</v>
      </c>
      <c r="C47" s="13" t="s">
        <v>100</v>
      </c>
      <c r="D47" s="84" t="s">
        <v>261</v>
      </c>
      <c r="E47" s="83" t="s">
        <v>278</v>
      </c>
      <c r="F47" s="30">
        <f>9.6+0.79</f>
        <v>10.39</v>
      </c>
      <c r="G47" s="30">
        <f>$F$5*(0.0076+0.0007)</f>
        <v>3.8180000000000001</v>
      </c>
      <c r="H47" s="30">
        <f t="shared" si="0"/>
        <v>14.208</v>
      </c>
      <c r="I47" s="14" t="s">
        <v>102</v>
      </c>
      <c r="J47" s="30">
        <f>(0.0071+0.0034)*$F$5*M47</f>
        <v>5.0913029999999999</v>
      </c>
      <c r="K47" s="30">
        <f t="shared" si="9"/>
        <v>2.7720515400000028</v>
      </c>
      <c r="L47" s="30">
        <f t="shared" si="8"/>
        <v>22.071354540000005</v>
      </c>
      <c r="M47" s="88">
        <v>1.0541</v>
      </c>
    </row>
    <row r="48" spans="1:13" ht="18" x14ac:dyDescent="0.25">
      <c r="A48" s="13">
        <v>33</v>
      </c>
      <c r="B48" s="13" t="s">
        <v>36</v>
      </c>
      <c r="C48" s="13" t="s">
        <v>100</v>
      </c>
      <c r="D48" s="84" t="s">
        <v>261</v>
      </c>
      <c r="E48" s="83" t="s">
        <v>278</v>
      </c>
      <c r="F48" s="30">
        <f>14.32+0.79</f>
        <v>15.11</v>
      </c>
      <c r="G48" s="30">
        <f>$F$5*(0.0118+0.0005)</f>
        <v>5.6580000000000004</v>
      </c>
      <c r="H48" s="30">
        <f t="shared" si="0"/>
        <v>20.768000000000001</v>
      </c>
      <c r="I48" s="14" t="s">
        <v>102</v>
      </c>
      <c r="J48" s="30">
        <f>(0.0078+0.0057)*$F$5*M48</f>
        <v>6.4217610000000001</v>
      </c>
      <c r="K48" s="30">
        <f t="shared" si="9"/>
        <v>1.7472635400000041</v>
      </c>
      <c r="L48" s="30">
        <f t="shared" si="8"/>
        <v>28.937024540000003</v>
      </c>
      <c r="M48" s="88">
        <v>1.0341</v>
      </c>
    </row>
    <row r="49" spans="1:13" ht="18" x14ac:dyDescent="0.25">
      <c r="A49" s="13">
        <v>34</v>
      </c>
      <c r="B49" s="13" t="s">
        <v>37</v>
      </c>
      <c r="C49" s="13" t="s">
        <v>201</v>
      </c>
      <c r="D49" s="83"/>
      <c r="E49" s="83" t="s">
        <v>278</v>
      </c>
      <c r="F49" s="30">
        <f>30.11+0.78-0.01+0.79</f>
        <v>31.669999999999998</v>
      </c>
      <c r="G49" s="30">
        <f>$F$5*(0.0299-0.0001)</f>
        <v>13.708</v>
      </c>
      <c r="H49" s="30">
        <f t="shared" si="0"/>
        <v>45.378</v>
      </c>
      <c r="I49" s="14" t="s">
        <v>102</v>
      </c>
      <c r="J49" s="30">
        <f>(0.0068+0.0048)*$F$5*M49</f>
        <v>5.741536</v>
      </c>
      <c r="K49" s="30">
        <f t="shared" si="9"/>
        <v>3.8941944000000039</v>
      </c>
      <c r="L49" s="30">
        <f t="shared" si="8"/>
        <v>55.0137304</v>
      </c>
      <c r="M49" s="88">
        <v>1.0760000000000001</v>
      </c>
    </row>
    <row r="50" spans="1:13" ht="18" x14ac:dyDescent="0.25">
      <c r="A50" s="13">
        <v>34</v>
      </c>
      <c r="B50" s="13" t="s">
        <v>38</v>
      </c>
      <c r="C50" s="13" t="s">
        <v>201</v>
      </c>
      <c r="D50" s="83"/>
      <c r="E50" s="83" t="s">
        <v>278</v>
      </c>
      <c r="F50" s="30">
        <f>72.86+1.27+0.69+0.79-31.5</f>
        <v>44.11</v>
      </c>
      <c r="G50" s="30">
        <f>$F$5*(0.0426+0.0001)</f>
        <v>19.641999999999999</v>
      </c>
      <c r="H50" s="30">
        <f t="shared" si="0"/>
        <v>63.751999999999995</v>
      </c>
      <c r="I50" s="14" t="s">
        <v>102</v>
      </c>
      <c r="J50" s="30">
        <f>(0.0065+0.0046)*$F$5*M50</f>
        <v>5.6421299999999999</v>
      </c>
      <c r="K50" s="30">
        <f t="shared" si="9"/>
        <v>5.3801370000000013</v>
      </c>
      <c r="L50" s="30">
        <f t="shared" si="8"/>
        <v>74.774266999999995</v>
      </c>
      <c r="M50" s="88">
        <v>1.105</v>
      </c>
    </row>
    <row r="51" spans="1:13" ht="18" x14ac:dyDescent="0.25">
      <c r="A51" s="13">
        <v>34</v>
      </c>
      <c r="B51" s="13" t="s">
        <v>121</v>
      </c>
      <c r="C51" s="13" t="s">
        <v>201</v>
      </c>
      <c r="D51" s="83"/>
      <c r="E51" s="83" t="s">
        <v>278</v>
      </c>
      <c r="F51" s="30">
        <f>32.47+0.8+0.3+0.79</f>
        <v>34.359999999999992</v>
      </c>
      <c r="G51" s="30">
        <f>$F$5*(0.0748+0.0005)</f>
        <v>34.638000000000005</v>
      </c>
      <c r="H51" s="30">
        <f t="shared" si="0"/>
        <v>68.99799999999999</v>
      </c>
      <c r="I51" s="14" t="s">
        <v>102</v>
      </c>
      <c r="J51" s="30">
        <f>(0.0056+0.0042)*$F$5*M51</f>
        <v>4.9768320000000008</v>
      </c>
      <c r="K51" s="30">
        <f t="shared" si="9"/>
        <v>5.3288976000000039</v>
      </c>
      <c r="L51" s="30">
        <f t="shared" si="8"/>
        <v>79.303729599999997</v>
      </c>
      <c r="M51" s="88">
        <v>1.1040000000000001</v>
      </c>
    </row>
    <row r="52" spans="1:13" ht="18" x14ac:dyDescent="0.25">
      <c r="A52" s="13">
        <v>34</v>
      </c>
      <c r="B52" s="13" t="s">
        <v>39</v>
      </c>
      <c r="C52" s="13" t="s">
        <v>201</v>
      </c>
      <c r="D52" s="83"/>
      <c r="E52" s="83" t="s">
        <v>278</v>
      </c>
      <c r="F52" s="30">
        <f>22.29+0.69-0.12+0.79</f>
        <v>23.65</v>
      </c>
      <c r="G52" s="30">
        <f>$F$5*(0.0162-0.0002)</f>
        <v>7.36</v>
      </c>
      <c r="H52" s="30">
        <f t="shared" si="0"/>
        <v>31.009999999999998</v>
      </c>
      <c r="I52" s="14" t="s">
        <v>102</v>
      </c>
      <c r="J52" s="30">
        <f>(0.0069+0.0049)*$F$5*M52</f>
        <v>5.7373959999999995</v>
      </c>
      <c r="K52" s="30">
        <f t="shared" si="9"/>
        <v>2.9206457999999969</v>
      </c>
      <c r="L52" s="30">
        <f t="shared" si="8"/>
        <v>39.66804179999999</v>
      </c>
      <c r="M52" s="88">
        <v>1.0569999999999999</v>
      </c>
    </row>
    <row r="53" spans="1:13" ht="14.45" x14ac:dyDescent="0.3">
      <c r="A53" s="11">
        <v>34</v>
      </c>
      <c r="B53" s="11" t="s">
        <v>40</v>
      </c>
      <c r="C53" s="13" t="s">
        <v>98</v>
      </c>
      <c r="D53" s="84" t="s">
        <v>264</v>
      </c>
      <c r="E53" s="83" t="s">
        <v>278</v>
      </c>
      <c r="F53" s="30">
        <f>19.09</f>
        <v>19.09</v>
      </c>
      <c r="G53" s="30">
        <f>IF(F5&lt;=1000,F5*0.0898,IF(F5&lt;=2500,1000*0.0898+(F5-1000)*0.1198,1000*0.0898+1500*0.1198+(F5-2500)*0.1806))</f>
        <v>41.308</v>
      </c>
      <c r="H53" s="18"/>
      <c r="I53" s="19"/>
      <c r="J53" s="19"/>
      <c r="K53" s="19"/>
      <c r="L53" s="19"/>
      <c r="M53" s="19"/>
    </row>
    <row r="54" spans="1:13" ht="14.45" x14ac:dyDescent="0.3">
      <c r="A54" s="11"/>
      <c r="B54" s="11" t="s">
        <v>306</v>
      </c>
      <c r="C54" s="13" t="s">
        <v>98</v>
      </c>
      <c r="D54" s="84" t="s">
        <v>264</v>
      </c>
      <c r="E54" s="83" t="s">
        <v>278</v>
      </c>
      <c r="F54" s="30">
        <v>0</v>
      </c>
      <c r="G54" s="30">
        <f>IF(F5&lt;=250,F5*0.8926,IF(F5&gt;250,250*0.8926+(F5-250)*0.9769))</f>
        <v>428.29899999999998</v>
      </c>
      <c r="H54" s="18"/>
      <c r="I54" s="19"/>
      <c r="J54" s="19"/>
      <c r="K54" s="19"/>
      <c r="L54" s="19"/>
      <c r="M54" s="19"/>
    </row>
    <row r="55" spans="1:13" ht="18" x14ac:dyDescent="0.25">
      <c r="A55" s="13">
        <v>35</v>
      </c>
      <c r="B55" s="13" t="s">
        <v>41</v>
      </c>
      <c r="C55" s="13" t="s">
        <v>118</v>
      </c>
      <c r="D55" s="84" t="s">
        <v>261</v>
      </c>
      <c r="E55" s="83" t="s">
        <v>278</v>
      </c>
      <c r="F55" s="30">
        <f>12.96+0.79</f>
        <v>13.75</v>
      </c>
      <c r="G55" s="30">
        <f>$F$5*(0.0193+0.00007-0.00002-0.000826-0.001509)</f>
        <v>7.8269000000000011</v>
      </c>
      <c r="H55" s="30">
        <f t="shared" si="0"/>
        <v>21.576900000000002</v>
      </c>
      <c r="I55" s="10" t="s">
        <v>101</v>
      </c>
      <c r="J55" s="30">
        <f>(0.0076+0.0047)*$F$5*M55</f>
        <v>5.8475430000000008</v>
      </c>
      <c r="K55" s="30">
        <f>(M55*$F$5-$F$5)*$O$5</f>
        <v>1.7165199000000029</v>
      </c>
      <c r="L55" s="30">
        <f t="shared" ref="L55:L56" si="10">H55+J55+K55</f>
        <v>29.140962900000005</v>
      </c>
      <c r="M55" s="88">
        <v>1.0335000000000001</v>
      </c>
    </row>
    <row r="56" spans="1:13" ht="18" x14ac:dyDescent="0.25">
      <c r="A56" s="13">
        <v>36</v>
      </c>
      <c r="B56" s="13" t="s">
        <v>279</v>
      </c>
      <c r="C56" s="13" t="s">
        <v>100</v>
      </c>
      <c r="D56" s="84" t="s">
        <v>261</v>
      </c>
      <c r="E56" s="83" t="s">
        <v>278</v>
      </c>
      <c r="F56" s="30">
        <f>24.85+0.79+2.21</f>
        <v>27.85</v>
      </c>
      <c r="G56" s="30">
        <f>$F$5*(0.0139+0.0022+0.0002+0.002-0.0007)</f>
        <v>8.0959999999999983</v>
      </c>
      <c r="H56" s="30">
        <f t="shared" si="0"/>
        <v>35.945999999999998</v>
      </c>
      <c r="I56" s="14" t="s">
        <v>102</v>
      </c>
      <c r="J56" s="30">
        <f>(0.0057+0.0041)*$F$5*M56</f>
        <v>4.8339284000000005</v>
      </c>
      <c r="K56" s="30">
        <f>(M56*$F$5-$F$5)*$O$5</f>
        <v>3.7046086200000046</v>
      </c>
      <c r="L56" s="30">
        <f t="shared" si="10"/>
        <v>44.484537019999998</v>
      </c>
      <c r="M56" s="88">
        <v>1.0723</v>
      </c>
    </row>
    <row r="57" spans="1:13" ht="14.45" x14ac:dyDescent="0.3">
      <c r="A57" s="19">
        <v>37</v>
      </c>
      <c r="B57" s="19" t="s">
        <v>43</v>
      </c>
      <c r="C57" s="19"/>
      <c r="D57" s="86"/>
      <c r="E57" s="86"/>
      <c r="F57" s="22"/>
      <c r="G57" s="22"/>
      <c r="H57" s="22"/>
      <c r="I57" s="12"/>
      <c r="J57" s="12"/>
      <c r="K57" s="12"/>
      <c r="L57" s="12"/>
      <c r="M57" s="12"/>
    </row>
    <row r="58" spans="1:13" ht="18" x14ac:dyDescent="0.25">
      <c r="A58" s="13">
        <v>38</v>
      </c>
      <c r="B58" s="13" t="s">
        <v>44</v>
      </c>
      <c r="C58" s="13" t="s">
        <v>98</v>
      </c>
      <c r="D58" s="84" t="s">
        <v>264</v>
      </c>
      <c r="E58" s="83" t="s">
        <v>100</v>
      </c>
      <c r="F58" s="30">
        <f>22.24+0.79</f>
        <v>23.029999999999998</v>
      </c>
      <c r="G58" s="30">
        <f>$F$5*(0.0109)</f>
        <v>5.0140000000000002</v>
      </c>
      <c r="H58" s="30">
        <f t="shared" si="0"/>
        <v>28.043999999999997</v>
      </c>
      <c r="I58" s="14" t="s">
        <v>102</v>
      </c>
      <c r="J58" s="30">
        <f>(0.0068+0.0019)*$F$5*M58</f>
        <v>4.1740859999999991</v>
      </c>
      <c r="K58" s="30">
        <f t="shared" ref="K58:K78" si="11">(M58*$F$5-$F$5)*$O$5</f>
        <v>2.2032941999999971</v>
      </c>
      <c r="L58" s="30">
        <f t="shared" ref="L58:L78" si="12">H58+J58+K58</f>
        <v>34.421380199999994</v>
      </c>
      <c r="M58" s="88">
        <v>1.0429999999999999</v>
      </c>
    </row>
    <row r="59" spans="1:13" ht="18" x14ac:dyDescent="0.25">
      <c r="A59" s="13">
        <v>39</v>
      </c>
      <c r="B59" s="13" t="s">
        <v>314</v>
      </c>
      <c r="C59" s="13" t="s">
        <v>313</v>
      </c>
      <c r="D59" s="82" t="s">
        <v>261</v>
      </c>
      <c r="E59" s="83" t="s">
        <v>278</v>
      </c>
      <c r="F59" s="30">
        <f>13.98+0.79+0.25+3.69</f>
        <v>18.71</v>
      </c>
      <c r="G59" s="30">
        <f>$F$5*(0.0139+0.0012-0.0001+0.0007+0.0004-0.0108+0.0003)</f>
        <v>2.5759999999999996</v>
      </c>
      <c r="H59" s="30">
        <f>F59+G59</f>
        <v>21.286000000000001</v>
      </c>
      <c r="I59" s="14" t="s">
        <v>102</v>
      </c>
      <c r="J59" s="30">
        <f>(0.0071+0.0056)*$F$5*M59</f>
        <v>6.0715905999999986</v>
      </c>
      <c r="K59" s="30">
        <f t="shared" si="11"/>
        <v>2.0137084199999973</v>
      </c>
      <c r="L59" s="30">
        <f t="shared" si="12"/>
        <v>29.371299019999999</v>
      </c>
      <c r="M59" s="88">
        <v>1.0392999999999999</v>
      </c>
    </row>
    <row r="60" spans="1:13" ht="18" x14ac:dyDescent="0.25">
      <c r="A60" s="13">
        <v>40</v>
      </c>
      <c r="B60" s="13" t="s">
        <v>109</v>
      </c>
      <c r="C60" s="13" t="s">
        <v>100</v>
      </c>
      <c r="D60" s="84" t="s">
        <v>261</v>
      </c>
      <c r="E60" s="83" t="s">
        <v>278</v>
      </c>
      <c r="F60" s="30">
        <f>13.61+0.79</f>
        <v>14.399999999999999</v>
      </c>
      <c r="G60" s="30">
        <f>$F$5*(0.0125+0.0003)</f>
        <v>5.8879999999999999</v>
      </c>
      <c r="H60" s="30">
        <f t="shared" ref="H60:H78" si="13">F60+G60</f>
        <v>20.287999999999997</v>
      </c>
      <c r="I60" s="14" t="s">
        <v>102</v>
      </c>
      <c r="J60" s="30">
        <f>(0.007+0.0016)*$F$5*M60</f>
        <v>4.0948555999999998</v>
      </c>
      <c r="K60" s="30">
        <f t="shared" si="11"/>
        <v>1.7985029399999954</v>
      </c>
      <c r="L60" s="30">
        <f t="shared" si="12"/>
        <v>26.181358539999991</v>
      </c>
      <c r="M60" s="88">
        <v>1.0350999999999999</v>
      </c>
    </row>
    <row r="61" spans="1:13" ht="18" x14ac:dyDescent="0.25">
      <c r="A61" s="13">
        <v>41</v>
      </c>
      <c r="B61" s="13" t="s">
        <v>46</v>
      </c>
      <c r="C61" s="13" t="s">
        <v>100</v>
      </c>
      <c r="D61" s="84" t="s">
        <v>264</v>
      </c>
      <c r="E61" s="83" t="s">
        <v>278</v>
      </c>
      <c r="F61" s="30">
        <f>13.14+0.79+0.09</f>
        <v>14.02</v>
      </c>
      <c r="G61" s="30">
        <f>$F$5*(0.0113+0.0013+0.0008+0.0022)</f>
        <v>7.1760000000000002</v>
      </c>
      <c r="H61" s="30">
        <f t="shared" si="13"/>
        <v>21.195999999999998</v>
      </c>
      <c r="I61" s="14" t="s">
        <v>102</v>
      </c>
      <c r="J61" s="30">
        <f>(0.0059+0.0045)*$F$5*M61</f>
        <v>5.0542959999999999</v>
      </c>
      <c r="K61" s="30">
        <f t="shared" si="11"/>
        <v>2.8950261000000013</v>
      </c>
      <c r="L61" s="30">
        <f t="shared" si="12"/>
        <v>29.145322100000001</v>
      </c>
      <c r="M61" s="88">
        <v>1.0565</v>
      </c>
    </row>
    <row r="62" spans="1:13" ht="18" x14ac:dyDescent="0.25">
      <c r="A62" s="13">
        <v>42</v>
      </c>
      <c r="B62" s="13" t="s">
        <v>47</v>
      </c>
      <c r="C62" s="13" t="s">
        <v>98</v>
      </c>
      <c r="D62" s="89" t="s">
        <v>264</v>
      </c>
      <c r="E62" s="83" t="s">
        <v>278</v>
      </c>
      <c r="F62" s="30">
        <f>23.66+0.17+0.79</f>
        <v>24.62</v>
      </c>
      <c r="G62" s="30">
        <f>$F$5*(0.0113+0.0034-0.0036+0.00004)</f>
        <v>5.1243999999999996</v>
      </c>
      <c r="H62" s="30">
        <f t="shared" si="13"/>
        <v>29.744399999999999</v>
      </c>
      <c r="I62" s="14" t="s">
        <v>102</v>
      </c>
      <c r="J62" s="30">
        <f>(0.0057+0.0045)*$F$5*M62</f>
        <v>5.0406156000000006</v>
      </c>
      <c r="K62" s="30">
        <f t="shared" si="11"/>
        <v>3.8070874199999998</v>
      </c>
      <c r="L62" s="30">
        <f t="shared" si="12"/>
        <v>38.592103020000003</v>
      </c>
      <c r="M62" s="88">
        <v>1.0743</v>
      </c>
    </row>
    <row r="63" spans="1:13" ht="18" x14ac:dyDescent="0.25">
      <c r="A63" s="13">
        <v>43</v>
      </c>
      <c r="B63" s="13" t="s">
        <v>48</v>
      </c>
      <c r="C63" s="13" t="s">
        <v>100</v>
      </c>
      <c r="D63" s="84" t="s">
        <v>264</v>
      </c>
      <c r="E63" s="83" t="s">
        <v>278</v>
      </c>
      <c r="F63" s="30">
        <f>16.42+0.01+0.79</f>
        <v>17.220000000000002</v>
      </c>
      <c r="G63" s="30">
        <f>$F$5*(0.0121+0.0012-0.0025)</f>
        <v>4.9679999999999991</v>
      </c>
      <c r="H63" s="30">
        <f t="shared" si="13"/>
        <v>22.188000000000002</v>
      </c>
      <c r="I63" s="14" t="s">
        <v>102</v>
      </c>
      <c r="J63" s="30">
        <f>(0.0069+0.0058)*$F$5*M63</f>
        <v>6.0464699999999993</v>
      </c>
      <c r="K63" s="30">
        <f t="shared" si="11"/>
        <v>1.7933789999999963</v>
      </c>
      <c r="L63" s="30">
        <f t="shared" si="12"/>
        <v>30.027848999999996</v>
      </c>
      <c r="M63" s="88">
        <v>1.0349999999999999</v>
      </c>
    </row>
    <row r="64" spans="1:13" ht="18" x14ac:dyDescent="0.25">
      <c r="A64" s="13">
        <v>44</v>
      </c>
      <c r="B64" s="13" t="s">
        <v>49</v>
      </c>
      <c r="C64" s="13" t="s">
        <v>100</v>
      </c>
      <c r="D64" s="84" t="s">
        <v>264</v>
      </c>
      <c r="E64" s="83" t="s">
        <v>278</v>
      </c>
      <c r="F64" s="30">
        <f>19.35+0.79</f>
        <v>20.14</v>
      </c>
      <c r="G64" s="30">
        <f>$F$5*(0.0157+0.002+0.0005-0.00001)</f>
        <v>8.3673999999999999</v>
      </c>
      <c r="H64" s="30">
        <f t="shared" si="13"/>
        <v>28.507400000000001</v>
      </c>
      <c r="I64" s="14" t="s">
        <v>102</v>
      </c>
      <c r="J64" s="30">
        <f>(0.0069+0.0053)*$F$5*M64</f>
        <v>5.9947383999999992</v>
      </c>
      <c r="K64" s="30">
        <f t="shared" si="11"/>
        <v>3.4945270800000015</v>
      </c>
      <c r="L64" s="30">
        <f t="shared" si="12"/>
        <v>37.996665480000004</v>
      </c>
      <c r="M64" s="88">
        <v>1.0682</v>
      </c>
    </row>
    <row r="65" spans="1:13" ht="18" x14ac:dyDescent="0.25">
      <c r="A65" s="13">
        <v>45</v>
      </c>
      <c r="B65" s="27" t="s">
        <v>50</v>
      </c>
      <c r="C65" s="13" t="s">
        <v>92</v>
      </c>
      <c r="D65" s="111" t="s">
        <v>281</v>
      </c>
      <c r="E65" s="83" t="s">
        <v>278</v>
      </c>
      <c r="F65" s="30">
        <f>18.61+0.79+0.98-1.423+1.51</f>
        <v>20.467000000000002</v>
      </c>
      <c r="G65" s="30">
        <f>$F$5*(-0.0018+0.011+0.0006+0.0036-0.0032)</f>
        <v>4.6919999999999993</v>
      </c>
      <c r="H65" s="30">
        <f t="shared" si="13"/>
        <v>25.159000000000002</v>
      </c>
      <c r="I65" s="14" t="s">
        <v>102</v>
      </c>
      <c r="J65" s="30">
        <f>(0.0073+0.006)*$F$5*M65</f>
        <v>6.3474250000000003</v>
      </c>
      <c r="K65" s="30">
        <f t="shared" si="11"/>
        <v>1.9214775000000064</v>
      </c>
      <c r="L65" s="30">
        <f t="shared" si="12"/>
        <v>33.427902500000009</v>
      </c>
      <c r="M65" s="88">
        <v>1.0375000000000001</v>
      </c>
    </row>
    <row r="66" spans="1:13" ht="18" x14ac:dyDescent="0.25">
      <c r="A66" s="13">
        <v>46</v>
      </c>
      <c r="B66" s="13" t="s">
        <v>51</v>
      </c>
      <c r="C66" s="13" t="s">
        <v>210</v>
      </c>
      <c r="D66" s="84" t="s">
        <v>261</v>
      </c>
      <c r="E66" s="83" t="s">
        <v>278</v>
      </c>
      <c r="F66" s="30">
        <f>18.06+0.79-0.11</f>
        <v>18.739999999999998</v>
      </c>
      <c r="G66" s="30">
        <f>$F$5*(0.0111)</f>
        <v>5.1059999999999999</v>
      </c>
      <c r="H66" s="30">
        <f t="shared" si="13"/>
        <v>23.845999999999997</v>
      </c>
      <c r="I66" s="14" t="s">
        <v>102</v>
      </c>
      <c r="J66" s="30">
        <f>(0.0084+0.0068)*$F$5*M66</f>
        <v>7.2597935999999992</v>
      </c>
      <c r="K66" s="30">
        <f t="shared" si="11"/>
        <v>1.9624690199999995</v>
      </c>
      <c r="L66" s="30">
        <f t="shared" si="12"/>
        <v>33.068262619999992</v>
      </c>
      <c r="M66" s="88">
        <v>1.0383</v>
      </c>
    </row>
    <row r="67" spans="1:13" ht="18" x14ac:dyDescent="0.25">
      <c r="A67" s="13">
        <v>47</v>
      </c>
      <c r="B67" s="13" t="s">
        <v>110</v>
      </c>
      <c r="C67" s="13" t="s">
        <v>98</v>
      </c>
      <c r="D67" s="84" t="s">
        <v>264</v>
      </c>
      <c r="E67" s="83" t="s">
        <v>278</v>
      </c>
      <c r="F67" s="30">
        <f>21.06+0.79-0.28+0.13</f>
        <v>21.699999999999996</v>
      </c>
      <c r="G67" s="30">
        <f>$F$5*(0.0098-0.0036-0.001+0.0007)</f>
        <v>2.714</v>
      </c>
      <c r="H67" s="30">
        <f t="shared" si="13"/>
        <v>24.413999999999994</v>
      </c>
      <c r="I67" s="14" t="s">
        <v>102</v>
      </c>
      <c r="J67" s="30">
        <f>(0.0072+0.0015)*$F$5*M67</f>
        <v>4.1536758000000003</v>
      </c>
      <c r="K67" s="30">
        <f t="shared" si="11"/>
        <v>1.941973260000003</v>
      </c>
      <c r="L67" s="30">
        <f t="shared" si="12"/>
        <v>30.509649060000001</v>
      </c>
      <c r="M67" s="88">
        <v>1.0379</v>
      </c>
    </row>
    <row r="68" spans="1:13" ht="18" x14ac:dyDescent="0.25">
      <c r="A68" s="13">
        <v>48</v>
      </c>
      <c r="B68" s="13" t="s">
        <v>124</v>
      </c>
      <c r="C68" s="13" t="s">
        <v>98</v>
      </c>
      <c r="D68" s="84" t="s">
        <v>264</v>
      </c>
      <c r="E68" s="83"/>
      <c r="F68" s="30">
        <f>21.94-0.14+0.79+0.93</f>
        <v>23.52</v>
      </c>
      <c r="G68" s="30">
        <f>$F$5*(0.0139+0.0005-0.003-0.0001)</f>
        <v>5.1980000000000004</v>
      </c>
      <c r="H68" s="30">
        <f t="shared" si="13"/>
        <v>28.718</v>
      </c>
      <c r="I68" s="14" t="s">
        <v>102</v>
      </c>
      <c r="J68" s="30">
        <f>(0.0071+0.0053)*$F$5*M68</f>
        <v>5.9772216000000009</v>
      </c>
      <c r="K68" s="30">
        <f t="shared" si="11"/>
        <v>2.4543672600000055</v>
      </c>
      <c r="L68" s="30">
        <f t="shared" si="12"/>
        <v>37.149588860000009</v>
      </c>
      <c r="M68" s="88">
        <v>1.0479000000000001</v>
      </c>
    </row>
    <row r="69" spans="1:13" ht="18" x14ac:dyDescent="0.25">
      <c r="A69" s="13">
        <v>49</v>
      </c>
      <c r="B69" s="13" t="s">
        <v>52</v>
      </c>
      <c r="C69" s="13" t="s">
        <v>280</v>
      </c>
      <c r="D69" s="84" t="s">
        <v>298</v>
      </c>
      <c r="E69" s="83" t="s">
        <v>278</v>
      </c>
      <c r="F69" s="30">
        <f>24.85+0.1+0.93+0.79-0.37</f>
        <v>26.3</v>
      </c>
      <c r="G69" s="30">
        <f>$F$5*(0.0164+0.0009-0.0002+0.0002)</f>
        <v>7.9580000000000011</v>
      </c>
      <c r="H69" s="30">
        <f t="shared" si="13"/>
        <v>34.258000000000003</v>
      </c>
      <c r="I69" s="14" t="s">
        <v>102</v>
      </c>
      <c r="J69" s="30">
        <f>(0.0067+0.0032)*$F$5*M69</f>
        <v>4.8108456000000004</v>
      </c>
      <c r="K69" s="30">
        <f t="shared" si="11"/>
        <v>2.8899021600000019</v>
      </c>
      <c r="L69" s="30">
        <f t="shared" si="12"/>
        <v>41.958747760000008</v>
      </c>
      <c r="M69" s="88">
        <v>1.0564</v>
      </c>
    </row>
    <row r="70" spans="1:13" ht="18" x14ac:dyDescent="0.25">
      <c r="A70" s="13">
        <v>50</v>
      </c>
      <c r="B70" s="13" t="s">
        <v>53</v>
      </c>
      <c r="C70" s="13" t="s">
        <v>98</v>
      </c>
      <c r="D70" s="84" t="s">
        <v>264</v>
      </c>
      <c r="E70" s="83" t="s">
        <v>278</v>
      </c>
      <c r="F70" s="30">
        <f>18.9+0.79</f>
        <v>19.689999999999998</v>
      </c>
      <c r="G70" s="30">
        <f>$F$5*(0.0108+0.00007-0.0038-0.0036)</f>
        <v>1.5962000000000007</v>
      </c>
      <c r="H70" s="30">
        <f t="shared" si="13"/>
        <v>21.286199999999997</v>
      </c>
      <c r="I70" s="10" t="s">
        <v>101</v>
      </c>
      <c r="J70" s="30">
        <f>(0.0067+0.0058)*$F$5*M70</f>
        <v>6.0208249999999994</v>
      </c>
      <c r="K70" s="30">
        <f t="shared" si="11"/>
        <v>2.4133757399999936</v>
      </c>
      <c r="L70" s="30">
        <f t="shared" si="12"/>
        <v>29.720400739999988</v>
      </c>
      <c r="M70" s="88">
        <v>1.0470999999999999</v>
      </c>
    </row>
    <row r="71" spans="1:13" ht="18" x14ac:dyDescent="0.25">
      <c r="A71" s="13">
        <v>51</v>
      </c>
      <c r="B71" s="13" t="s">
        <v>54</v>
      </c>
      <c r="C71" s="13" t="s">
        <v>100</v>
      </c>
      <c r="D71" s="84" t="s">
        <v>264</v>
      </c>
      <c r="E71" s="83" t="s">
        <v>278</v>
      </c>
      <c r="F71" s="30">
        <f>24.25+0.79</f>
        <v>25.04</v>
      </c>
      <c r="G71" s="30">
        <f>$F$5*(0.0123+0.0013+0.0039)</f>
        <v>8.0500000000000007</v>
      </c>
      <c r="H71" s="30">
        <f t="shared" si="13"/>
        <v>33.090000000000003</v>
      </c>
      <c r="I71" s="14" t="s">
        <v>102</v>
      </c>
      <c r="J71" s="30">
        <f>(0.0059+0.0027)*$F$5*M71</f>
        <v>4.2380627999999998</v>
      </c>
      <c r="K71" s="30">
        <f t="shared" si="11"/>
        <v>3.6533692199999939</v>
      </c>
      <c r="L71" s="30">
        <f t="shared" si="12"/>
        <v>40.98143202</v>
      </c>
      <c r="M71" s="88">
        <v>1.0712999999999999</v>
      </c>
    </row>
    <row r="72" spans="1:13" ht="18" x14ac:dyDescent="0.25">
      <c r="A72" s="11">
        <v>52</v>
      </c>
      <c r="B72" s="11" t="s">
        <v>111</v>
      </c>
      <c r="C72" s="11" t="s">
        <v>98</v>
      </c>
      <c r="D72" s="103" t="s">
        <v>264</v>
      </c>
      <c r="E72" s="104" t="s">
        <v>299</v>
      </c>
      <c r="F72" s="17">
        <f>18.22+0.77+0.79</f>
        <v>19.779999999999998</v>
      </c>
      <c r="G72" s="17">
        <f>$F$5*(0.0121+0.0004)</f>
        <v>5.7499999999999991</v>
      </c>
      <c r="H72" s="17">
        <f t="shared" si="13"/>
        <v>25.529999999999998</v>
      </c>
      <c r="I72" s="14" t="s">
        <v>102</v>
      </c>
      <c r="J72" s="17">
        <f>(0.0081+0.0055)*$F$5*M72</f>
        <v>6.4912255999999999</v>
      </c>
      <c r="K72" s="17">
        <f t="shared" si="11"/>
        <v>1.9266014400000055</v>
      </c>
      <c r="L72" s="17">
        <f t="shared" si="12"/>
        <v>33.94782704</v>
      </c>
      <c r="M72" s="98">
        <v>1.0376000000000001</v>
      </c>
    </row>
    <row r="73" spans="1:13" ht="18" x14ac:dyDescent="0.25">
      <c r="A73" s="13">
        <v>53</v>
      </c>
      <c r="B73" s="13" t="s">
        <v>112</v>
      </c>
      <c r="C73" s="13" t="s">
        <v>100</v>
      </c>
      <c r="D73" s="84" t="s">
        <v>264</v>
      </c>
      <c r="E73" s="83" t="s">
        <v>278</v>
      </c>
      <c r="F73" s="30">
        <f>18.19+0.17+0.79</f>
        <v>19.150000000000002</v>
      </c>
      <c r="G73" s="30">
        <f>$F$5*(0.0102+0.0017+0.0007-0.0007-0.0014)</f>
        <v>4.83</v>
      </c>
      <c r="H73" s="30">
        <f t="shared" si="13"/>
        <v>23.980000000000004</v>
      </c>
      <c r="I73" s="14" t="s">
        <v>102</v>
      </c>
      <c r="J73" s="30">
        <f>(0.0068+0.0037)*$F$5*M73</f>
        <v>5.0623229999999992</v>
      </c>
      <c r="K73" s="30">
        <f t="shared" si="11"/>
        <v>2.4646151400000038</v>
      </c>
      <c r="L73" s="30">
        <f t="shared" si="12"/>
        <v>31.506938140000006</v>
      </c>
      <c r="M73" s="88">
        <v>1.0481</v>
      </c>
    </row>
    <row r="74" spans="1:13" ht="18" x14ac:dyDescent="0.25">
      <c r="A74" s="13">
        <v>54</v>
      </c>
      <c r="B74" s="13" t="s">
        <v>55</v>
      </c>
      <c r="C74" s="13" t="s">
        <v>100</v>
      </c>
      <c r="D74" s="84" t="s">
        <v>264</v>
      </c>
      <c r="E74" s="83" t="s">
        <v>278</v>
      </c>
      <c r="F74" s="30">
        <f>17.68+2.56-3.63-0.08+0.79</f>
        <v>17.32</v>
      </c>
      <c r="G74" s="30">
        <f>$F$5*(0.0127+0.0006+0.0013-0.0028)</f>
        <v>5.427999999999999</v>
      </c>
      <c r="H74" s="30">
        <f t="shared" si="13"/>
        <v>22.747999999999998</v>
      </c>
      <c r="I74" s="14" t="s">
        <v>102</v>
      </c>
      <c r="J74" s="30">
        <f>(0.0054+0.0041)*$F$5*M74</f>
        <v>4.6151570000000008</v>
      </c>
      <c r="K74" s="30">
        <f t="shared" si="11"/>
        <v>2.8745303400000046</v>
      </c>
      <c r="L74" s="30">
        <f t="shared" si="12"/>
        <v>30.237687340000001</v>
      </c>
      <c r="M74" s="88">
        <v>1.0561</v>
      </c>
    </row>
    <row r="75" spans="1:13" ht="18" x14ac:dyDescent="0.25">
      <c r="A75" s="13">
        <v>55</v>
      </c>
      <c r="B75" s="13" t="s">
        <v>56</v>
      </c>
      <c r="C75" s="27" t="s">
        <v>201</v>
      </c>
      <c r="D75" s="82" t="s">
        <v>261</v>
      </c>
      <c r="E75" s="83" t="s">
        <v>278</v>
      </c>
      <c r="F75" s="30">
        <f>11.21+0.79+0.06+0.6</f>
        <v>12.66</v>
      </c>
      <c r="G75" s="30">
        <f>$F$5*(0.0142+0.0013+0.0006)</f>
        <v>7.4059999999999997</v>
      </c>
      <c r="H75" s="30">
        <f t="shared" si="13"/>
        <v>20.065999999999999</v>
      </c>
      <c r="I75" s="10" t="s">
        <v>101</v>
      </c>
      <c r="J75" s="30">
        <f>(0.0078+0.0062)*$F$5*M75</f>
        <v>6.7529839999999997</v>
      </c>
      <c r="K75" s="30">
        <f t="shared" si="11"/>
        <v>2.4902348399999994</v>
      </c>
      <c r="L75" s="30">
        <f t="shared" si="12"/>
        <v>29.30921884</v>
      </c>
      <c r="M75" s="88">
        <v>1.0486</v>
      </c>
    </row>
    <row r="76" spans="1:13" ht="18" x14ac:dyDescent="0.25">
      <c r="A76" s="13">
        <v>56</v>
      </c>
      <c r="B76" s="13" t="s">
        <v>57</v>
      </c>
      <c r="C76" s="13" t="s">
        <v>92</v>
      </c>
      <c r="D76" s="84" t="s">
        <v>264</v>
      </c>
      <c r="E76" s="83" t="s">
        <v>278</v>
      </c>
      <c r="F76" s="30">
        <f>14.02+0.32+1.68+0.07+0.79+0.11</f>
        <v>16.989999999999998</v>
      </c>
      <c r="G76" s="30">
        <f>$F$5*(0.0129+0.0008-0.0008-0.0027-0.0004+0.0003)</f>
        <v>4.6460000000000008</v>
      </c>
      <c r="H76" s="30">
        <f t="shared" si="13"/>
        <v>21.635999999999999</v>
      </c>
      <c r="I76" s="14" t="s">
        <v>102</v>
      </c>
      <c r="J76" s="30">
        <f>(0.0059+0.0045)*$F$5*M76</f>
        <v>5.0026288000000001</v>
      </c>
      <c r="K76" s="30">
        <f t="shared" si="11"/>
        <v>2.3416405800000053</v>
      </c>
      <c r="L76" s="30">
        <f t="shared" si="12"/>
        <v>28.980269380000003</v>
      </c>
      <c r="M76" s="88">
        <v>1.0457000000000001</v>
      </c>
    </row>
    <row r="77" spans="1:13" ht="18" x14ac:dyDescent="0.25">
      <c r="A77" s="13">
        <v>57</v>
      </c>
      <c r="B77" s="27" t="s">
        <v>58</v>
      </c>
      <c r="C77" s="13" t="s">
        <v>98</v>
      </c>
      <c r="D77" s="84" t="s">
        <v>261</v>
      </c>
      <c r="E77" s="83" t="s">
        <v>278</v>
      </c>
      <c r="F77" s="30">
        <f>26.52+4.11+0.79</f>
        <v>31.419999999999998</v>
      </c>
      <c r="G77" s="30">
        <f>$F$5*(0.0146+0.0011)</f>
        <v>7.2219999999999995</v>
      </c>
      <c r="H77" s="30">
        <f t="shared" si="13"/>
        <v>38.641999999999996</v>
      </c>
      <c r="I77" s="14" t="s">
        <v>102</v>
      </c>
      <c r="J77" s="30">
        <f>(0.0043+0.0033)*$F$5*M77</f>
        <v>3.7788263999999998</v>
      </c>
      <c r="K77" s="30">
        <f t="shared" si="11"/>
        <v>4.1452674600000003</v>
      </c>
      <c r="L77" s="30">
        <f t="shared" si="12"/>
        <v>46.566093859999995</v>
      </c>
      <c r="M77" s="88">
        <v>1.0809</v>
      </c>
    </row>
    <row r="78" spans="1:13" ht="18" x14ac:dyDescent="0.25">
      <c r="A78" s="13">
        <v>58</v>
      </c>
      <c r="B78" s="13" t="s">
        <v>59</v>
      </c>
      <c r="C78" s="13" t="s">
        <v>100</v>
      </c>
      <c r="D78" s="84" t="s">
        <v>264</v>
      </c>
      <c r="E78" s="83" t="s">
        <v>278</v>
      </c>
      <c r="F78" s="30">
        <f>15.2+0.79+0.05</f>
        <v>16.04</v>
      </c>
      <c r="G78" s="30">
        <f>$F$5*(0.0094+0.001+0.0016-0.0002)</f>
        <v>5.4279999999999999</v>
      </c>
      <c r="H78" s="30">
        <f t="shared" si="13"/>
        <v>21.468</v>
      </c>
      <c r="I78" s="10" t="s">
        <v>101</v>
      </c>
      <c r="J78" s="30">
        <f>(0.007+0.0052)*$F$5*M78</f>
        <v>5.9195375999999991</v>
      </c>
      <c r="K78" s="30">
        <f t="shared" si="11"/>
        <v>2.8079191199999967</v>
      </c>
      <c r="L78" s="30">
        <f t="shared" si="12"/>
        <v>30.195456719999996</v>
      </c>
      <c r="M78" s="88">
        <v>1.0548</v>
      </c>
    </row>
    <row r="79" spans="1:13" ht="17.45" x14ac:dyDescent="0.3">
      <c r="A79" s="19">
        <v>59</v>
      </c>
      <c r="B79" s="19" t="s">
        <v>60</v>
      </c>
      <c r="C79" s="19" t="s">
        <v>118</v>
      </c>
      <c r="D79" s="114" t="s">
        <v>261</v>
      </c>
      <c r="E79" s="86"/>
      <c r="F79" s="18"/>
      <c r="G79" s="18"/>
      <c r="H79" s="18"/>
      <c r="I79" s="115"/>
      <c r="J79" s="18"/>
      <c r="K79" s="18"/>
      <c r="L79" s="18"/>
      <c r="M79" s="116"/>
    </row>
    <row r="80" spans="1:13" ht="18" x14ac:dyDescent="0.25">
      <c r="A80" s="13">
        <v>60</v>
      </c>
      <c r="B80" s="13" t="s">
        <v>61</v>
      </c>
      <c r="C80" s="13" t="s">
        <v>319</v>
      </c>
      <c r="D80" s="83"/>
      <c r="E80" s="83" t="s">
        <v>278</v>
      </c>
      <c r="F80" s="30">
        <f>12.9+0.2+1.33-0.04-0.1+0.06+0.12+0.79+0.07</f>
        <v>15.330000000000002</v>
      </c>
      <c r="G80" s="30">
        <f>$F$5*(0.0143+0.0003+0.0003-0.0003+0.0001)</f>
        <v>6.7619999999999996</v>
      </c>
      <c r="H80" s="30">
        <f t="shared" ref="H80:H81" si="14">F80+G80</f>
        <v>22.092000000000002</v>
      </c>
      <c r="I80" s="14" t="s">
        <v>102</v>
      </c>
      <c r="J80" s="30">
        <f>(0.008+0.0035)*$F$5*M80</f>
        <v>5.472505</v>
      </c>
      <c r="K80" s="30">
        <f>(M80*$F$5-$F$5)*$O$5</f>
        <v>1.7677593000000005</v>
      </c>
      <c r="L80" s="30">
        <f t="shared" ref="L80:L81" si="15">H80+J80+K80</f>
        <v>29.332264300000006</v>
      </c>
      <c r="M80" s="88">
        <v>1.0345</v>
      </c>
    </row>
    <row r="81" spans="1:13" ht="18" x14ac:dyDescent="0.25">
      <c r="A81" s="13">
        <v>61</v>
      </c>
      <c r="B81" s="13" t="s">
        <v>62</v>
      </c>
      <c r="C81" s="13" t="s">
        <v>100</v>
      </c>
      <c r="D81" s="84" t="s">
        <v>264</v>
      </c>
      <c r="E81" s="83" t="s">
        <v>278</v>
      </c>
      <c r="F81" s="30">
        <f>13.23+0.79+0.05</f>
        <v>14.07</v>
      </c>
      <c r="G81" s="30">
        <f>$F$5*(0.0137+0.0002)</f>
        <v>6.3940000000000001</v>
      </c>
      <c r="H81" s="30">
        <f t="shared" si="14"/>
        <v>20.463999999999999</v>
      </c>
      <c r="I81" s="14" t="s">
        <v>102</v>
      </c>
      <c r="J81" s="30">
        <f>(0.0061+0)*$F$5*M81</f>
        <v>2.9432133999999999</v>
      </c>
      <c r="K81" s="30">
        <f>(M81*$F$5-$F$5)*$O$5</f>
        <v>2.5056066599999967</v>
      </c>
      <c r="L81" s="30">
        <f t="shared" si="15"/>
        <v>25.912820059999998</v>
      </c>
      <c r="M81" s="88">
        <v>1.0488999999999999</v>
      </c>
    </row>
    <row r="82" spans="1:13" ht="17.45" x14ac:dyDescent="0.3">
      <c r="A82">
        <v>62</v>
      </c>
      <c r="B82" t="s">
        <v>63</v>
      </c>
      <c r="C82" s="12" t="s">
        <v>92</v>
      </c>
      <c r="D82" s="80" t="s">
        <v>264</v>
      </c>
      <c r="E82" s="79"/>
      <c r="F82" s="22"/>
      <c r="G82" s="22"/>
      <c r="H82" s="22"/>
      <c r="I82" s="23"/>
      <c r="J82" s="22"/>
      <c r="K82" s="22"/>
      <c r="L82" s="22"/>
      <c r="M82" s="24"/>
    </row>
    <row r="83" spans="1:13" ht="17.45" x14ac:dyDescent="0.3">
      <c r="A83">
        <v>63</v>
      </c>
      <c r="B83" t="s">
        <v>64</v>
      </c>
      <c r="C83" s="12" t="s">
        <v>92</v>
      </c>
      <c r="D83" s="80" t="s">
        <v>264</v>
      </c>
      <c r="E83" s="79"/>
      <c r="F83" s="22"/>
      <c r="G83" s="22"/>
      <c r="H83" s="22"/>
      <c r="I83" s="23"/>
      <c r="J83" s="22"/>
      <c r="K83" s="22"/>
      <c r="L83" s="22"/>
      <c r="M83" s="24"/>
    </row>
    <row r="84" spans="1:13" ht="18" x14ac:dyDescent="0.25">
      <c r="A84" s="13">
        <v>64</v>
      </c>
      <c r="B84" s="13" t="s">
        <v>65</v>
      </c>
      <c r="C84" s="13" t="s">
        <v>100</v>
      </c>
      <c r="D84" s="84" t="s">
        <v>264</v>
      </c>
      <c r="E84" s="83" t="s">
        <v>278</v>
      </c>
      <c r="F84" s="30">
        <f>31.23+0.79</f>
        <v>32.020000000000003</v>
      </c>
      <c r="G84" s="30">
        <f>$F$5*(0.0089+0.0037-0.0032)</f>
        <v>4.3239999999999998</v>
      </c>
      <c r="H84" s="30">
        <f t="shared" ref="H84:H97" si="16">F84+G84</f>
        <v>36.344000000000001</v>
      </c>
      <c r="I84" s="14" t="s">
        <v>102</v>
      </c>
      <c r="J84" s="30">
        <f>(0.0068+0.0017)*$F$5*M84</f>
        <v>4.2607269999999993</v>
      </c>
      <c r="K84" s="30">
        <f t="shared" ref="K84:K97" si="17">(M84*$F$5-$F$5)*$O$5</f>
        <v>4.596174179999994</v>
      </c>
      <c r="L84" s="30">
        <f t="shared" ref="L84:L97" si="18">H84+J84+K84</f>
        <v>45.200901179999988</v>
      </c>
      <c r="M84" s="88">
        <v>1.0896999999999999</v>
      </c>
    </row>
    <row r="85" spans="1:13" ht="18" x14ac:dyDescent="0.25">
      <c r="A85" s="13">
        <v>65</v>
      </c>
      <c r="B85" s="13" t="s">
        <v>66</v>
      </c>
      <c r="C85" s="13" t="s">
        <v>100</v>
      </c>
      <c r="D85" s="84" t="s">
        <v>261</v>
      </c>
      <c r="E85" s="83" t="s">
        <v>278</v>
      </c>
      <c r="F85" s="30">
        <f>17.31+0.79+0.37</f>
        <v>18.47</v>
      </c>
      <c r="G85" s="30">
        <f>$F$5*(0.0128-0.0037)</f>
        <v>4.1859999999999999</v>
      </c>
      <c r="H85" s="30">
        <f t="shared" si="16"/>
        <v>22.655999999999999</v>
      </c>
      <c r="I85" s="14" t="s">
        <v>102</v>
      </c>
      <c r="J85" s="30">
        <f>(0.0074+0.0058)*$F$5*M85</f>
        <v>6.3106295999999995</v>
      </c>
      <c r="K85" s="30">
        <f t="shared" si="17"/>
        <v>2.0137084199999973</v>
      </c>
      <c r="L85" s="30">
        <f t="shared" si="18"/>
        <v>30.980338019999994</v>
      </c>
      <c r="M85" s="88">
        <v>1.0392999999999999</v>
      </c>
    </row>
    <row r="86" spans="1:13" ht="18" x14ac:dyDescent="0.25">
      <c r="A86" s="13">
        <v>66</v>
      </c>
      <c r="B86" s="13" t="s">
        <v>67</v>
      </c>
      <c r="C86" s="13" t="s">
        <v>100</v>
      </c>
      <c r="D86" s="84" t="s">
        <v>264</v>
      </c>
      <c r="E86" s="83" t="s">
        <v>278</v>
      </c>
      <c r="F86" s="30">
        <f>15.24+0.79</f>
        <v>16.03</v>
      </c>
      <c r="G86" s="30">
        <f>$F$5*(0.0097-0.001)</f>
        <v>4.0019999999999998</v>
      </c>
      <c r="H86" s="30">
        <f t="shared" si="16"/>
        <v>20.032</v>
      </c>
      <c r="I86" s="10" t="s">
        <v>101</v>
      </c>
      <c r="J86" s="30">
        <f>(0.0061+0.0046)*$F$5*M86</f>
        <v>5.0903324000000003</v>
      </c>
      <c r="K86" s="30">
        <f t="shared" si="17"/>
        <v>1.7523874800000032</v>
      </c>
      <c r="L86" s="30">
        <f t="shared" si="18"/>
        <v>26.874719880000004</v>
      </c>
      <c r="M86" s="88">
        <v>1.0342</v>
      </c>
    </row>
    <row r="87" spans="1:13" ht="18" x14ac:dyDescent="0.25">
      <c r="A87" s="13">
        <v>67</v>
      </c>
      <c r="B87" s="13" t="s">
        <v>68</v>
      </c>
      <c r="C87" s="13" t="s">
        <v>98</v>
      </c>
      <c r="D87" s="84" t="s">
        <v>264</v>
      </c>
      <c r="E87" s="83" t="s">
        <v>278</v>
      </c>
      <c r="F87" s="30">
        <f>13.8+0.79</f>
        <v>14.59</v>
      </c>
      <c r="G87" s="30">
        <f>$F$5*(0.0197+0.0014)</f>
        <v>9.7059999999999995</v>
      </c>
      <c r="H87" s="30">
        <f t="shared" si="16"/>
        <v>24.295999999999999</v>
      </c>
      <c r="I87" s="14" t="s">
        <v>102</v>
      </c>
      <c r="J87" s="30">
        <f>(0.0069+0.0056)*$F$5*M87</f>
        <v>5.9414750000000005</v>
      </c>
      <c r="K87" s="30">
        <f t="shared" si="17"/>
        <v>1.7062720200000046</v>
      </c>
      <c r="L87" s="30">
        <f t="shared" si="18"/>
        <v>31.943747020000004</v>
      </c>
      <c r="M87" s="88">
        <v>1.0333000000000001</v>
      </c>
    </row>
    <row r="88" spans="1:13" ht="18" x14ac:dyDescent="0.25">
      <c r="A88" s="13">
        <v>68</v>
      </c>
      <c r="B88" s="13" t="s">
        <v>69</v>
      </c>
      <c r="C88" s="13" t="s">
        <v>118</v>
      </c>
      <c r="D88" s="84" t="s">
        <v>261</v>
      </c>
      <c r="E88" s="83" t="s">
        <v>278</v>
      </c>
      <c r="F88" s="30">
        <f>22.78+0.08+0.78+0.06+0.28-0.17-0.08-0.03-0.48-1.48+0.1+0.03+0.46+0.88+0.28</f>
        <v>23.490000000000002</v>
      </c>
      <c r="G88" s="30">
        <f>$F$5*(0.0188+0.00006-0.00009)</f>
        <v>8.6342000000000017</v>
      </c>
      <c r="H88" s="30">
        <f t="shared" si="16"/>
        <v>32.124200000000002</v>
      </c>
      <c r="I88" s="14" t="s">
        <v>102</v>
      </c>
      <c r="J88" s="30">
        <f>(0.00914+0.00786)*$F$5*M88</f>
        <v>8.1140320000000017</v>
      </c>
      <c r="K88" s="30">
        <f t="shared" si="17"/>
        <v>1.9266014400000055</v>
      </c>
      <c r="L88" s="30">
        <f t="shared" si="18"/>
        <v>42.16483344000001</v>
      </c>
      <c r="M88" s="88">
        <v>1.0376000000000001</v>
      </c>
    </row>
    <row r="89" spans="1:13" ht="18" x14ac:dyDescent="0.25">
      <c r="A89" s="13">
        <v>69</v>
      </c>
      <c r="B89" s="13" t="s">
        <v>113</v>
      </c>
      <c r="C89" s="13" t="s">
        <v>100</v>
      </c>
      <c r="D89" s="84" t="s">
        <v>264</v>
      </c>
      <c r="E89" s="83" t="s">
        <v>278</v>
      </c>
      <c r="F89" s="30">
        <f>16.3+0.79</f>
        <v>17.09</v>
      </c>
      <c r="G89" s="30">
        <f>$F$5*(0.0123+0.001)</f>
        <v>6.1179999999999994</v>
      </c>
      <c r="H89" s="30">
        <f t="shared" si="16"/>
        <v>23.207999999999998</v>
      </c>
      <c r="I89" s="14" t="s">
        <v>102</v>
      </c>
      <c r="J89" s="30">
        <f>(0.0068+0.0047)*$F$5*M89</f>
        <v>5.5449780000000004</v>
      </c>
      <c r="K89" s="30">
        <f t="shared" si="17"/>
        <v>2.4697390800000028</v>
      </c>
      <c r="L89" s="30">
        <f t="shared" si="18"/>
        <v>31.222717080000002</v>
      </c>
      <c r="M89" s="88">
        <v>1.0482</v>
      </c>
    </row>
    <row r="90" spans="1:13" ht="18" x14ac:dyDescent="0.25">
      <c r="A90" s="13">
        <v>70</v>
      </c>
      <c r="B90" s="13" t="s">
        <v>70</v>
      </c>
      <c r="C90" s="13" t="s">
        <v>92</v>
      </c>
      <c r="D90" s="84" t="s">
        <v>264</v>
      </c>
      <c r="E90" s="83" t="s">
        <v>278</v>
      </c>
      <c r="F90" s="30">
        <f>14.91+0.79</f>
        <v>15.7</v>
      </c>
      <c r="G90" s="30">
        <f>$F$5*(0.0118+0.0024+0.0013-0.0023)</f>
        <v>6.0720000000000001</v>
      </c>
      <c r="H90" s="30">
        <f t="shared" si="16"/>
        <v>21.771999999999998</v>
      </c>
      <c r="I90" s="14" t="s">
        <v>102</v>
      </c>
      <c r="J90" s="30">
        <f>(0.007+0.0054)*$F$5*M90</f>
        <v>6.1614608000000013</v>
      </c>
      <c r="K90" s="30">
        <f t="shared" si="17"/>
        <v>4.1093998799999998</v>
      </c>
      <c r="L90" s="30">
        <f t="shared" si="18"/>
        <v>32.042860679999997</v>
      </c>
      <c r="M90" s="88">
        <v>1.0802</v>
      </c>
    </row>
    <row r="91" spans="1:13" ht="18" x14ac:dyDescent="0.25">
      <c r="A91" s="13">
        <v>71</v>
      </c>
      <c r="B91" s="13" t="s">
        <v>71</v>
      </c>
      <c r="C91" s="13" t="s">
        <v>92</v>
      </c>
      <c r="D91" s="84" t="s">
        <v>261</v>
      </c>
      <c r="E91" s="83" t="s">
        <v>278</v>
      </c>
      <c r="F91" s="30">
        <f>19.71+0.79+0.58</f>
        <v>21.08</v>
      </c>
      <c r="G91" s="30">
        <f>$F$5*(0.0154+0.0002-0.0014+0.0016-0.0016+0.0002-0.0001)</f>
        <v>6.5780000000000012</v>
      </c>
      <c r="H91" s="30">
        <f t="shared" si="16"/>
        <v>27.658000000000001</v>
      </c>
      <c r="I91" s="14" t="s">
        <v>102</v>
      </c>
      <c r="J91" s="30">
        <f>(0.0074+0.0023)*$F$5*M91</f>
        <v>4.6235244</v>
      </c>
      <c r="K91" s="30">
        <f t="shared" si="17"/>
        <v>1.8548662799999986</v>
      </c>
      <c r="L91" s="30">
        <f t="shared" si="18"/>
        <v>34.136390679999998</v>
      </c>
      <c r="M91" s="88">
        <v>1.0362</v>
      </c>
    </row>
    <row r="92" spans="1:13" ht="18" x14ac:dyDescent="0.25">
      <c r="A92" s="13">
        <v>72</v>
      </c>
      <c r="B92" s="13" t="s">
        <v>72</v>
      </c>
      <c r="C92" s="13" t="s">
        <v>100</v>
      </c>
      <c r="D92" s="84" t="s">
        <v>264</v>
      </c>
      <c r="E92" s="83" t="s">
        <v>278</v>
      </c>
      <c r="F92" s="30">
        <f>18.76+0.45+0.05+0.79</f>
        <v>20.05</v>
      </c>
      <c r="G92" s="30">
        <f>$F$5*(0.0105-0.0019)</f>
        <v>3.956</v>
      </c>
      <c r="H92" s="30">
        <f t="shared" si="16"/>
        <v>24.006</v>
      </c>
      <c r="I92" s="14" t="s">
        <v>102</v>
      </c>
      <c r="J92" s="30">
        <f>(0.0078+0.0061)*$F$5*M92</f>
        <v>6.7341607999999988</v>
      </c>
      <c r="K92" s="30">
        <f t="shared" si="17"/>
        <v>2.7259360799999977</v>
      </c>
      <c r="L92" s="30">
        <f t="shared" si="18"/>
        <v>33.466096879999995</v>
      </c>
      <c r="M92" s="88">
        <v>1.0531999999999999</v>
      </c>
    </row>
    <row r="93" spans="1:13" ht="18" x14ac:dyDescent="0.25">
      <c r="A93" s="13">
        <v>73</v>
      </c>
      <c r="B93" s="13" t="s">
        <v>73</v>
      </c>
      <c r="C93" s="13" t="s">
        <v>92</v>
      </c>
      <c r="D93" s="84" t="s">
        <v>264</v>
      </c>
      <c r="E93" s="83" t="s">
        <v>278</v>
      </c>
      <c r="F93" s="30">
        <f>23.97+0.79+0.34</f>
        <v>25.099999999999998</v>
      </c>
      <c r="G93" s="30">
        <f>$F$5*(0.0153+0.0029+0.0003+0.0001)</f>
        <v>8.5560000000000009</v>
      </c>
      <c r="H93" s="30">
        <f t="shared" si="16"/>
        <v>33.655999999999999</v>
      </c>
      <c r="I93" s="14" t="s">
        <v>102</v>
      </c>
      <c r="J93" s="30">
        <f>(0.0067+0.0045)*$F$5*M93</f>
        <v>5.4899712000000003</v>
      </c>
      <c r="K93" s="30">
        <f t="shared" si="17"/>
        <v>3.3613046400000051</v>
      </c>
      <c r="L93" s="30">
        <f t="shared" si="18"/>
        <v>42.507275840000005</v>
      </c>
      <c r="M93" s="88">
        <v>1.0656000000000001</v>
      </c>
    </row>
    <row r="94" spans="1:13" ht="18" x14ac:dyDescent="0.25">
      <c r="A94" s="13">
        <v>74</v>
      </c>
      <c r="B94" s="13" t="s">
        <v>74</v>
      </c>
      <c r="C94" s="13" t="s">
        <v>100</v>
      </c>
      <c r="D94" s="84" t="s">
        <v>264</v>
      </c>
      <c r="E94" s="83" t="s">
        <v>278</v>
      </c>
      <c r="F94" s="30">
        <f>21.6+0.8+1.17+0.79</f>
        <v>24.36</v>
      </c>
      <c r="G94" s="30">
        <f>$F$5*(0.0173+0.0004-0.002)</f>
        <v>7.2219999999999995</v>
      </c>
      <c r="H94" s="30">
        <f t="shared" si="16"/>
        <v>31.582000000000001</v>
      </c>
      <c r="I94" s="14" t="s">
        <v>102</v>
      </c>
      <c r="J94" s="30">
        <f>(0.0069+0.0058)*$F$5*M94</f>
        <v>6.1148213999999994</v>
      </c>
      <c r="K94" s="30">
        <f t="shared" si="17"/>
        <v>2.3928799799999969</v>
      </c>
      <c r="L94" s="30">
        <f t="shared" si="18"/>
        <v>40.089701379999994</v>
      </c>
      <c r="M94" s="88">
        <v>1.0467</v>
      </c>
    </row>
    <row r="95" spans="1:13" ht="18" x14ac:dyDescent="0.25">
      <c r="A95" s="13">
        <v>75</v>
      </c>
      <c r="B95" s="13" t="s">
        <v>75</v>
      </c>
      <c r="C95" s="13" t="s">
        <v>100</v>
      </c>
      <c r="D95" s="84" t="s">
        <v>264</v>
      </c>
      <c r="E95" s="83" t="s">
        <v>278</v>
      </c>
      <c r="F95" s="30">
        <f>16.31+0.19+0.79</f>
        <v>17.29</v>
      </c>
      <c r="G95" s="30">
        <f>$F$5*(0.0121+0.0018+0.0045)</f>
        <v>8.4640000000000004</v>
      </c>
      <c r="H95" s="30">
        <f t="shared" si="16"/>
        <v>25.753999999999998</v>
      </c>
      <c r="I95" s="14" t="s">
        <v>102</v>
      </c>
      <c r="J95" s="30">
        <f>(0.0064+0.0045)*$F$5*M95</f>
        <v>5.364980000000001</v>
      </c>
      <c r="K95" s="30">
        <f t="shared" si="17"/>
        <v>3.586758000000005</v>
      </c>
      <c r="L95" s="30">
        <f t="shared" si="18"/>
        <v>34.705738000000004</v>
      </c>
      <c r="M95" s="88">
        <v>1.07</v>
      </c>
    </row>
    <row r="96" spans="1:13" ht="18" x14ac:dyDescent="0.25">
      <c r="A96" s="13">
        <v>76</v>
      </c>
      <c r="B96" s="13" t="s">
        <v>76</v>
      </c>
      <c r="C96" s="13" t="s">
        <v>98</v>
      </c>
      <c r="D96" s="84" t="s">
        <v>261</v>
      </c>
      <c r="E96" s="83" t="s">
        <v>278</v>
      </c>
      <c r="F96" s="30">
        <f>21.2-1.9+2.2+0.79</f>
        <v>22.29</v>
      </c>
      <c r="G96" s="30">
        <f>$F$5*(0.0113+0.0006-0.0008)</f>
        <v>5.1059999999999999</v>
      </c>
      <c r="H96" s="30">
        <f t="shared" si="16"/>
        <v>27.396000000000001</v>
      </c>
      <c r="I96" s="14" t="s">
        <v>102</v>
      </c>
      <c r="J96" s="30">
        <f>(0.0081+0.0063)*$F$5*M96</f>
        <v>6.9247296</v>
      </c>
      <c r="K96" s="30">
        <f t="shared" si="17"/>
        <v>2.326268760000008</v>
      </c>
      <c r="L96" s="30">
        <f t="shared" si="18"/>
        <v>36.646998360000005</v>
      </c>
      <c r="M96" s="88">
        <v>1.0454000000000001</v>
      </c>
    </row>
    <row r="97" spans="1:13" ht="18" x14ac:dyDescent="0.25">
      <c r="A97" s="13">
        <v>77</v>
      </c>
      <c r="B97" s="13" t="s">
        <v>77</v>
      </c>
      <c r="C97" s="19" t="s">
        <v>280</v>
      </c>
      <c r="D97" s="84" t="s">
        <v>261</v>
      </c>
      <c r="E97" s="83" t="s">
        <v>278</v>
      </c>
      <c r="F97" s="30">
        <f>16.38-0.16+0.79+0.64</f>
        <v>17.649999999999999</v>
      </c>
      <c r="G97" s="30">
        <f>$F$5*(0.0178-0.0002+0.0008)</f>
        <v>8.4640000000000004</v>
      </c>
      <c r="H97" s="30">
        <f t="shared" si="16"/>
        <v>26.113999999999997</v>
      </c>
      <c r="I97" s="10" t="s">
        <v>101</v>
      </c>
      <c r="J97" s="30">
        <f>(0.0075+0.0054)*$F$5*M97</f>
        <v>6.1897553999999992</v>
      </c>
      <c r="K97" s="30">
        <f t="shared" si="17"/>
        <v>2.208418139999996</v>
      </c>
      <c r="L97" s="30">
        <f t="shared" si="18"/>
        <v>34.512173539999999</v>
      </c>
      <c r="M97" s="88">
        <v>1.0430999999999999</v>
      </c>
    </row>
    <row r="103" spans="1:13" ht="14.45" x14ac:dyDescent="0.3">
      <c r="C103" t="s">
        <v>338</v>
      </c>
    </row>
    <row r="104" spans="1:13" ht="14.45" x14ac:dyDescent="0.3">
      <c r="A104" t="s">
        <v>331</v>
      </c>
      <c r="B104">
        <v>164</v>
      </c>
      <c r="C104" s="125">
        <v>1326</v>
      </c>
    </row>
    <row r="105" spans="1:13" ht="14.45" x14ac:dyDescent="0.3">
      <c r="A105" t="s">
        <v>330</v>
      </c>
      <c r="B105">
        <v>460</v>
      </c>
      <c r="C105" s="125">
        <v>988</v>
      </c>
    </row>
    <row r="106" spans="1:13" ht="14.45" x14ac:dyDescent="0.3">
      <c r="A106" t="s">
        <v>332</v>
      </c>
      <c r="B106">
        <v>526</v>
      </c>
      <c r="C106" s="125">
        <v>815.58</v>
      </c>
    </row>
    <row r="107" spans="1:13" ht="14.45" x14ac:dyDescent="0.3">
      <c r="A107" t="s">
        <v>333</v>
      </c>
      <c r="B107">
        <v>716</v>
      </c>
      <c r="C107" s="125">
        <v>874.16</v>
      </c>
    </row>
    <row r="108" spans="1:13" ht="14.45" x14ac:dyDescent="0.3">
      <c r="A108" t="s">
        <v>279</v>
      </c>
      <c r="B108">
        <v>751</v>
      </c>
      <c r="C108" s="125">
        <v>825.5</v>
      </c>
    </row>
    <row r="109" spans="1:13" ht="14.45" x14ac:dyDescent="0.3">
      <c r="A109" t="s">
        <v>65</v>
      </c>
      <c r="B109">
        <v>802</v>
      </c>
      <c r="C109" s="125">
        <v>1203.33</v>
      </c>
    </row>
    <row r="110" spans="1:13" ht="14.45" x14ac:dyDescent="0.3">
      <c r="A110" t="s">
        <v>69</v>
      </c>
      <c r="B110">
        <v>776</v>
      </c>
      <c r="C110" s="125">
        <v>620</v>
      </c>
    </row>
    <row r="111" spans="1:13" ht="14.45" x14ac:dyDescent="0.3">
      <c r="A111" t="s">
        <v>335</v>
      </c>
      <c r="B111">
        <v>842</v>
      </c>
      <c r="C111" s="125">
        <v>692.5</v>
      </c>
    </row>
    <row r="112" spans="1:13" ht="14.45" x14ac:dyDescent="0.3">
      <c r="A112" t="s">
        <v>334</v>
      </c>
      <c r="B112">
        <v>843</v>
      </c>
      <c r="C112" s="125">
        <v>674</v>
      </c>
    </row>
    <row r="113" spans="1:3" ht="14.45" x14ac:dyDescent="0.3">
      <c r="A113" t="s">
        <v>54</v>
      </c>
      <c r="B113">
        <v>865</v>
      </c>
      <c r="C113" s="125">
        <v>665.58</v>
      </c>
    </row>
    <row r="114" spans="1:3" ht="14.45" x14ac:dyDescent="0.3">
      <c r="A114" t="s">
        <v>336</v>
      </c>
      <c r="B114">
        <v>1120</v>
      </c>
      <c r="C114" s="125">
        <v>603.41</v>
      </c>
    </row>
    <row r="115" spans="1:3" ht="14.45" x14ac:dyDescent="0.3">
      <c r="A115" t="s">
        <v>41</v>
      </c>
      <c r="B115">
        <v>1233</v>
      </c>
      <c r="C115" s="125">
        <v>631.25</v>
      </c>
    </row>
    <row r="116" spans="1:3" ht="14.45" x14ac:dyDescent="0.3">
      <c r="A116" t="s">
        <v>337</v>
      </c>
      <c r="B116">
        <v>1304</v>
      </c>
      <c r="C116" s="125">
        <v>730.83</v>
      </c>
    </row>
  </sheetData>
  <sortState ref="A104:B116">
    <sortCondition ref="B104:B116"/>
  </sortState>
  <mergeCells count="1">
    <mergeCell ref="F6:H6"/>
  </mergeCells>
  <pageMargins left="0.7" right="0.7" top="0.75" bottom="0.75" header="0.3" footer="0.3"/>
  <pageSetup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97"/>
  <sheetViews>
    <sheetView topLeftCell="A2" workbookViewId="0">
      <selection activeCell="F36" sqref="F36"/>
    </sheetView>
  </sheetViews>
  <sheetFormatPr defaultRowHeight="15" x14ac:dyDescent="0.25"/>
  <sheetData>
    <row r="1" spans="1:17" ht="14.45" x14ac:dyDescent="0.3">
      <c r="N1" s="40" t="s">
        <v>320</v>
      </c>
      <c r="O1" s="11"/>
      <c r="P1" s="11"/>
      <c r="Q1" s="11"/>
    </row>
    <row r="2" spans="1:17" ht="14.45" x14ac:dyDescent="0.3">
      <c r="N2" t="s">
        <v>86</v>
      </c>
      <c r="O2" s="8">
        <v>8.6999999999999994E-2</v>
      </c>
      <c r="P2" s="9">
        <v>0.65</v>
      </c>
      <c r="Q2" s="8"/>
    </row>
    <row r="3" spans="1:17" ht="14.45" x14ac:dyDescent="0.3">
      <c r="B3" s="31" t="s">
        <v>305</v>
      </c>
      <c r="N3" t="s">
        <v>87</v>
      </c>
      <c r="O3" s="8">
        <v>0.13200000000000001</v>
      </c>
      <c r="P3" s="9">
        <v>0.17</v>
      </c>
      <c r="Q3" s="8"/>
    </row>
    <row r="4" spans="1:17" ht="21" x14ac:dyDescent="0.35">
      <c r="B4" s="1" t="s">
        <v>200</v>
      </c>
      <c r="I4" s="14" t="s">
        <v>102</v>
      </c>
      <c r="J4" s="87" t="s">
        <v>312</v>
      </c>
      <c r="K4" s="87"/>
      <c r="N4" t="s">
        <v>88</v>
      </c>
      <c r="O4" s="8">
        <v>0.18</v>
      </c>
      <c r="P4" s="9">
        <v>0.18</v>
      </c>
      <c r="Q4" s="8"/>
    </row>
    <row r="5" spans="1:17" ht="14.45" x14ac:dyDescent="0.3">
      <c r="B5" t="str">
        <f>CONCATENATE("Residential @ ",F5,"kWh/month")</f>
        <v>Residential @ 750kWh/month</v>
      </c>
      <c r="F5" s="3">
        <v>750</v>
      </c>
      <c r="G5" t="s">
        <v>81</v>
      </c>
      <c r="N5" t="s">
        <v>89</v>
      </c>
      <c r="O5" s="8">
        <f>P2*O2+P3*O3+P4*O4</f>
        <v>0.11139</v>
      </c>
      <c r="P5" s="8"/>
      <c r="Q5" s="8"/>
    </row>
    <row r="6" spans="1:17" ht="18.600000000000001" thickBot="1" x14ac:dyDescent="0.4">
      <c r="B6" s="2" t="s">
        <v>1</v>
      </c>
      <c r="F6" s="128"/>
      <c r="G6" s="128"/>
      <c r="H6" s="128"/>
      <c r="O6" t="s">
        <v>302</v>
      </c>
    </row>
    <row r="7" spans="1:17" ht="18" x14ac:dyDescent="0.35">
      <c r="B7" s="2"/>
      <c r="D7" s="3" t="s">
        <v>277</v>
      </c>
      <c r="E7" s="3" t="s">
        <v>283</v>
      </c>
      <c r="F7" s="7" t="s">
        <v>78</v>
      </c>
      <c r="G7" s="7" t="s">
        <v>79</v>
      </c>
      <c r="H7" s="7" t="s">
        <v>80</v>
      </c>
      <c r="J7" s="3" t="s">
        <v>82</v>
      </c>
      <c r="K7" s="3" t="s">
        <v>90</v>
      </c>
      <c r="L7" s="3" t="s">
        <v>91</v>
      </c>
      <c r="M7" s="5" t="s">
        <v>83</v>
      </c>
      <c r="N7">
        <v>500</v>
      </c>
      <c r="O7" s="125">
        <v>1000</v>
      </c>
    </row>
    <row r="8" spans="1:17" ht="18" x14ac:dyDescent="0.25">
      <c r="A8" s="13">
        <v>1</v>
      </c>
      <c r="B8" s="13" t="s">
        <v>2</v>
      </c>
      <c r="C8" s="13" t="s">
        <v>98</v>
      </c>
      <c r="D8" s="82" t="s">
        <v>261</v>
      </c>
      <c r="E8" s="83" t="s">
        <v>278</v>
      </c>
      <c r="F8" s="30">
        <f>27.76+0.79</f>
        <v>28.55</v>
      </c>
      <c r="G8" s="30">
        <f>$F$5*(0.0288-0.0019)</f>
        <v>20.175000000000001</v>
      </c>
      <c r="H8" s="30">
        <f t="shared" ref="H8:H58" si="0">F8+G8</f>
        <v>48.725000000000001</v>
      </c>
      <c r="I8" s="14" t="s">
        <v>102</v>
      </c>
      <c r="J8" s="30">
        <f>(0.007+0.0051)*$F$5*M8</f>
        <v>9.9071774999999977</v>
      </c>
      <c r="K8" s="30">
        <f>(M8*$F$5-$F$5)*$O$5</f>
        <v>7.6608472499999847</v>
      </c>
      <c r="L8" s="30">
        <f t="shared" ref="L8:L9" si="1">H8+J8+K8</f>
        <v>66.293024749999987</v>
      </c>
      <c r="M8" s="88">
        <v>1.0916999999999999</v>
      </c>
    </row>
    <row r="9" spans="1:17" ht="18" x14ac:dyDescent="0.25">
      <c r="A9" s="13">
        <v>2</v>
      </c>
      <c r="B9" s="13" t="s">
        <v>3</v>
      </c>
      <c r="C9" s="13" t="s">
        <v>210</v>
      </c>
      <c r="D9" s="84" t="s">
        <v>264</v>
      </c>
      <c r="E9" s="83" t="s">
        <v>278</v>
      </c>
      <c r="F9" s="30">
        <f>36.95+1.06+0.79</f>
        <v>38.800000000000004</v>
      </c>
      <c r="G9" s="30">
        <f>$F$5*(0.0104+0.0008)</f>
        <v>8.4</v>
      </c>
      <c r="H9" s="30">
        <f t="shared" si="0"/>
        <v>47.2</v>
      </c>
      <c r="I9" s="14" t="s">
        <v>102</v>
      </c>
      <c r="J9" s="30">
        <f>(0.0046+0.0035)*$F$5*M9</f>
        <v>6.5476349999999996</v>
      </c>
      <c r="K9" s="30">
        <f>(M9*$F$5-$F$5)*$O$5</f>
        <v>6.4996065000000023</v>
      </c>
      <c r="L9" s="30">
        <f t="shared" si="1"/>
        <v>60.247241500000001</v>
      </c>
      <c r="M9" s="88">
        <v>1.0778000000000001</v>
      </c>
    </row>
    <row r="10" spans="1:17" ht="17.45" x14ac:dyDescent="0.3">
      <c r="A10" s="19">
        <v>3</v>
      </c>
      <c r="B10" s="19" t="s">
        <v>4</v>
      </c>
      <c r="C10" s="19"/>
      <c r="D10" s="86"/>
      <c r="E10" s="86"/>
      <c r="F10" s="22"/>
      <c r="G10" s="22"/>
      <c r="H10" s="22"/>
      <c r="I10" s="23"/>
      <c r="J10" s="12"/>
      <c r="K10" s="12"/>
      <c r="L10" s="12"/>
      <c r="M10" s="12"/>
    </row>
    <row r="11" spans="1:17" ht="18" x14ac:dyDescent="0.25">
      <c r="A11" s="13">
        <v>4</v>
      </c>
      <c r="B11" s="13" t="s">
        <v>5</v>
      </c>
      <c r="C11" s="13" t="s">
        <v>98</v>
      </c>
      <c r="D11" s="84" t="s">
        <v>264</v>
      </c>
      <c r="E11" s="83" t="s">
        <v>278</v>
      </c>
      <c r="F11" s="30">
        <f>19.87+0.79</f>
        <v>20.66</v>
      </c>
      <c r="G11" s="30">
        <f>$F$5*(0.0166+0.0002+0.0002-0.0002)</f>
        <v>12.6</v>
      </c>
      <c r="H11" s="30">
        <f t="shared" si="0"/>
        <v>33.26</v>
      </c>
      <c r="I11" s="14" t="s">
        <v>102</v>
      </c>
      <c r="J11" s="30">
        <f>(0.0066+0.0058)*$F$5*M11</f>
        <v>9.6915299999999984</v>
      </c>
      <c r="K11" s="30">
        <f t="shared" ref="K11:K19" si="2">(M11*$F$5-$F$5)*$O$5</f>
        <v>3.5171392500000049</v>
      </c>
      <c r="L11" s="30">
        <f t="shared" ref="L11:L19" si="3">H11+J11+K11</f>
        <v>46.468669250000005</v>
      </c>
      <c r="M11" s="88">
        <v>1.0421</v>
      </c>
    </row>
    <row r="12" spans="1:17" ht="18" x14ac:dyDescent="0.25">
      <c r="A12" s="13">
        <v>5</v>
      </c>
      <c r="B12" s="13" t="s">
        <v>307</v>
      </c>
      <c r="C12" s="13" t="s">
        <v>210</v>
      </c>
      <c r="D12" s="84" t="s">
        <v>264</v>
      </c>
      <c r="E12" s="83" t="s">
        <v>278</v>
      </c>
      <c r="F12" s="30">
        <f>15.59-0.04+1.75+0.79</f>
        <v>18.09</v>
      </c>
      <c r="G12" s="30">
        <f>$F$5*(0.0158+0.0021+0.0024)</f>
        <v>15.225000000000001</v>
      </c>
      <c r="H12" s="30">
        <f t="shared" si="0"/>
        <v>33.314999999999998</v>
      </c>
      <c r="I12" s="14" t="s">
        <v>102</v>
      </c>
      <c r="J12" s="30">
        <f>(0.0061+0.0031)*$F$5*M12</f>
        <v>7.2415500000000002</v>
      </c>
      <c r="K12" s="30">
        <f t="shared" si="2"/>
        <v>4.1353537500000126</v>
      </c>
      <c r="L12" s="30">
        <f t="shared" si="3"/>
        <v>44.691903750000016</v>
      </c>
      <c r="M12" s="88">
        <v>1.0495000000000001</v>
      </c>
    </row>
    <row r="13" spans="1:17" ht="18" x14ac:dyDescent="0.25">
      <c r="A13" s="13">
        <v>6</v>
      </c>
      <c r="B13" s="13" t="s">
        <v>7</v>
      </c>
      <c r="C13" s="13" t="s">
        <v>100</v>
      </c>
      <c r="D13" s="84" t="s">
        <v>261</v>
      </c>
      <c r="E13" s="83" t="s">
        <v>278</v>
      </c>
      <c r="F13" s="30">
        <f>14.64+0.04-0.48+1.47+0.79</f>
        <v>16.46</v>
      </c>
      <c r="G13" s="30">
        <f>$F$5*(0.011+0.0005-0.0017)</f>
        <v>7.35</v>
      </c>
      <c r="H13" s="30">
        <f t="shared" si="0"/>
        <v>23.810000000000002</v>
      </c>
      <c r="I13" s="14" t="s">
        <v>102</v>
      </c>
      <c r="J13" s="30">
        <f>(0.0082+0.0056)*$F$5*M13</f>
        <v>10.711214999999999</v>
      </c>
      <c r="K13" s="30">
        <f t="shared" si="2"/>
        <v>2.9156332499999951</v>
      </c>
      <c r="L13" s="30">
        <f t="shared" si="3"/>
        <v>37.43684824999999</v>
      </c>
      <c r="M13" s="88">
        <v>1.0348999999999999</v>
      </c>
    </row>
    <row r="14" spans="1:17" ht="18" x14ac:dyDescent="0.25">
      <c r="A14" s="13">
        <v>7</v>
      </c>
      <c r="B14" s="13" t="s">
        <v>103</v>
      </c>
      <c r="C14" s="13" t="s">
        <v>100</v>
      </c>
      <c r="D14" s="84" t="s">
        <v>264</v>
      </c>
      <c r="E14" s="83" t="s">
        <v>278</v>
      </c>
      <c r="F14" s="30">
        <f>15.46+0.79+0.02</f>
        <v>16.27</v>
      </c>
      <c r="G14" s="30">
        <f>$F$5*(0.0125+0.001)</f>
        <v>10.125000000000002</v>
      </c>
      <c r="H14" s="30">
        <f t="shared" si="0"/>
        <v>26.395000000000003</v>
      </c>
      <c r="I14" s="14" t="s">
        <v>102</v>
      </c>
      <c r="J14" s="30">
        <f>(0.007+0.0061)*$F$5*M14</f>
        <v>10.194420000000003</v>
      </c>
      <c r="K14" s="30">
        <f t="shared" si="2"/>
        <v>3.141198000000005</v>
      </c>
      <c r="L14" s="30">
        <f t="shared" si="3"/>
        <v>39.730618000000007</v>
      </c>
      <c r="M14" s="88">
        <v>1.0376000000000001</v>
      </c>
    </row>
    <row r="15" spans="1:17" ht="18" x14ac:dyDescent="0.25">
      <c r="A15" s="13">
        <v>8</v>
      </c>
      <c r="B15" s="13" t="s">
        <v>308</v>
      </c>
      <c r="C15" s="13" t="s">
        <v>100</v>
      </c>
      <c r="D15" s="84" t="s">
        <v>264</v>
      </c>
      <c r="E15" s="83" t="s">
        <v>278</v>
      </c>
      <c r="F15" s="30">
        <f>14.52+0.79</f>
        <v>15.309999999999999</v>
      </c>
      <c r="G15" s="30">
        <f>$F$5*(0.0137+0.0001+0.0003-0.0015)</f>
        <v>9.4499999999999993</v>
      </c>
      <c r="H15" s="30">
        <f t="shared" si="0"/>
        <v>24.759999999999998</v>
      </c>
      <c r="I15" s="14" t="s">
        <v>102</v>
      </c>
      <c r="J15" s="30">
        <f>(0.0061+0.0041)*$F$5*M15</f>
        <v>7.9062750000000008</v>
      </c>
      <c r="K15" s="30">
        <f t="shared" si="2"/>
        <v>2.7986737500000127</v>
      </c>
      <c r="L15" s="30">
        <f t="shared" si="3"/>
        <v>35.464948750000012</v>
      </c>
      <c r="M15" s="88">
        <v>1.0335000000000001</v>
      </c>
    </row>
    <row r="16" spans="1:17" ht="18" x14ac:dyDescent="0.25">
      <c r="A16" s="13">
        <v>9</v>
      </c>
      <c r="B16" s="13" t="s">
        <v>8</v>
      </c>
      <c r="C16" s="13" t="s">
        <v>100</v>
      </c>
      <c r="D16" s="84" t="s">
        <v>261</v>
      </c>
      <c r="E16" s="83" t="s">
        <v>278</v>
      </c>
      <c r="F16" s="30">
        <f>23.44+0.79</f>
        <v>24.23</v>
      </c>
      <c r="G16" s="30">
        <f>$F$5*(0.0152+0.0002+0.0003-0.0027)</f>
        <v>9.75</v>
      </c>
      <c r="H16" s="30">
        <f t="shared" si="0"/>
        <v>33.980000000000004</v>
      </c>
      <c r="I16" s="14" t="s">
        <v>102</v>
      </c>
      <c r="J16" s="30">
        <f>(0.0072+0.0058)*$F$5*M16</f>
        <v>10.278449999999999</v>
      </c>
      <c r="K16" s="30">
        <f t="shared" si="2"/>
        <v>4.5280034999999978</v>
      </c>
      <c r="L16" s="30">
        <f t="shared" si="3"/>
        <v>48.7864535</v>
      </c>
      <c r="M16" s="88">
        <v>1.0542</v>
      </c>
    </row>
    <row r="17" spans="1:17" ht="18" x14ac:dyDescent="0.25">
      <c r="A17" s="13">
        <v>9</v>
      </c>
      <c r="B17" s="13" t="s">
        <v>9</v>
      </c>
      <c r="C17" s="13" t="s">
        <v>100</v>
      </c>
      <c r="D17" s="84" t="s">
        <v>261</v>
      </c>
      <c r="E17" s="83" t="s">
        <v>278</v>
      </c>
      <c r="F17" s="30">
        <f>23.44+0.79</f>
        <v>24.23</v>
      </c>
      <c r="G17" s="30">
        <f>$F$5*(0.0152+0.0002+0.0008-0.0004)</f>
        <v>11.849999999999998</v>
      </c>
      <c r="H17" s="30">
        <f t="shared" si="0"/>
        <v>36.08</v>
      </c>
      <c r="I17" s="14" t="s">
        <v>102</v>
      </c>
      <c r="J17" s="30">
        <f>(0.0072+0.0058)*$F$5*M17</f>
        <v>10.278449999999999</v>
      </c>
      <c r="K17" s="30">
        <f t="shared" si="2"/>
        <v>4.5280034999999978</v>
      </c>
      <c r="L17" s="30">
        <f t="shared" si="3"/>
        <v>50.886453499999995</v>
      </c>
      <c r="M17" s="88">
        <v>1.0542</v>
      </c>
    </row>
    <row r="18" spans="1:17" ht="18" x14ac:dyDescent="0.25">
      <c r="A18" s="13">
        <v>9</v>
      </c>
      <c r="B18" s="13" t="s">
        <v>10</v>
      </c>
      <c r="C18" s="13" t="s">
        <v>100</v>
      </c>
      <c r="D18" s="84" t="s">
        <v>261</v>
      </c>
      <c r="E18" s="83" t="s">
        <v>278</v>
      </c>
      <c r="F18" s="30">
        <f>23.44+0.79</f>
        <v>24.23</v>
      </c>
      <c r="G18" s="30">
        <f>$F$5*(0.0152+0.0002-0.0007-0.0013+0.0007)</f>
        <v>10.575000000000001</v>
      </c>
      <c r="H18" s="30">
        <f t="shared" si="0"/>
        <v>34.805</v>
      </c>
      <c r="I18" s="14" t="s">
        <v>102</v>
      </c>
      <c r="J18" s="30">
        <f>(0.0072+0.0058)*$F$5*M18</f>
        <v>10.278449999999999</v>
      </c>
      <c r="K18" s="30">
        <f t="shared" si="2"/>
        <v>4.5280034999999978</v>
      </c>
      <c r="L18" s="30">
        <f t="shared" si="3"/>
        <v>49.611453499999996</v>
      </c>
      <c r="M18" s="88">
        <v>1.0542</v>
      </c>
    </row>
    <row r="19" spans="1:17" ht="18" x14ac:dyDescent="0.25">
      <c r="A19" s="13">
        <v>10</v>
      </c>
      <c r="B19" s="13" t="s">
        <v>11</v>
      </c>
      <c r="C19" s="13" t="s">
        <v>98</v>
      </c>
      <c r="D19" s="82" t="s">
        <v>264</v>
      </c>
      <c r="E19" s="83" t="s">
        <v>278</v>
      </c>
      <c r="F19" s="30">
        <f>18.3+0.79</f>
        <v>19.09</v>
      </c>
      <c r="G19" s="30">
        <f>$F$5*(0.011+0.0018)</f>
        <v>9.6</v>
      </c>
      <c r="H19" s="30">
        <f t="shared" si="0"/>
        <v>28.689999999999998</v>
      </c>
      <c r="I19" s="14" t="s">
        <v>102</v>
      </c>
      <c r="J19" s="30">
        <f>(0.0067+0.0053)*$F$5*M19</f>
        <v>9.4473000000000003</v>
      </c>
      <c r="K19" s="30">
        <f t="shared" si="2"/>
        <v>4.1520622500000099</v>
      </c>
      <c r="L19" s="30">
        <f t="shared" si="3"/>
        <v>42.289362250000003</v>
      </c>
      <c r="M19" s="88">
        <v>1.0497000000000001</v>
      </c>
    </row>
    <row r="20" spans="1:17" ht="18" x14ac:dyDescent="0.25">
      <c r="A20">
        <v>11</v>
      </c>
      <c r="B20" t="s">
        <v>12</v>
      </c>
      <c r="C20" s="11" t="s">
        <v>92</v>
      </c>
      <c r="D20" s="81" t="s">
        <v>264</v>
      </c>
      <c r="E20" s="79" t="s">
        <v>309</v>
      </c>
      <c r="F20" s="22"/>
      <c r="G20" s="22"/>
      <c r="H20" s="22"/>
      <c r="I20" s="23"/>
      <c r="J20" s="22"/>
      <c r="K20" s="22"/>
      <c r="L20" s="22"/>
      <c r="M20" s="24"/>
    </row>
    <row r="21" spans="1:17" ht="18" x14ac:dyDescent="0.25">
      <c r="A21" s="13">
        <v>12</v>
      </c>
      <c r="B21" s="13" t="s">
        <v>13</v>
      </c>
      <c r="C21" s="13" t="s">
        <v>100</v>
      </c>
      <c r="D21" s="82" t="s">
        <v>264</v>
      </c>
      <c r="E21" s="83" t="s">
        <v>278</v>
      </c>
      <c r="F21" s="30">
        <f>13.83+0.79+0.12</f>
        <v>14.74</v>
      </c>
      <c r="G21" s="30">
        <f>$F$5*(0.0152+0.0016)</f>
        <v>12.6</v>
      </c>
      <c r="H21" s="30">
        <f t="shared" si="0"/>
        <v>27.34</v>
      </c>
      <c r="I21" s="14" t="s">
        <v>102</v>
      </c>
      <c r="J21" s="30">
        <f>(0.0066+0.0038)*$F$5*M21</f>
        <v>8.3537999999999997</v>
      </c>
      <c r="K21" s="30">
        <f>(M21*$F$5-$F$5)*$O$5</f>
        <v>5.9315175</v>
      </c>
      <c r="L21" s="30">
        <f t="shared" ref="L21:L22" si="4">H21+J21+K21</f>
        <v>41.625317499999994</v>
      </c>
      <c r="M21" s="88">
        <v>1.071</v>
      </c>
    </row>
    <row r="22" spans="1:17" ht="18" x14ac:dyDescent="0.25">
      <c r="A22" s="13">
        <v>13</v>
      </c>
      <c r="B22" s="13" t="s">
        <v>105</v>
      </c>
      <c r="C22" s="13" t="s">
        <v>100</v>
      </c>
      <c r="D22" s="84" t="s">
        <v>261</v>
      </c>
      <c r="E22" s="83" t="s">
        <v>278</v>
      </c>
      <c r="F22" s="30">
        <f>18.25+0.79</f>
        <v>19.04</v>
      </c>
      <c r="G22" s="30">
        <f>$F$5*(0.0106+0.0018)</f>
        <v>9.2999999999999989</v>
      </c>
      <c r="H22" s="30">
        <f t="shared" si="0"/>
        <v>28.339999999999996</v>
      </c>
      <c r="I22" s="14" t="s">
        <v>102</v>
      </c>
      <c r="J22" s="30">
        <f>(0.0068+0.0053)*$F$5*M22</f>
        <v>9.6766724999999987</v>
      </c>
      <c r="K22" s="30">
        <f>(M22*$F$5-$F$5)*$O$5</f>
        <v>5.5388677500000023</v>
      </c>
      <c r="L22" s="30">
        <f t="shared" si="4"/>
        <v>43.55554025</v>
      </c>
      <c r="M22" s="88">
        <v>1.0663</v>
      </c>
    </row>
    <row r="23" spans="1:17" ht="18" x14ac:dyDescent="0.25">
      <c r="A23" s="11"/>
      <c r="B23" s="11" t="s">
        <v>316</v>
      </c>
      <c r="C23" s="11"/>
      <c r="D23" s="81" t="s">
        <v>295</v>
      </c>
      <c r="E23" s="104"/>
      <c r="F23" s="17">
        <v>9.2799999999999994</v>
      </c>
      <c r="G23" s="17">
        <f>IF($F$5&lt;250,0.1514*$F$5,250*0.1514+($F$5-250)*0.1193)</f>
        <v>97.5</v>
      </c>
      <c r="H23" s="17"/>
      <c r="I23" s="15"/>
      <c r="J23" s="17"/>
      <c r="K23" s="17"/>
      <c r="L23" s="17"/>
      <c r="M23" s="98"/>
      <c r="N23" s="12"/>
      <c r="O23" s="12"/>
      <c r="P23" s="12"/>
      <c r="Q23" s="12"/>
    </row>
    <row r="24" spans="1:17" ht="18" x14ac:dyDescent="0.25">
      <c r="A24" s="11"/>
      <c r="B24" s="11" t="s">
        <v>317</v>
      </c>
      <c r="C24" s="11"/>
      <c r="D24" s="81" t="s">
        <v>295</v>
      </c>
      <c r="E24" s="104"/>
      <c r="F24" s="17">
        <v>12.19</v>
      </c>
      <c r="G24" s="17">
        <f>IF($F$5&lt;250,0.1666*$F$5,250*0.1239+($F$5-250)*0.1193)</f>
        <v>90.625</v>
      </c>
      <c r="H24" s="17"/>
      <c r="I24" s="15"/>
      <c r="J24" s="17"/>
      <c r="K24" s="17"/>
      <c r="L24" s="17"/>
      <c r="M24" s="98"/>
      <c r="N24" s="12"/>
      <c r="O24" s="12"/>
      <c r="P24" s="12"/>
      <c r="Q24" s="12"/>
    </row>
    <row r="25" spans="1:17" ht="18" x14ac:dyDescent="0.25">
      <c r="A25" s="13">
        <v>14</v>
      </c>
      <c r="B25" s="13" t="s">
        <v>14</v>
      </c>
      <c r="C25" s="13" t="s">
        <v>98</v>
      </c>
      <c r="D25" s="84" t="s">
        <v>264</v>
      </c>
      <c r="E25" s="83" t="s">
        <v>278</v>
      </c>
      <c r="F25" s="30">
        <f>13.33+0.79</f>
        <v>14.120000000000001</v>
      </c>
      <c r="G25" s="30">
        <f>$F$5*(0.0062-0.0055+0.0012)</f>
        <v>1.425</v>
      </c>
      <c r="H25" s="30">
        <f t="shared" si="0"/>
        <v>15.545000000000002</v>
      </c>
      <c r="I25" s="14" t="s">
        <v>102</v>
      </c>
      <c r="J25" s="30">
        <f>(0.006+0.0042)*$F$5*M25</f>
        <v>8.2696500000000004</v>
      </c>
      <c r="K25" s="30">
        <v>1</v>
      </c>
      <c r="L25" s="30">
        <f t="shared" ref="L25:L33" si="5">H25+J25+K25</f>
        <v>24.81465</v>
      </c>
      <c r="M25" s="88">
        <v>1.081</v>
      </c>
    </row>
    <row r="26" spans="1:17" ht="18" x14ac:dyDescent="0.25">
      <c r="A26" s="13">
        <v>15</v>
      </c>
      <c r="B26" s="13" t="s">
        <v>15</v>
      </c>
      <c r="C26" s="13" t="s">
        <v>98</v>
      </c>
      <c r="D26" s="84" t="s">
        <v>264</v>
      </c>
      <c r="E26" s="83" t="s">
        <v>278</v>
      </c>
      <c r="F26" s="30">
        <f>15.75+0.79+0.01+0.06+0.6</f>
        <v>17.21</v>
      </c>
      <c r="G26" s="30">
        <f>$F$5*(0.0102+0.0002+0.0003)</f>
        <v>8.0250000000000004</v>
      </c>
      <c r="H26" s="30">
        <f t="shared" si="0"/>
        <v>25.234999999999999</v>
      </c>
      <c r="I26" s="14" t="s">
        <v>102</v>
      </c>
      <c r="J26" s="30">
        <f>(0.0077+0.0064)*$F$5*M26</f>
        <v>10.955700000000002</v>
      </c>
      <c r="K26" s="30">
        <f t="shared" ref="K26:K33" si="6">(M26*$F$5-$F$5)*$O$5</f>
        <v>3.00753</v>
      </c>
      <c r="L26" s="30">
        <f t="shared" si="5"/>
        <v>39.198230000000002</v>
      </c>
      <c r="M26" s="88">
        <v>1.036</v>
      </c>
    </row>
    <row r="27" spans="1:17" ht="18" x14ac:dyDescent="0.25">
      <c r="A27" s="13">
        <v>16</v>
      </c>
      <c r="B27" s="13" t="s">
        <v>16</v>
      </c>
      <c r="C27" s="13" t="s">
        <v>92</v>
      </c>
      <c r="D27" s="84" t="s">
        <v>264</v>
      </c>
      <c r="E27" s="83" t="s">
        <v>278</v>
      </c>
      <c r="F27" s="30">
        <f>18.98+0.22+0.79+0.25-1.4</f>
        <v>18.84</v>
      </c>
      <c r="G27" s="30">
        <f>$F$5*(0.0077+0.0017+0.0002+0.0015)</f>
        <v>8.3250000000000011</v>
      </c>
      <c r="H27" s="30">
        <f t="shared" si="0"/>
        <v>27.164999999999999</v>
      </c>
      <c r="I27" s="14" t="s">
        <v>102</v>
      </c>
      <c r="J27" s="30">
        <f>(0.007+0.0053)*$F$5*M27</f>
        <v>9.6235199999999992</v>
      </c>
      <c r="K27" s="30">
        <f t="shared" si="6"/>
        <v>3.6090359999999975</v>
      </c>
      <c r="L27" s="30">
        <f t="shared" si="5"/>
        <v>40.397555999999994</v>
      </c>
      <c r="M27" s="88">
        <v>1.0431999999999999</v>
      </c>
    </row>
    <row r="28" spans="1:17" ht="18" x14ac:dyDescent="0.25">
      <c r="A28" s="19">
        <v>16</v>
      </c>
      <c r="B28" s="19" t="s">
        <v>17</v>
      </c>
      <c r="C28" s="12"/>
      <c r="D28" s="79"/>
      <c r="E28" s="79"/>
      <c r="F28" s="30">
        <f t="shared" ref="F28:F30" si="7">18.98+0.22+0.79+0.25-1.4</f>
        <v>18.84</v>
      </c>
      <c r="G28" s="30">
        <f>$F$5*(0.0077+0.0017+0.0002+0.0015)</f>
        <v>8.3250000000000011</v>
      </c>
      <c r="H28" s="30">
        <f t="shared" si="0"/>
        <v>27.164999999999999</v>
      </c>
      <c r="I28" s="14" t="s">
        <v>102</v>
      </c>
      <c r="J28" s="30">
        <f>(0.007+0.0053)*$F$5*M28</f>
        <v>9.6235199999999992</v>
      </c>
      <c r="K28" s="30">
        <f t="shared" si="6"/>
        <v>3.6090359999999975</v>
      </c>
      <c r="L28" s="30">
        <f t="shared" si="5"/>
        <v>40.397555999999994</v>
      </c>
      <c r="M28" s="88">
        <v>1.0431999999999999</v>
      </c>
    </row>
    <row r="29" spans="1:17" ht="18" x14ac:dyDescent="0.25">
      <c r="A29" s="19">
        <v>16</v>
      </c>
      <c r="B29" s="19" t="s">
        <v>18</v>
      </c>
      <c r="C29" s="12"/>
      <c r="D29" s="79"/>
      <c r="E29" s="79"/>
      <c r="F29" s="30">
        <f t="shared" si="7"/>
        <v>18.84</v>
      </c>
      <c r="G29" s="30">
        <f>$F$5*(0.0077+0.0017+0.0002+0.0015+0.0004)</f>
        <v>8.625</v>
      </c>
      <c r="H29" s="30">
        <f t="shared" si="0"/>
        <v>27.465</v>
      </c>
      <c r="I29" s="14" t="s">
        <v>102</v>
      </c>
      <c r="J29" s="30">
        <f>(0.007+0.0053)*$F$5*M29</f>
        <v>9.6235199999999992</v>
      </c>
      <c r="K29" s="30">
        <f t="shared" si="6"/>
        <v>3.6090359999999975</v>
      </c>
      <c r="L29" s="30">
        <f t="shared" si="5"/>
        <v>40.697555999999999</v>
      </c>
      <c r="M29" s="88">
        <v>1.0431999999999999</v>
      </c>
    </row>
    <row r="30" spans="1:17" ht="18" x14ac:dyDescent="0.25">
      <c r="A30" s="19">
        <v>16</v>
      </c>
      <c r="B30" s="19" t="s">
        <v>19</v>
      </c>
      <c r="C30" s="12"/>
      <c r="D30" s="79"/>
      <c r="E30" s="79"/>
      <c r="F30" s="30">
        <f t="shared" si="7"/>
        <v>18.84</v>
      </c>
      <c r="G30" s="30">
        <f>$F$5*(0.0077+0.0017+0.0002+0.0015+0.0023+0.0052)</f>
        <v>13.95</v>
      </c>
      <c r="H30" s="30">
        <f t="shared" si="0"/>
        <v>32.79</v>
      </c>
      <c r="I30" s="14" t="s">
        <v>102</v>
      </c>
      <c r="J30" s="30">
        <f>(0.007+0.0053)*$F$5*M30</f>
        <v>9.6235199999999992</v>
      </c>
      <c r="K30" s="30">
        <f t="shared" si="6"/>
        <v>3.6090359999999975</v>
      </c>
      <c r="L30" s="30">
        <f t="shared" si="5"/>
        <v>46.022555999999994</v>
      </c>
      <c r="M30" s="88">
        <v>1.0431999999999999</v>
      </c>
    </row>
    <row r="31" spans="1:17" ht="18" x14ac:dyDescent="0.25">
      <c r="A31" s="13">
        <v>17</v>
      </c>
      <c r="B31" s="13" t="s">
        <v>20</v>
      </c>
      <c r="C31" s="13" t="s">
        <v>310</v>
      </c>
      <c r="D31" s="84" t="s">
        <v>264</v>
      </c>
      <c r="E31" s="83" t="s">
        <v>278</v>
      </c>
      <c r="F31" s="30">
        <f>14.88+0.69-0.16+0.79</f>
        <v>16.2</v>
      </c>
      <c r="G31" s="30">
        <f>$F$5*(0.0157)</f>
        <v>11.774999999999999</v>
      </c>
      <c r="H31" s="30">
        <f t="shared" si="0"/>
        <v>27.974999999999998</v>
      </c>
      <c r="I31" s="14" t="s">
        <v>102</v>
      </c>
      <c r="J31" s="30">
        <f>(0.0078+0.0049)*$F$5*M31</f>
        <v>9.8840925000000013</v>
      </c>
      <c r="K31" s="30">
        <f t="shared" si="6"/>
        <v>3.1495522500000104</v>
      </c>
      <c r="L31" s="30">
        <f t="shared" si="5"/>
        <v>41.008644750000016</v>
      </c>
      <c r="M31" s="88">
        <v>1.0377000000000001</v>
      </c>
    </row>
    <row r="32" spans="1:17" ht="18" x14ac:dyDescent="0.25">
      <c r="A32" s="13">
        <v>18</v>
      </c>
      <c r="B32" s="13" t="s">
        <v>21</v>
      </c>
      <c r="C32" s="13" t="s">
        <v>100</v>
      </c>
      <c r="D32" s="84" t="s">
        <v>264</v>
      </c>
      <c r="E32" s="83" t="s">
        <v>278</v>
      </c>
      <c r="F32" s="30">
        <f>19.38+0.79+0.09</f>
        <v>20.259999999999998</v>
      </c>
      <c r="G32" s="30">
        <f>$F$5*(0.0139+0.0021+0.0009)</f>
        <v>12.675000000000001</v>
      </c>
      <c r="H32" s="30">
        <f t="shared" si="0"/>
        <v>32.935000000000002</v>
      </c>
      <c r="I32" s="10" t="s">
        <v>101</v>
      </c>
      <c r="J32" s="30">
        <f>(0.0062+0.0053)*$F$5*M32</f>
        <v>9.0139874999999989</v>
      </c>
      <c r="K32" s="30">
        <f t="shared" si="6"/>
        <v>3.7677667499999923</v>
      </c>
      <c r="L32" s="30">
        <f t="shared" si="5"/>
        <v>45.716754249999994</v>
      </c>
      <c r="M32" s="88">
        <v>1.0450999999999999</v>
      </c>
    </row>
    <row r="33" spans="1:13" ht="18.75" x14ac:dyDescent="0.3">
      <c r="A33" s="19">
        <v>18</v>
      </c>
      <c r="B33" s="19" t="s">
        <v>311</v>
      </c>
      <c r="D33" s="3"/>
      <c r="E33" s="79"/>
      <c r="F33" s="30">
        <f>19.38+0.79+0.09</f>
        <v>20.259999999999998</v>
      </c>
      <c r="G33" s="30">
        <f>$F$5*(0.0139+0.0021+0.0009+0.0073)</f>
        <v>18.150000000000002</v>
      </c>
      <c r="H33" s="30">
        <f t="shared" si="0"/>
        <v>38.409999999999997</v>
      </c>
      <c r="I33" s="16" t="s">
        <v>120</v>
      </c>
      <c r="J33" s="30">
        <f>(0.0062+0.0053)*$F$5*M33</f>
        <v>9.0139874999999989</v>
      </c>
      <c r="K33" s="30">
        <f t="shared" si="6"/>
        <v>3.7677667499999923</v>
      </c>
      <c r="L33" s="30">
        <f t="shared" si="5"/>
        <v>51.191754249999988</v>
      </c>
      <c r="M33" s="88">
        <v>1.0450999999999999</v>
      </c>
    </row>
    <row r="34" spans="1:13" ht="18" x14ac:dyDescent="0.25">
      <c r="A34">
        <v>19</v>
      </c>
      <c r="B34" t="s">
        <v>24</v>
      </c>
      <c r="C34" s="11" t="s">
        <v>92</v>
      </c>
      <c r="D34" s="81" t="s">
        <v>264</v>
      </c>
      <c r="E34" s="79" t="s">
        <v>309</v>
      </c>
      <c r="F34" s="22"/>
      <c r="G34" s="22"/>
      <c r="H34" s="22"/>
      <c r="I34" s="23"/>
      <c r="J34" s="22"/>
      <c r="K34" s="22"/>
      <c r="L34" s="22"/>
      <c r="M34" s="24"/>
    </row>
    <row r="35" spans="1:13" ht="18" x14ac:dyDescent="0.25">
      <c r="A35" s="13">
        <v>20</v>
      </c>
      <c r="B35" s="13" t="s">
        <v>25</v>
      </c>
      <c r="C35" s="13" t="s">
        <v>100</v>
      </c>
      <c r="D35" s="84" t="s">
        <v>264</v>
      </c>
      <c r="E35" s="83" t="s">
        <v>278</v>
      </c>
      <c r="F35" s="30">
        <f>16.58+0.79-0.11</f>
        <v>17.259999999999998</v>
      </c>
      <c r="G35" s="30">
        <f>$F$5*(0.0116+0.001-0.0023)</f>
        <v>7.7250000000000005</v>
      </c>
      <c r="H35" s="30">
        <f t="shared" si="0"/>
        <v>24.984999999999999</v>
      </c>
      <c r="I35" s="14" t="s">
        <v>102</v>
      </c>
      <c r="J35" s="30">
        <f>(0.0052+0.0034)*$F$5*M35</f>
        <v>6.8382900000000006</v>
      </c>
      <c r="K35" s="30">
        <f>(M35*$F$5-$F$5)*$O$5</f>
        <v>5.0292584999999974</v>
      </c>
      <c r="L35" s="30">
        <f t="shared" ref="L35:L52" si="8">H35+J35+K35</f>
        <v>36.852548499999997</v>
      </c>
      <c r="M35" s="88">
        <v>1.0602</v>
      </c>
    </row>
    <row r="36" spans="1:13" ht="18" x14ac:dyDescent="0.25">
      <c r="A36" s="13">
        <v>21</v>
      </c>
      <c r="B36" s="13" t="s">
        <v>26</v>
      </c>
      <c r="C36" s="13" t="s">
        <v>98</v>
      </c>
      <c r="D36" s="84" t="s">
        <v>261</v>
      </c>
      <c r="E36" s="83" t="s">
        <v>278</v>
      </c>
      <c r="F36" s="30">
        <f>19.21+0.79</f>
        <v>20</v>
      </c>
      <c r="G36" s="30">
        <f>$F$5*(0.0125-0.0001+0.0003+0.0004+0.0008+0.0002)</f>
        <v>10.575000000000001</v>
      </c>
      <c r="H36" s="30">
        <f t="shared" si="0"/>
        <v>30.575000000000003</v>
      </c>
      <c r="I36" s="14" t="s">
        <v>102</v>
      </c>
      <c r="J36" s="30">
        <f>(0.0071+0.0046)*$F$5*M36</f>
        <v>9.0303524999999993</v>
      </c>
      <c r="K36" s="30">
        <f>(M36*$F$5-$F$5)*$O$5</f>
        <v>2.4310867499999924</v>
      </c>
      <c r="L36" s="30">
        <f t="shared" si="8"/>
        <v>42.036439249999994</v>
      </c>
      <c r="M36" s="88">
        <v>1.0290999999999999</v>
      </c>
    </row>
    <row r="37" spans="1:13" x14ac:dyDescent="0.25">
      <c r="A37" s="19">
        <v>22</v>
      </c>
      <c r="B37" s="19" t="s">
        <v>28</v>
      </c>
      <c r="C37" s="19"/>
      <c r="D37" s="86"/>
      <c r="E37" s="86"/>
      <c r="F37" s="22"/>
      <c r="G37" s="22"/>
      <c r="H37" s="22"/>
      <c r="I37" s="12"/>
      <c r="J37" s="12"/>
      <c r="K37" s="12"/>
      <c r="L37" s="12"/>
      <c r="M37" s="12"/>
    </row>
    <row r="38" spans="1:13" ht="18" x14ac:dyDescent="0.25">
      <c r="A38" s="13">
        <v>23</v>
      </c>
      <c r="B38" s="13" t="s">
        <v>106</v>
      </c>
      <c r="C38" s="13" t="s">
        <v>100</v>
      </c>
      <c r="D38" s="84" t="s">
        <v>264</v>
      </c>
      <c r="E38" s="83" t="s">
        <v>278</v>
      </c>
      <c r="F38" s="30">
        <f>22.58+0.79</f>
        <v>23.369999999999997</v>
      </c>
      <c r="G38" s="30">
        <f>$F$5*(0.0106+0.0006+0.0001-0.0004)</f>
        <v>8.1750000000000007</v>
      </c>
      <c r="H38" s="30">
        <f t="shared" si="0"/>
        <v>31.544999999999998</v>
      </c>
      <c r="I38" s="14" t="s">
        <v>102</v>
      </c>
      <c r="J38" s="30">
        <f>(0.0067+0.0018)*$F$5*M38</f>
        <v>6.6746250000000007</v>
      </c>
      <c r="K38" s="30">
        <f t="shared" ref="K38:K52" si="9">(M38*$F$5-$F$5)*$O$5</f>
        <v>3.9264975</v>
      </c>
      <c r="L38" s="30">
        <f t="shared" si="8"/>
        <v>42.146122500000004</v>
      </c>
      <c r="M38" s="88">
        <v>1.0469999999999999</v>
      </c>
    </row>
    <row r="39" spans="1:13" ht="18" x14ac:dyDescent="0.25">
      <c r="A39" s="13">
        <v>24</v>
      </c>
      <c r="B39" s="13" t="s">
        <v>29</v>
      </c>
      <c r="C39" s="13" t="s">
        <v>100</v>
      </c>
      <c r="D39" s="84" t="s">
        <v>264</v>
      </c>
      <c r="E39" s="83" t="s">
        <v>278</v>
      </c>
      <c r="F39" s="30">
        <f>18.63+0.41+0.79+0.04</f>
        <v>19.869999999999997</v>
      </c>
      <c r="G39" s="30">
        <f>$F$5*(0.0093+0.0002-0.0003-0.0014)</f>
        <v>5.85</v>
      </c>
      <c r="H39" s="30">
        <f t="shared" si="0"/>
        <v>25.72</v>
      </c>
      <c r="I39" s="14" t="s">
        <v>102</v>
      </c>
      <c r="J39" s="30">
        <f>(0.0059+0.0043)*$F$5*M39</f>
        <v>8.0631000000000004</v>
      </c>
      <c r="K39" s="30">
        <f t="shared" si="9"/>
        <v>4.5112950000000005</v>
      </c>
      <c r="L39" s="30">
        <f t="shared" si="8"/>
        <v>38.294394999999994</v>
      </c>
      <c r="M39" s="88">
        <v>1.054</v>
      </c>
    </row>
    <row r="40" spans="1:13" ht="18" x14ac:dyDescent="0.25">
      <c r="A40" s="13">
        <v>25</v>
      </c>
      <c r="B40" s="13" t="s">
        <v>30</v>
      </c>
      <c r="C40" s="13" t="s">
        <v>92</v>
      </c>
      <c r="D40" s="84" t="s">
        <v>318</v>
      </c>
      <c r="E40" s="83" t="s">
        <v>278</v>
      </c>
      <c r="F40" s="30">
        <f>19.55+0.79+0.32</f>
        <v>20.66</v>
      </c>
      <c r="G40" s="30">
        <f>$F$5*(0.0099+0.001+0.0001)</f>
        <v>8.25</v>
      </c>
      <c r="H40" s="30">
        <f t="shared" si="0"/>
        <v>28.91</v>
      </c>
      <c r="I40" s="14" t="s">
        <v>102</v>
      </c>
      <c r="J40" s="30">
        <f>(0.0057+0.0033)*$F$5*M40</f>
        <v>7.0584750000000014</v>
      </c>
      <c r="K40" s="30">
        <f t="shared" si="9"/>
        <v>3.8178922500000101</v>
      </c>
      <c r="L40" s="30">
        <f t="shared" si="8"/>
        <v>39.786367250000005</v>
      </c>
      <c r="M40" s="88">
        <v>1.0457000000000001</v>
      </c>
    </row>
    <row r="41" spans="1:13" ht="18" x14ac:dyDescent="0.25">
      <c r="A41" s="13">
        <v>26</v>
      </c>
      <c r="B41" s="13" t="s">
        <v>31</v>
      </c>
      <c r="C41" s="13" t="s">
        <v>92</v>
      </c>
      <c r="D41" s="84" t="s">
        <v>261</v>
      </c>
      <c r="E41" s="83" t="s">
        <v>278</v>
      </c>
      <c r="F41" s="30">
        <f>18.93+0.73-0.18+0.79-0.29</f>
        <v>19.98</v>
      </c>
      <c r="G41" s="30">
        <f>$F$5*(0.0144+0.0007+0.0003)</f>
        <v>11.549999999999999</v>
      </c>
      <c r="H41" s="30">
        <f t="shared" si="0"/>
        <v>31.53</v>
      </c>
      <c r="I41" s="14" t="s">
        <v>102</v>
      </c>
      <c r="J41" s="30">
        <f>(0.0074+0.0058)*$F$5*M41</f>
        <v>10.157400000000001</v>
      </c>
      <c r="K41" s="30">
        <f t="shared" si="9"/>
        <v>2.1721050000000002</v>
      </c>
      <c r="L41" s="30">
        <f t="shared" si="8"/>
        <v>43.859505000000006</v>
      </c>
      <c r="M41" s="88">
        <v>1.026</v>
      </c>
    </row>
    <row r="42" spans="1:13" ht="18" x14ac:dyDescent="0.25">
      <c r="A42" s="13">
        <v>27</v>
      </c>
      <c r="B42" s="13" t="s">
        <v>107</v>
      </c>
      <c r="C42" s="13" t="s">
        <v>280</v>
      </c>
      <c r="D42" s="103" t="s">
        <v>261</v>
      </c>
      <c r="E42" s="83" t="s">
        <v>278</v>
      </c>
      <c r="F42" s="30">
        <f>20.74-0.21+0.79</f>
        <v>21.319999999999997</v>
      </c>
      <c r="G42" s="30">
        <f>$F$5*(0.0198+0.0004-0.0002-0.0015+0.0002)</f>
        <v>14.025</v>
      </c>
      <c r="H42" s="30">
        <f t="shared" si="0"/>
        <v>35.344999999999999</v>
      </c>
      <c r="I42" s="14" t="s">
        <v>102</v>
      </c>
      <c r="J42" s="30">
        <f>(0.0068+0.0052)*$F$5*M42</f>
        <v>9.5894999999999992</v>
      </c>
      <c r="K42" s="30">
        <f t="shared" si="9"/>
        <v>5.4720337499999872</v>
      </c>
      <c r="L42" s="30">
        <f t="shared" si="8"/>
        <v>50.406533749999987</v>
      </c>
      <c r="M42" s="88">
        <v>1.0654999999999999</v>
      </c>
    </row>
    <row r="43" spans="1:13" ht="18" x14ac:dyDescent="0.25">
      <c r="A43" s="13">
        <v>28</v>
      </c>
      <c r="B43" s="13" t="s">
        <v>32</v>
      </c>
      <c r="C43" s="13" t="s">
        <v>92</v>
      </c>
      <c r="D43" s="84" t="s">
        <v>264</v>
      </c>
      <c r="E43" s="83" t="s">
        <v>278</v>
      </c>
      <c r="F43" s="109">
        <f>17.04+0.79+2.23+0.37</f>
        <v>20.43</v>
      </c>
      <c r="G43" s="30">
        <f>$F$5*(0.01+0.0026-0.0006)</f>
        <v>9</v>
      </c>
      <c r="H43" s="30">
        <f t="shared" si="0"/>
        <v>29.43</v>
      </c>
      <c r="I43" s="14" t="s">
        <v>102</v>
      </c>
      <c r="J43" s="30">
        <f>(0.0067+0.0052)*$F$5*M43</f>
        <v>9.4248000000000012</v>
      </c>
      <c r="K43" s="30">
        <f t="shared" si="9"/>
        <v>4.6783799999999998</v>
      </c>
      <c r="L43" s="30">
        <f t="shared" si="8"/>
        <v>43.533179999999994</v>
      </c>
      <c r="M43" s="88">
        <v>1.056</v>
      </c>
    </row>
    <row r="44" spans="1:13" ht="18" x14ac:dyDescent="0.25">
      <c r="A44" s="13">
        <v>29</v>
      </c>
      <c r="B44" s="13" t="s">
        <v>33</v>
      </c>
      <c r="C44" s="27" t="s">
        <v>92</v>
      </c>
      <c r="D44" s="84" t="s">
        <v>264</v>
      </c>
      <c r="E44" s="83" t="s">
        <v>278</v>
      </c>
      <c r="F44" s="30">
        <f>11.93-0.15+3.48+0.24+0.79</f>
        <v>16.29</v>
      </c>
      <c r="G44" s="30">
        <f>$F$5*(0.0126+0.0013-0.0005+0.0002+0.0007)</f>
        <v>10.725</v>
      </c>
      <c r="H44" s="30">
        <f t="shared" si="0"/>
        <v>27.015000000000001</v>
      </c>
      <c r="I44" s="10" t="s">
        <v>101</v>
      </c>
      <c r="J44" s="30">
        <f>(0.0063+0.0051)*$F$5*M44</f>
        <v>8.9039700000000011</v>
      </c>
      <c r="K44" s="30">
        <f t="shared" si="9"/>
        <v>3.4586595000000075</v>
      </c>
      <c r="L44" s="30">
        <f t="shared" si="8"/>
        <v>39.377629500000012</v>
      </c>
      <c r="M44" s="13">
        <v>1.0414000000000001</v>
      </c>
    </row>
    <row r="45" spans="1:13" ht="18" x14ac:dyDescent="0.25">
      <c r="A45" s="13">
        <v>30</v>
      </c>
      <c r="B45" s="13" t="s">
        <v>34</v>
      </c>
      <c r="C45" s="13" t="s">
        <v>201</v>
      </c>
      <c r="D45" s="84" t="s">
        <v>261</v>
      </c>
      <c r="E45" s="83" t="s">
        <v>278</v>
      </c>
      <c r="F45" s="30">
        <f>18.8+0.79+0.79</f>
        <v>20.38</v>
      </c>
      <c r="G45" s="30">
        <f>$F$5*(0.0121+0.00006+0.0003)</f>
        <v>9.3449999999999989</v>
      </c>
      <c r="H45" s="30">
        <f t="shared" si="0"/>
        <v>29.724999999999998</v>
      </c>
      <c r="I45" s="14" t="s">
        <v>102</v>
      </c>
      <c r="J45" s="30">
        <f>(0.0078+0.0059)*$F$5*M45</f>
        <v>10.664422500000001</v>
      </c>
      <c r="K45" s="30">
        <f t="shared" si="9"/>
        <v>3.1662607500000077</v>
      </c>
      <c r="L45" s="30">
        <f t="shared" si="8"/>
        <v>43.555683250000001</v>
      </c>
      <c r="M45" s="88">
        <v>1.0379</v>
      </c>
    </row>
    <row r="46" spans="1:13" ht="18" x14ac:dyDescent="0.25">
      <c r="A46" s="13">
        <v>31</v>
      </c>
      <c r="B46" s="13" t="s">
        <v>35</v>
      </c>
      <c r="C46" s="13" t="s">
        <v>100</v>
      </c>
      <c r="D46" s="84" t="s">
        <v>264</v>
      </c>
      <c r="E46" s="83" t="s">
        <v>278</v>
      </c>
      <c r="F46" s="109">
        <f>18.31+0.79</f>
        <v>19.099999999999998</v>
      </c>
      <c r="G46" s="30">
        <f>$F$5*(0.012+0.0054+0.0027)</f>
        <v>15.074999999999999</v>
      </c>
      <c r="H46" s="30">
        <f t="shared" si="0"/>
        <v>34.174999999999997</v>
      </c>
      <c r="I46" s="110" t="s">
        <v>102</v>
      </c>
      <c r="J46" s="30">
        <f>(0.0068+0.0051)*$F$5*M46</f>
        <v>9.6140100000000004</v>
      </c>
      <c r="K46" s="30">
        <f t="shared" si="9"/>
        <v>6.4494809999999978</v>
      </c>
      <c r="L46" s="30">
        <f t="shared" si="8"/>
        <v>50.238490999999996</v>
      </c>
      <c r="M46" s="88">
        <v>1.0771999999999999</v>
      </c>
    </row>
    <row r="47" spans="1:13" ht="18" x14ac:dyDescent="0.25">
      <c r="A47" s="13">
        <v>32</v>
      </c>
      <c r="B47" s="13" t="s">
        <v>108</v>
      </c>
      <c r="C47" s="13" t="s">
        <v>100</v>
      </c>
      <c r="D47" s="84" t="s">
        <v>261</v>
      </c>
      <c r="E47" s="83" t="s">
        <v>278</v>
      </c>
      <c r="F47" s="30">
        <f>9.6+0.79</f>
        <v>10.39</v>
      </c>
      <c r="G47" s="30">
        <f>$F$5*(0.0076+0.0007)</f>
        <v>6.2249999999999996</v>
      </c>
      <c r="H47" s="30">
        <f t="shared" si="0"/>
        <v>16.615000000000002</v>
      </c>
      <c r="I47" s="14" t="s">
        <v>102</v>
      </c>
      <c r="J47" s="30">
        <f>(0.0071+0.0034)*$F$5*M47</f>
        <v>8.3010375000000014</v>
      </c>
      <c r="K47" s="30">
        <f t="shared" si="9"/>
        <v>4.5196492500000049</v>
      </c>
      <c r="L47" s="30">
        <f t="shared" si="8"/>
        <v>29.435686750000006</v>
      </c>
      <c r="M47" s="88">
        <v>1.0541</v>
      </c>
    </row>
    <row r="48" spans="1:13" ht="18" x14ac:dyDescent="0.25">
      <c r="A48" s="13">
        <v>33</v>
      </c>
      <c r="B48" s="13" t="s">
        <v>36</v>
      </c>
      <c r="C48" s="13" t="s">
        <v>100</v>
      </c>
      <c r="D48" s="84" t="s">
        <v>261</v>
      </c>
      <c r="E48" s="83" t="s">
        <v>278</v>
      </c>
      <c r="F48" s="30">
        <f>14.32+0.79</f>
        <v>15.11</v>
      </c>
      <c r="G48" s="30">
        <f>$F$5*(0.0118+0.0005)</f>
        <v>9.2249999999999996</v>
      </c>
      <c r="H48" s="30">
        <f t="shared" si="0"/>
        <v>24.335000000000001</v>
      </c>
      <c r="I48" s="14" t="s">
        <v>102</v>
      </c>
      <c r="J48" s="30">
        <f>(0.0078+0.0057)*$F$5*M48</f>
        <v>10.4702625</v>
      </c>
      <c r="K48" s="30">
        <f t="shared" si="9"/>
        <v>2.8487992500000052</v>
      </c>
      <c r="L48" s="30">
        <f t="shared" si="8"/>
        <v>37.654061750000004</v>
      </c>
      <c r="M48" s="88">
        <v>1.0341</v>
      </c>
    </row>
    <row r="49" spans="1:13" ht="18" x14ac:dyDescent="0.25">
      <c r="A49" s="13">
        <v>34</v>
      </c>
      <c r="B49" s="13" t="s">
        <v>37</v>
      </c>
      <c r="C49" s="13" t="s">
        <v>201</v>
      </c>
      <c r="D49" s="83"/>
      <c r="E49" s="83" t="s">
        <v>278</v>
      </c>
      <c r="F49" s="30">
        <f>30.11+0.78-0.01+0.79</f>
        <v>31.669999999999998</v>
      </c>
      <c r="G49" s="30">
        <f>$F$5*(0.0299-0.0001)</f>
        <v>22.35</v>
      </c>
      <c r="H49" s="30">
        <f t="shared" si="0"/>
        <v>54.019999999999996</v>
      </c>
      <c r="I49" s="14" t="s">
        <v>102</v>
      </c>
      <c r="J49" s="30">
        <f>(0.0068+0.0048)*$F$5*M49</f>
        <v>9.3612000000000002</v>
      </c>
      <c r="K49" s="30">
        <f t="shared" si="9"/>
        <v>6.3492300000000004</v>
      </c>
      <c r="L49" s="30">
        <f t="shared" si="8"/>
        <v>69.730429999999998</v>
      </c>
      <c r="M49" s="88">
        <v>1.0760000000000001</v>
      </c>
    </row>
    <row r="50" spans="1:13" ht="18" x14ac:dyDescent="0.25">
      <c r="A50" s="13">
        <v>34</v>
      </c>
      <c r="B50" s="13" t="s">
        <v>38</v>
      </c>
      <c r="C50" s="13" t="s">
        <v>201</v>
      </c>
      <c r="D50" s="83"/>
      <c r="E50" s="83" t="s">
        <v>278</v>
      </c>
      <c r="F50" s="30">
        <f>72.86+1.27+0.69+0.79-31.5</f>
        <v>44.11</v>
      </c>
      <c r="G50" s="30">
        <f>$F$5*(0.0426+0.0001)</f>
        <v>32.024999999999999</v>
      </c>
      <c r="H50" s="30">
        <f t="shared" si="0"/>
        <v>76.134999999999991</v>
      </c>
      <c r="I50" s="14" t="s">
        <v>102</v>
      </c>
      <c r="J50" s="30">
        <f>(0.0065+0.0046)*$F$5*M50</f>
        <v>9.1991249999999987</v>
      </c>
      <c r="K50" s="30">
        <f t="shared" si="9"/>
        <v>8.7719625000000008</v>
      </c>
      <c r="L50" s="30">
        <f t="shared" si="8"/>
        <v>94.106087499999987</v>
      </c>
      <c r="M50" s="88">
        <v>1.105</v>
      </c>
    </row>
    <row r="51" spans="1:13" ht="18" x14ac:dyDescent="0.25">
      <c r="A51" s="13">
        <v>34</v>
      </c>
      <c r="B51" s="13" t="s">
        <v>121</v>
      </c>
      <c r="C51" s="13" t="s">
        <v>201</v>
      </c>
      <c r="D51" s="83"/>
      <c r="E51" s="83" t="s">
        <v>278</v>
      </c>
      <c r="F51" s="30">
        <f>32.47+0.8+0.3+0.79</f>
        <v>34.359999999999992</v>
      </c>
      <c r="G51" s="30">
        <f>$F$5*(0.0748+0.0005)</f>
        <v>56.475000000000001</v>
      </c>
      <c r="H51" s="30">
        <f t="shared" si="0"/>
        <v>90.834999999999994</v>
      </c>
      <c r="I51" s="14" t="s">
        <v>102</v>
      </c>
      <c r="J51" s="30">
        <f>(0.0056+0.0042)*$F$5*M51</f>
        <v>8.1143999999999998</v>
      </c>
      <c r="K51" s="30">
        <f t="shared" si="9"/>
        <v>8.6884200000000131</v>
      </c>
      <c r="L51" s="30">
        <f t="shared" si="8"/>
        <v>107.63782</v>
      </c>
      <c r="M51" s="88">
        <v>1.1040000000000001</v>
      </c>
    </row>
    <row r="52" spans="1:13" ht="18" x14ac:dyDescent="0.25">
      <c r="A52" s="13">
        <v>34</v>
      </c>
      <c r="B52" s="13" t="s">
        <v>39</v>
      </c>
      <c r="C52" s="13" t="s">
        <v>201</v>
      </c>
      <c r="D52" s="83"/>
      <c r="E52" s="83" t="s">
        <v>278</v>
      </c>
      <c r="F52" s="30">
        <f>22.29+0.69-0.12+0.79</f>
        <v>23.65</v>
      </c>
      <c r="G52" s="30">
        <f>$F$5*(0.0162-0.0002)</f>
        <v>12</v>
      </c>
      <c r="H52" s="30">
        <f t="shared" si="0"/>
        <v>35.65</v>
      </c>
      <c r="I52" s="14" t="s">
        <v>102</v>
      </c>
      <c r="J52" s="30">
        <f>(0.0069+0.0049)*$F$5*M52</f>
        <v>9.3544499999999999</v>
      </c>
      <c r="K52" s="30">
        <f t="shared" si="9"/>
        <v>4.7619224999999998</v>
      </c>
      <c r="L52" s="30">
        <f t="shared" si="8"/>
        <v>49.766372499999996</v>
      </c>
      <c r="M52" s="88">
        <v>1.0569999999999999</v>
      </c>
    </row>
    <row r="53" spans="1:13" x14ac:dyDescent="0.25">
      <c r="A53" s="11">
        <v>34</v>
      </c>
      <c r="B53" s="11" t="s">
        <v>40</v>
      </c>
      <c r="C53" s="13" t="s">
        <v>98</v>
      </c>
      <c r="D53" s="84" t="s">
        <v>264</v>
      </c>
      <c r="E53" s="83" t="s">
        <v>278</v>
      </c>
      <c r="F53" s="30">
        <f>19.09</f>
        <v>19.09</v>
      </c>
      <c r="G53" s="30">
        <f>IF(F5&lt;=1000,F5*0.0898,IF(F5&lt;=2500,1000*0.0898+(F5-1000)*0.1198,1000*0.0898+1500*0.1198+(F5-2500)*0.1806))</f>
        <v>67.350000000000009</v>
      </c>
      <c r="H53" s="18"/>
      <c r="I53" s="19"/>
      <c r="J53" s="19"/>
      <c r="K53" s="19"/>
      <c r="L53" s="19"/>
      <c r="M53" s="19"/>
    </row>
    <row r="54" spans="1:13" x14ac:dyDescent="0.25">
      <c r="A54" s="11"/>
      <c r="B54" s="11" t="s">
        <v>306</v>
      </c>
      <c r="C54" s="13" t="s">
        <v>98</v>
      </c>
      <c r="D54" s="84" t="s">
        <v>264</v>
      </c>
      <c r="E54" s="83" t="s">
        <v>278</v>
      </c>
      <c r="F54" s="30">
        <v>0</v>
      </c>
      <c r="G54" s="30">
        <f>IF(F5&lt;=250,F5*0.8926,IF(F5&gt;250,250*0.8926+(F5-250)*0.9769))</f>
        <v>711.59999999999991</v>
      </c>
      <c r="H54" s="18"/>
      <c r="I54" s="19"/>
      <c r="J54" s="19"/>
      <c r="K54" s="19"/>
      <c r="L54" s="19"/>
      <c r="M54" s="19"/>
    </row>
    <row r="55" spans="1:13" ht="18" x14ac:dyDescent="0.25">
      <c r="A55" s="13">
        <v>35</v>
      </c>
      <c r="B55" s="13" t="s">
        <v>41</v>
      </c>
      <c r="C55" s="13" t="s">
        <v>118</v>
      </c>
      <c r="D55" s="84" t="s">
        <v>261</v>
      </c>
      <c r="E55" s="83" t="s">
        <v>278</v>
      </c>
      <c r="F55" s="30">
        <f>12.96+0.79</f>
        <v>13.75</v>
      </c>
      <c r="G55" s="30">
        <f>$F$5*(0.0193+0.00007-0.00002-0.000826-0.001509)</f>
        <v>12.761250000000002</v>
      </c>
      <c r="H55" s="30">
        <f t="shared" si="0"/>
        <v>26.511250000000004</v>
      </c>
      <c r="I55" s="10" t="s">
        <v>101</v>
      </c>
      <c r="J55" s="30">
        <f>(0.0076+0.0047)*$F$5*M55</f>
        <v>9.5340375000000002</v>
      </c>
      <c r="K55" s="30">
        <f>(M55*$F$5-$F$5)*$O$5</f>
        <v>2.7986737500000127</v>
      </c>
      <c r="L55" s="30">
        <f t="shared" ref="L55:L56" si="10">H55+J55+K55</f>
        <v>38.843961250000014</v>
      </c>
      <c r="M55" s="88">
        <v>1.0335000000000001</v>
      </c>
    </row>
    <row r="56" spans="1:13" ht="18" x14ac:dyDescent="0.25">
      <c r="A56" s="13">
        <v>36</v>
      </c>
      <c r="B56" s="13" t="s">
        <v>279</v>
      </c>
      <c r="C56" s="13" t="s">
        <v>100</v>
      </c>
      <c r="D56" s="84" t="s">
        <v>261</v>
      </c>
      <c r="E56" s="83" t="s">
        <v>278</v>
      </c>
      <c r="F56" s="30">
        <f>24.85+0.79+2.21</f>
        <v>27.85</v>
      </c>
      <c r="G56" s="30">
        <f>$F$5*(0.0139+0.0022+0.0002+0.002-0.0007)</f>
        <v>13.199999999999998</v>
      </c>
      <c r="H56" s="30">
        <f t="shared" si="0"/>
        <v>41.05</v>
      </c>
      <c r="I56" s="14" t="s">
        <v>102</v>
      </c>
      <c r="J56" s="30">
        <f>(0.0057+0.0041)*$F$5*M56</f>
        <v>7.881405</v>
      </c>
      <c r="K56" s="30">
        <f>(M56*$F$5-$F$5)*$O$5</f>
        <v>6.0401227500000028</v>
      </c>
      <c r="L56" s="30">
        <f t="shared" si="10"/>
        <v>54.97152775</v>
      </c>
      <c r="M56" s="88">
        <v>1.0723</v>
      </c>
    </row>
    <row r="57" spans="1:13" x14ac:dyDescent="0.25">
      <c r="A57" s="19">
        <v>37</v>
      </c>
      <c r="B57" s="19" t="s">
        <v>43</v>
      </c>
      <c r="C57" s="19"/>
      <c r="D57" s="86"/>
      <c r="E57" s="86"/>
      <c r="F57" s="22"/>
      <c r="G57" s="22"/>
      <c r="H57" s="22"/>
      <c r="I57" s="12"/>
      <c r="J57" s="12"/>
      <c r="K57" s="12"/>
      <c r="L57" s="12"/>
      <c r="M57" s="12"/>
    </row>
    <row r="58" spans="1:13" ht="18" x14ac:dyDescent="0.25">
      <c r="A58" s="13">
        <v>38</v>
      </c>
      <c r="B58" s="13" t="s">
        <v>44</v>
      </c>
      <c r="C58" s="13" t="s">
        <v>98</v>
      </c>
      <c r="D58" s="84" t="s">
        <v>264</v>
      </c>
      <c r="E58" s="83" t="s">
        <v>100</v>
      </c>
      <c r="F58" s="30">
        <f>22.24+0.79</f>
        <v>23.029999999999998</v>
      </c>
      <c r="G58" s="30">
        <f>$F$5*(0.0109)</f>
        <v>8.1750000000000007</v>
      </c>
      <c r="H58" s="30">
        <f t="shared" si="0"/>
        <v>31.204999999999998</v>
      </c>
      <c r="I58" s="14" t="s">
        <v>102</v>
      </c>
      <c r="J58" s="30">
        <f>(0.0068+0.0019)*$F$5*M58</f>
        <v>6.8055749999999993</v>
      </c>
      <c r="K58" s="30">
        <f t="shared" ref="K58:K78" si="11">(M58*$F$5-$F$5)*$O$5</f>
        <v>3.5923275000000001</v>
      </c>
      <c r="L58" s="30">
        <f t="shared" ref="L58:L78" si="12">H58+J58+K58</f>
        <v>41.602902499999999</v>
      </c>
      <c r="M58" s="88">
        <v>1.0429999999999999</v>
      </c>
    </row>
    <row r="59" spans="1:13" ht="18" x14ac:dyDescent="0.25">
      <c r="A59" s="13">
        <v>39</v>
      </c>
      <c r="B59" s="13" t="s">
        <v>314</v>
      </c>
      <c r="C59" s="13" t="s">
        <v>313</v>
      </c>
      <c r="D59" s="82" t="s">
        <v>261</v>
      </c>
      <c r="E59" s="83" t="s">
        <v>278</v>
      </c>
      <c r="F59" s="30">
        <f>13.98+0.79+0.25+3.69</f>
        <v>18.71</v>
      </c>
      <c r="G59" s="30">
        <f>$F$5*(0.0139+0.0012-0.0001+0.0007+0.0004-0.0108+0.0003)</f>
        <v>4.1999999999999993</v>
      </c>
      <c r="H59" s="30">
        <f>F59+G59</f>
        <v>22.91</v>
      </c>
      <c r="I59" s="14" t="s">
        <v>102</v>
      </c>
      <c r="J59" s="30">
        <f>(0.0071+0.0056)*$F$5*M59</f>
        <v>9.8993324999999999</v>
      </c>
      <c r="K59" s="30">
        <f t="shared" si="11"/>
        <v>3.2832202499999901</v>
      </c>
      <c r="L59" s="30">
        <f t="shared" si="12"/>
        <v>36.092552749999989</v>
      </c>
      <c r="M59" s="88">
        <v>1.0392999999999999</v>
      </c>
    </row>
    <row r="60" spans="1:13" ht="18" x14ac:dyDescent="0.25">
      <c r="A60" s="13">
        <v>40</v>
      </c>
      <c r="B60" s="13" t="s">
        <v>109</v>
      </c>
      <c r="C60" s="13" t="s">
        <v>100</v>
      </c>
      <c r="D60" s="84" t="s">
        <v>261</v>
      </c>
      <c r="E60" s="83" t="s">
        <v>278</v>
      </c>
      <c r="F60" s="30">
        <f>13.61+0.79</f>
        <v>14.399999999999999</v>
      </c>
      <c r="G60" s="30">
        <f>$F$5*(0.0125+0.0003)</f>
        <v>9.6</v>
      </c>
      <c r="H60" s="30">
        <f t="shared" ref="H60:H78" si="13">F60+G60</f>
        <v>24</v>
      </c>
      <c r="I60" s="14" t="s">
        <v>102</v>
      </c>
      <c r="J60" s="30">
        <f>(0.007+0.0016)*$F$5*M60</f>
        <v>6.6763949999999994</v>
      </c>
      <c r="K60" s="30">
        <f t="shared" si="11"/>
        <v>2.9323417499999924</v>
      </c>
      <c r="L60" s="30">
        <f t="shared" si="12"/>
        <v>33.608736749999991</v>
      </c>
      <c r="M60" s="88">
        <v>1.0350999999999999</v>
      </c>
    </row>
    <row r="61" spans="1:13" ht="18" x14ac:dyDescent="0.25">
      <c r="A61" s="13">
        <v>41</v>
      </c>
      <c r="B61" s="13" t="s">
        <v>46</v>
      </c>
      <c r="C61" s="13" t="s">
        <v>100</v>
      </c>
      <c r="D61" s="84" t="s">
        <v>264</v>
      </c>
      <c r="E61" s="83" t="s">
        <v>278</v>
      </c>
      <c r="F61" s="30">
        <f>13.14+0.79+0.09</f>
        <v>14.02</v>
      </c>
      <c r="G61" s="30">
        <f>$F$5*(0.0113+0.0013+0.0008+0.0022)</f>
        <v>11.700000000000001</v>
      </c>
      <c r="H61" s="30">
        <f t="shared" si="13"/>
        <v>25.72</v>
      </c>
      <c r="I61" s="14" t="s">
        <v>102</v>
      </c>
      <c r="J61" s="30">
        <f>(0.0059+0.0045)*$F$5*M61</f>
        <v>8.2407000000000004</v>
      </c>
      <c r="K61" s="30">
        <f t="shared" si="11"/>
        <v>4.7201512499999998</v>
      </c>
      <c r="L61" s="30">
        <f t="shared" si="12"/>
        <v>38.680851250000003</v>
      </c>
      <c r="M61" s="88">
        <v>1.0565</v>
      </c>
    </row>
    <row r="62" spans="1:13" ht="18" x14ac:dyDescent="0.25">
      <c r="A62" s="13">
        <v>42</v>
      </c>
      <c r="B62" s="13" t="s">
        <v>47</v>
      </c>
      <c r="C62" s="13" t="s">
        <v>98</v>
      </c>
      <c r="D62" s="89" t="s">
        <v>264</v>
      </c>
      <c r="E62" s="83" t="s">
        <v>278</v>
      </c>
      <c r="F62" s="30">
        <f>23.66+0.17+0.79</f>
        <v>24.62</v>
      </c>
      <c r="G62" s="30">
        <f>$F$5*(0.0113+0.0034-0.0036+0.00004)</f>
        <v>8.3549999999999986</v>
      </c>
      <c r="H62" s="30">
        <f t="shared" si="13"/>
        <v>32.975000000000001</v>
      </c>
      <c r="I62" s="14" t="s">
        <v>102</v>
      </c>
      <c r="J62" s="30">
        <f>(0.0057+0.0045)*$F$5*M62</f>
        <v>8.218395000000001</v>
      </c>
      <c r="K62" s="30">
        <f t="shared" si="11"/>
        <v>6.2072077500000029</v>
      </c>
      <c r="L62" s="30">
        <f t="shared" si="12"/>
        <v>47.400602750000004</v>
      </c>
      <c r="M62" s="88">
        <v>1.0743</v>
      </c>
    </row>
    <row r="63" spans="1:13" ht="18" x14ac:dyDescent="0.25">
      <c r="A63" s="13">
        <v>43</v>
      </c>
      <c r="B63" s="13" t="s">
        <v>48</v>
      </c>
      <c r="C63" s="13" t="s">
        <v>100</v>
      </c>
      <c r="D63" s="84" t="s">
        <v>264</v>
      </c>
      <c r="E63" s="83" t="s">
        <v>278</v>
      </c>
      <c r="F63" s="30">
        <f>16.42+0.01+0.79</f>
        <v>17.220000000000002</v>
      </c>
      <c r="G63" s="30">
        <f>$F$5*(0.0121+0.0012-0.0025)</f>
        <v>8.1</v>
      </c>
      <c r="H63" s="30">
        <f t="shared" si="13"/>
        <v>25.32</v>
      </c>
      <c r="I63" s="14" t="s">
        <v>102</v>
      </c>
      <c r="J63" s="30">
        <f>(0.0069+0.0058)*$F$5*M63</f>
        <v>9.8583749999999988</v>
      </c>
      <c r="K63" s="30">
        <f t="shared" si="11"/>
        <v>2.9239874999999875</v>
      </c>
      <c r="L63" s="30">
        <f t="shared" si="12"/>
        <v>38.102362499999991</v>
      </c>
      <c r="M63" s="88">
        <v>1.0349999999999999</v>
      </c>
    </row>
    <row r="64" spans="1:13" ht="18" x14ac:dyDescent="0.25">
      <c r="A64" s="13">
        <v>44</v>
      </c>
      <c r="B64" s="13" t="s">
        <v>49</v>
      </c>
      <c r="C64" s="13" t="s">
        <v>100</v>
      </c>
      <c r="D64" s="84" t="s">
        <v>264</v>
      </c>
      <c r="E64" s="83" t="s">
        <v>278</v>
      </c>
      <c r="F64" s="30">
        <f>19.35+0.79</f>
        <v>20.14</v>
      </c>
      <c r="G64" s="30">
        <f>$F$5*(0.0157+0.002+0.0005-0.00001)</f>
        <v>13.642500000000002</v>
      </c>
      <c r="H64" s="30">
        <f t="shared" si="13"/>
        <v>33.782499999999999</v>
      </c>
      <c r="I64" s="14" t="s">
        <v>102</v>
      </c>
      <c r="J64" s="30">
        <f>(0.0069+0.0053)*$F$5*M64</f>
        <v>9.774029999999998</v>
      </c>
      <c r="K64" s="30">
        <f t="shared" si="11"/>
        <v>5.697598499999998</v>
      </c>
      <c r="L64" s="30">
        <f t="shared" si="12"/>
        <v>49.254128499999993</v>
      </c>
      <c r="M64" s="88">
        <v>1.0682</v>
      </c>
    </row>
    <row r="65" spans="1:13" ht="18" x14ac:dyDescent="0.25">
      <c r="A65" s="13">
        <v>45</v>
      </c>
      <c r="B65" s="27" t="s">
        <v>50</v>
      </c>
      <c r="C65" s="13" t="s">
        <v>92</v>
      </c>
      <c r="D65" s="111" t="s">
        <v>281</v>
      </c>
      <c r="E65" s="83" t="s">
        <v>278</v>
      </c>
      <c r="F65" s="30">
        <f>18.61+0.79+0.98-1.423+1.51</f>
        <v>20.467000000000002</v>
      </c>
      <c r="G65" s="30">
        <f>$F$5*(-0.0018+0.011+0.0006+0.0036-0.0032)</f>
        <v>7.6499999999999995</v>
      </c>
      <c r="H65" s="30">
        <f t="shared" si="13"/>
        <v>28.117000000000001</v>
      </c>
      <c r="I65" s="14" t="s">
        <v>102</v>
      </c>
      <c r="J65" s="30">
        <f>(0.0073+0.006)*$F$5*M65</f>
        <v>10.3490625</v>
      </c>
      <c r="K65" s="30">
        <f t="shared" si="11"/>
        <v>3.1328437500000126</v>
      </c>
      <c r="L65" s="30">
        <f t="shared" si="12"/>
        <v>41.598906250000013</v>
      </c>
      <c r="M65" s="88">
        <v>1.0375000000000001</v>
      </c>
    </row>
    <row r="66" spans="1:13" ht="18" x14ac:dyDescent="0.25">
      <c r="A66" s="13">
        <v>46</v>
      </c>
      <c r="B66" s="13" t="s">
        <v>51</v>
      </c>
      <c r="C66" s="13" t="s">
        <v>210</v>
      </c>
      <c r="D66" s="84" t="s">
        <v>261</v>
      </c>
      <c r="E66" s="83" t="s">
        <v>278</v>
      </c>
      <c r="F66" s="30">
        <f>18.06+0.79-0.11</f>
        <v>18.739999999999998</v>
      </c>
      <c r="G66" s="30">
        <f>$F$5*(0.0111)</f>
        <v>8.3250000000000011</v>
      </c>
      <c r="H66" s="30">
        <f t="shared" si="13"/>
        <v>27.064999999999998</v>
      </c>
      <c r="I66" s="14" t="s">
        <v>102</v>
      </c>
      <c r="J66" s="30">
        <f>(0.0084+0.0068)*$F$5*M66</f>
        <v>11.836619999999998</v>
      </c>
      <c r="K66" s="30">
        <f t="shared" si="11"/>
        <v>3.1996777500000024</v>
      </c>
      <c r="L66" s="30">
        <f t="shared" si="12"/>
        <v>42.101297749999993</v>
      </c>
      <c r="M66" s="88">
        <v>1.0383</v>
      </c>
    </row>
    <row r="67" spans="1:13" ht="18" x14ac:dyDescent="0.25">
      <c r="A67" s="13">
        <v>47</v>
      </c>
      <c r="B67" s="13" t="s">
        <v>110</v>
      </c>
      <c r="C67" s="13" t="s">
        <v>98</v>
      </c>
      <c r="D67" s="84" t="s">
        <v>264</v>
      </c>
      <c r="E67" s="83" t="s">
        <v>278</v>
      </c>
      <c r="F67" s="30">
        <f>21.06+0.79-0.28+0.13</f>
        <v>21.699999999999996</v>
      </c>
      <c r="G67" s="30">
        <f>$F$5*(0.0098-0.0036-0.001+0.0007)</f>
        <v>4.4249999999999998</v>
      </c>
      <c r="H67" s="30">
        <f t="shared" si="13"/>
        <v>26.124999999999996</v>
      </c>
      <c r="I67" s="14" t="s">
        <v>102</v>
      </c>
      <c r="J67" s="30">
        <f>(0.0072+0.0015)*$F$5*M67</f>
        <v>6.7722974999999996</v>
      </c>
      <c r="K67" s="30">
        <f t="shared" si="11"/>
        <v>3.1662607500000077</v>
      </c>
      <c r="L67" s="30">
        <f t="shared" si="12"/>
        <v>36.06355825</v>
      </c>
      <c r="M67" s="88">
        <v>1.0379</v>
      </c>
    </row>
    <row r="68" spans="1:13" ht="18" x14ac:dyDescent="0.25">
      <c r="A68" s="13">
        <v>48</v>
      </c>
      <c r="B68" s="13" t="s">
        <v>124</v>
      </c>
      <c r="C68" s="13" t="s">
        <v>98</v>
      </c>
      <c r="D68" s="84" t="s">
        <v>264</v>
      </c>
      <c r="E68" s="83"/>
      <c r="F68" s="30">
        <f>21.94-0.14+0.79+0.93</f>
        <v>23.52</v>
      </c>
      <c r="G68" s="30">
        <f>$F$5*(0.0139+0.0005-0.003-0.0001)</f>
        <v>8.4750000000000014</v>
      </c>
      <c r="H68" s="30">
        <f t="shared" si="13"/>
        <v>31.995000000000001</v>
      </c>
      <c r="I68" s="14" t="s">
        <v>102</v>
      </c>
      <c r="J68" s="30">
        <f>(0.0071+0.0053)*$F$5*M68</f>
        <v>9.745470000000001</v>
      </c>
      <c r="K68" s="30">
        <f t="shared" si="11"/>
        <v>4.001685750000008</v>
      </c>
      <c r="L68" s="30">
        <f t="shared" si="12"/>
        <v>45.742155750000009</v>
      </c>
      <c r="M68" s="88">
        <v>1.0479000000000001</v>
      </c>
    </row>
    <row r="69" spans="1:13" ht="18" x14ac:dyDescent="0.25">
      <c r="A69" s="13">
        <v>49</v>
      </c>
      <c r="B69" s="13" t="s">
        <v>52</v>
      </c>
      <c r="C69" s="13" t="s">
        <v>280</v>
      </c>
      <c r="D69" s="84" t="s">
        <v>298</v>
      </c>
      <c r="E69" s="83" t="s">
        <v>278</v>
      </c>
      <c r="F69" s="30">
        <f>24.85+0.1+0.93+0.79-0.37</f>
        <v>26.3</v>
      </c>
      <c r="G69" s="30">
        <f>$F$5*(0.0164+0.0009-0.0002+0.0002)</f>
        <v>12.975000000000001</v>
      </c>
      <c r="H69" s="30">
        <f t="shared" si="13"/>
        <v>39.275000000000006</v>
      </c>
      <c r="I69" s="14" t="s">
        <v>102</v>
      </c>
      <c r="J69" s="30">
        <f>(0.0067+0.0032)*$F$5*M69</f>
        <v>7.843770000000001</v>
      </c>
      <c r="K69" s="30">
        <f t="shared" si="11"/>
        <v>4.7117969999999954</v>
      </c>
      <c r="L69" s="30">
        <f t="shared" si="12"/>
        <v>51.830567000000002</v>
      </c>
      <c r="M69" s="88">
        <v>1.0564</v>
      </c>
    </row>
    <row r="70" spans="1:13" ht="18" x14ac:dyDescent="0.25">
      <c r="A70" s="13">
        <v>50</v>
      </c>
      <c r="B70" s="13" t="s">
        <v>53</v>
      </c>
      <c r="C70" s="13" t="s">
        <v>98</v>
      </c>
      <c r="D70" s="84" t="s">
        <v>264</v>
      </c>
      <c r="E70" s="83" t="s">
        <v>278</v>
      </c>
      <c r="F70" s="30">
        <f>18.9+0.79</f>
        <v>19.689999999999998</v>
      </c>
      <c r="G70" s="30">
        <f>$F$5*(0.0108+0.00007-0.0038-0.0036)</f>
        <v>2.6025000000000014</v>
      </c>
      <c r="H70" s="30">
        <f t="shared" si="13"/>
        <v>22.2925</v>
      </c>
      <c r="I70" s="10" t="s">
        <v>101</v>
      </c>
      <c r="J70" s="30">
        <f>(0.0067+0.0058)*$F$5*M70</f>
        <v>9.8165624999999999</v>
      </c>
      <c r="K70" s="30">
        <f t="shared" si="11"/>
        <v>3.9348517499999924</v>
      </c>
      <c r="L70" s="30">
        <f t="shared" si="12"/>
        <v>36.043914249999993</v>
      </c>
      <c r="M70" s="88">
        <v>1.0470999999999999</v>
      </c>
    </row>
    <row r="71" spans="1:13" ht="18" x14ac:dyDescent="0.25">
      <c r="A71" s="13">
        <v>51</v>
      </c>
      <c r="B71" s="13" t="s">
        <v>54</v>
      </c>
      <c r="C71" s="13" t="s">
        <v>100</v>
      </c>
      <c r="D71" s="84" t="s">
        <v>264</v>
      </c>
      <c r="E71" s="83" t="s">
        <v>278</v>
      </c>
      <c r="F71" s="30">
        <f>24.25+0.79</f>
        <v>25.04</v>
      </c>
      <c r="G71" s="30">
        <f>$F$5*(0.0123+0.0013+0.0039)</f>
        <v>13.125000000000002</v>
      </c>
      <c r="H71" s="30">
        <f t="shared" si="13"/>
        <v>38.164999999999999</v>
      </c>
      <c r="I71" s="14" t="s">
        <v>102</v>
      </c>
      <c r="J71" s="30">
        <f>(0.0059+0.0027)*$F$5*M71</f>
        <v>6.9098850000000001</v>
      </c>
      <c r="K71" s="30">
        <f t="shared" si="11"/>
        <v>5.9565802499999903</v>
      </c>
      <c r="L71" s="30">
        <f t="shared" si="12"/>
        <v>51.031465249999989</v>
      </c>
      <c r="M71" s="88">
        <v>1.0712999999999999</v>
      </c>
    </row>
    <row r="72" spans="1:13" ht="18" x14ac:dyDescent="0.25">
      <c r="A72" s="11">
        <v>52</v>
      </c>
      <c r="B72" s="11" t="s">
        <v>111</v>
      </c>
      <c r="C72" s="11" t="s">
        <v>98</v>
      </c>
      <c r="D72" s="103" t="s">
        <v>264</v>
      </c>
      <c r="E72" s="104" t="s">
        <v>299</v>
      </c>
      <c r="F72" s="17">
        <f>18.22+0.77+0.79</f>
        <v>19.779999999999998</v>
      </c>
      <c r="G72" s="17">
        <f>$F$5*(0.0121+0.0004)</f>
        <v>9.375</v>
      </c>
      <c r="H72" s="17">
        <f t="shared" si="13"/>
        <v>29.154999999999998</v>
      </c>
      <c r="I72" s="14" t="s">
        <v>102</v>
      </c>
      <c r="J72" s="17">
        <f>(0.0081+0.0055)*$F$5*M72</f>
        <v>10.58352</v>
      </c>
      <c r="K72" s="17">
        <f t="shared" si="11"/>
        <v>3.141198000000005</v>
      </c>
      <c r="L72" s="17">
        <f t="shared" si="12"/>
        <v>42.879717999999997</v>
      </c>
      <c r="M72" s="98">
        <v>1.0376000000000001</v>
      </c>
    </row>
    <row r="73" spans="1:13" ht="18" x14ac:dyDescent="0.25">
      <c r="A73" s="13">
        <v>53</v>
      </c>
      <c r="B73" s="13" t="s">
        <v>112</v>
      </c>
      <c r="C73" s="13" t="s">
        <v>100</v>
      </c>
      <c r="D73" s="84" t="s">
        <v>264</v>
      </c>
      <c r="E73" s="83" t="s">
        <v>278</v>
      </c>
      <c r="F73" s="30">
        <f>18.19+0.17+0.79</f>
        <v>19.150000000000002</v>
      </c>
      <c r="G73" s="30">
        <f>$F$5*(0.0102+0.0017+0.0007-0.0007-0.0014)</f>
        <v>7.8750000000000009</v>
      </c>
      <c r="H73" s="30">
        <f t="shared" si="13"/>
        <v>27.025000000000002</v>
      </c>
      <c r="I73" s="14" t="s">
        <v>102</v>
      </c>
      <c r="J73" s="30">
        <f>(0.0068+0.0037)*$F$5*M73</f>
        <v>8.2537874999999996</v>
      </c>
      <c r="K73" s="30">
        <f t="shared" si="11"/>
        <v>4.0183942500000054</v>
      </c>
      <c r="L73" s="30">
        <f t="shared" si="12"/>
        <v>39.297181750000007</v>
      </c>
      <c r="M73" s="88">
        <v>1.0481</v>
      </c>
    </row>
    <row r="74" spans="1:13" ht="18" x14ac:dyDescent="0.25">
      <c r="A74" s="13">
        <v>54</v>
      </c>
      <c r="B74" s="13" t="s">
        <v>55</v>
      </c>
      <c r="C74" s="13" t="s">
        <v>100</v>
      </c>
      <c r="D74" s="84" t="s">
        <v>264</v>
      </c>
      <c r="E74" s="83" t="s">
        <v>278</v>
      </c>
      <c r="F74" s="30">
        <f>17.68+2.56-3.63-0.08+0.79</f>
        <v>17.32</v>
      </c>
      <c r="G74" s="30">
        <f>$F$5*(0.0127+0.0006+0.0013-0.0028)</f>
        <v>8.8499999999999979</v>
      </c>
      <c r="H74" s="30">
        <f t="shared" si="13"/>
        <v>26.169999999999998</v>
      </c>
      <c r="I74" s="14" t="s">
        <v>102</v>
      </c>
      <c r="J74" s="30">
        <f>(0.0054+0.0041)*$F$5*M74</f>
        <v>7.5247125000000015</v>
      </c>
      <c r="K74" s="30">
        <f t="shared" si="11"/>
        <v>4.6867342500000051</v>
      </c>
      <c r="L74" s="30">
        <f t="shared" si="12"/>
        <v>38.381446750000009</v>
      </c>
      <c r="M74" s="88">
        <v>1.0561</v>
      </c>
    </row>
    <row r="75" spans="1:13" ht="18" x14ac:dyDescent="0.25">
      <c r="A75" s="13">
        <v>55</v>
      </c>
      <c r="B75" s="13" t="s">
        <v>56</v>
      </c>
      <c r="C75" s="27" t="s">
        <v>201</v>
      </c>
      <c r="D75" s="82" t="s">
        <v>261</v>
      </c>
      <c r="E75" s="83" t="s">
        <v>278</v>
      </c>
      <c r="F75" s="30">
        <f>11.21+0.79+0.06+0.6</f>
        <v>12.66</v>
      </c>
      <c r="G75" s="30">
        <f>$F$5*(0.0142+0.0013+0.0006)</f>
        <v>12.074999999999999</v>
      </c>
      <c r="H75" s="30">
        <f t="shared" si="13"/>
        <v>24.734999999999999</v>
      </c>
      <c r="I75" s="10" t="s">
        <v>101</v>
      </c>
      <c r="J75" s="30">
        <f>(0.0078+0.0062)*$F$5*M75</f>
        <v>11.010299999999997</v>
      </c>
      <c r="K75" s="30">
        <f t="shared" si="11"/>
        <v>4.0601654999999921</v>
      </c>
      <c r="L75" s="30">
        <f t="shared" si="12"/>
        <v>39.80546549999999</v>
      </c>
      <c r="M75" s="88">
        <v>1.0486</v>
      </c>
    </row>
    <row r="76" spans="1:13" ht="18" x14ac:dyDescent="0.25">
      <c r="A76" s="13">
        <v>56</v>
      </c>
      <c r="B76" s="13" t="s">
        <v>57</v>
      </c>
      <c r="C76" s="13" t="s">
        <v>92</v>
      </c>
      <c r="D76" s="84" t="s">
        <v>264</v>
      </c>
      <c r="E76" s="83" t="s">
        <v>278</v>
      </c>
      <c r="F76" s="30">
        <f>14.02+0.32+1.68+0.07+0.79+0.11</f>
        <v>16.989999999999998</v>
      </c>
      <c r="G76" s="30">
        <f>$F$5*(0.0129+0.0008-0.0008-0.0027-0.0004+0.0003)</f>
        <v>7.5750000000000011</v>
      </c>
      <c r="H76" s="30">
        <f t="shared" si="13"/>
        <v>24.564999999999998</v>
      </c>
      <c r="I76" s="14" t="s">
        <v>102</v>
      </c>
      <c r="J76" s="30">
        <f>(0.0059+0.0045)*$F$5*M76</f>
        <v>8.1564600000000009</v>
      </c>
      <c r="K76" s="30">
        <f t="shared" si="11"/>
        <v>3.8178922500000101</v>
      </c>
      <c r="L76" s="30">
        <f t="shared" si="12"/>
        <v>36.539352250000007</v>
      </c>
      <c r="M76" s="88">
        <v>1.0457000000000001</v>
      </c>
    </row>
    <row r="77" spans="1:13" ht="18" x14ac:dyDescent="0.25">
      <c r="A77" s="13">
        <v>57</v>
      </c>
      <c r="B77" s="27" t="s">
        <v>58</v>
      </c>
      <c r="C77" s="13" t="s">
        <v>98</v>
      </c>
      <c r="D77" s="84" t="s">
        <v>261</v>
      </c>
      <c r="E77" s="83" t="s">
        <v>278</v>
      </c>
      <c r="F77" s="30">
        <f>26.52+4.11+0.79</f>
        <v>31.419999999999998</v>
      </c>
      <c r="G77" s="30">
        <f>$F$5*(0.0146+0.0011)</f>
        <v>11.774999999999999</v>
      </c>
      <c r="H77" s="30">
        <f t="shared" si="13"/>
        <v>43.194999999999993</v>
      </c>
      <c r="I77" s="14" t="s">
        <v>102</v>
      </c>
      <c r="J77" s="30">
        <f>(0.0043+0.0033)*$F$5*M77</f>
        <v>6.16113</v>
      </c>
      <c r="K77" s="30">
        <f t="shared" si="11"/>
        <v>6.7585882499999954</v>
      </c>
      <c r="L77" s="30">
        <f t="shared" si="12"/>
        <v>56.114718249999989</v>
      </c>
      <c r="M77" s="88">
        <v>1.0809</v>
      </c>
    </row>
    <row r="78" spans="1:13" ht="18" x14ac:dyDescent="0.25">
      <c r="A78" s="13">
        <v>58</v>
      </c>
      <c r="B78" s="13" t="s">
        <v>59</v>
      </c>
      <c r="C78" s="13" t="s">
        <v>100</v>
      </c>
      <c r="D78" s="84" t="s">
        <v>264</v>
      </c>
      <c r="E78" s="83" t="s">
        <v>278</v>
      </c>
      <c r="F78" s="30">
        <f>15.2+0.79+0.05</f>
        <v>16.04</v>
      </c>
      <c r="G78" s="30">
        <f>$F$5*(0.0094+0.001+0.0016-0.0002)</f>
        <v>8.85</v>
      </c>
      <c r="H78" s="30">
        <f t="shared" si="13"/>
        <v>24.89</v>
      </c>
      <c r="I78" s="10" t="s">
        <v>101</v>
      </c>
      <c r="J78" s="30">
        <f>(0.007+0.0052)*$F$5*M78</f>
        <v>9.6514199999999981</v>
      </c>
      <c r="K78" s="30">
        <f t="shared" si="11"/>
        <v>4.5781290000000023</v>
      </c>
      <c r="L78" s="30">
        <f t="shared" si="12"/>
        <v>39.119549000000006</v>
      </c>
      <c r="M78" s="88">
        <v>1.0548</v>
      </c>
    </row>
    <row r="79" spans="1:13" ht="18" x14ac:dyDescent="0.25">
      <c r="A79" s="19">
        <v>59</v>
      </c>
      <c r="B79" s="19" t="s">
        <v>60</v>
      </c>
      <c r="C79" s="19" t="s">
        <v>118</v>
      </c>
      <c r="D79" s="114" t="s">
        <v>261</v>
      </c>
      <c r="E79" s="86"/>
      <c r="F79" s="18"/>
      <c r="G79" s="18"/>
      <c r="H79" s="18"/>
      <c r="I79" s="115"/>
      <c r="J79" s="18"/>
      <c r="K79" s="18"/>
      <c r="L79" s="18"/>
      <c r="M79" s="116"/>
    </row>
    <row r="80" spans="1:13" ht="18" x14ac:dyDescent="0.25">
      <c r="A80" s="13">
        <v>60</v>
      </c>
      <c r="B80" s="13" t="s">
        <v>61</v>
      </c>
      <c r="C80" s="13" t="s">
        <v>319</v>
      </c>
      <c r="D80" s="83"/>
      <c r="E80" s="83" t="s">
        <v>278</v>
      </c>
      <c r="F80" s="30">
        <f>12.9+0.2+1.33-0.04-0.1+0.06+0.12+0.79+0.07</f>
        <v>15.330000000000002</v>
      </c>
      <c r="G80" s="30">
        <f>$F$5*(0.0143+0.0003+0.0003-0.0003+0.0001)</f>
        <v>11.025</v>
      </c>
      <c r="H80" s="30">
        <f t="shared" ref="H80:H81" si="14">F80+G80</f>
        <v>26.355000000000004</v>
      </c>
      <c r="I80" s="14" t="s">
        <v>102</v>
      </c>
      <c r="J80" s="30">
        <f>(0.008+0.0035)*$F$5*M80</f>
        <v>8.9225624999999997</v>
      </c>
      <c r="K80" s="30">
        <f>(M80*$F$5-$F$5)*$O$5</f>
        <v>2.8822162499999999</v>
      </c>
      <c r="L80" s="30">
        <f t="shared" ref="L80:L81" si="15">H80+J80+K80</f>
        <v>38.159778750000001</v>
      </c>
      <c r="M80" s="88">
        <v>1.0345</v>
      </c>
    </row>
    <row r="81" spans="1:13" ht="18" x14ac:dyDescent="0.25">
      <c r="A81" s="13">
        <v>61</v>
      </c>
      <c r="B81" s="13" t="s">
        <v>62</v>
      </c>
      <c r="C81" s="13" t="s">
        <v>100</v>
      </c>
      <c r="D81" s="84" t="s">
        <v>264</v>
      </c>
      <c r="E81" s="83" t="s">
        <v>278</v>
      </c>
      <c r="F81" s="30">
        <f>13.23+0.79+0.05</f>
        <v>14.07</v>
      </c>
      <c r="G81" s="30">
        <f>$F$5*(0.0137+0.0002)</f>
        <v>10.425000000000001</v>
      </c>
      <c r="H81" s="30">
        <f t="shared" si="14"/>
        <v>24.495000000000001</v>
      </c>
      <c r="I81" s="14" t="s">
        <v>102</v>
      </c>
      <c r="J81" s="30">
        <f>(0.0061+0)*$F$5*M81</f>
        <v>4.7987174999999995</v>
      </c>
      <c r="K81" s="30">
        <f>(M81*$F$5-$F$5)*$O$5</f>
        <v>4.0852282499999948</v>
      </c>
      <c r="L81" s="30">
        <f t="shared" si="15"/>
        <v>33.378945749999993</v>
      </c>
      <c r="M81" s="88">
        <v>1.0488999999999999</v>
      </c>
    </row>
    <row r="82" spans="1:13" ht="18" x14ac:dyDescent="0.25">
      <c r="A82">
        <v>62</v>
      </c>
      <c r="B82" t="s">
        <v>63</v>
      </c>
      <c r="C82" s="12" t="s">
        <v>92</v>
      </c>
      <c r="D82" s="80" t="s">
        <v>264</v>
      </c>
      <c r="E82" s="79"/>
      <c r="F82" s="22"/>
      <c r="G82" s="22"/>
      <c r="H82" s="22"/>
      <c r="I82" s="23"/>
      <c r="J82" s="22"/>
      <c r="K82" s="22"/>
      <c r="L82" s="22"/>
      <c r="M82" s="24"/>
    </row>
    <row r="83" spans="1:13" ht="18" x14ac:dyDescent="0.25">
      <c r="A83">
        <v>63</v>
      </c>
      <c r="B83" t="s">
        <v>64</v>
      </c>
      <c r="C83" s="12" t="s">
        <v>92</v>
      </c>
      <c r="D83" s="80" t="s">
        <v>264</v>
      </c>
      <c r="E83" s="79"/>
      <c r="F83" s="22"/>
      <c r="G83" s="22"/>
      <c r="H83" s="22"/>
      <c r="I83" s="23"/>
      <c r="J83" s="22"/>
      <c r="K83" s="22"/>
      <c r="L83" s="22"/>
      <c r="M83" s="24"/>
    </row>
    <row r="84" spans="1:13" ht="18" x14ac:dyDescent="0.25">
      <c r="A84" s="13">
        <v>64</v>
      </c>
      <c r="B84" s="13" t="s">
        <v>65</v>
      </c>
      <c r="C84" s="13" t="s">
        <v>100</v>
      </c>
      <c r="D84" s="84" t="s">
        <v>264</v>
      </c>
      <c r="E84" s="83" t="s">
        <v>278</v>
      </c>
      <c r="F84" s="30">
        <f>31.23+0.79</f>
        <v>32.020000000000003</v>
      </c>
      <c r="G84" s="30">
        <f>$F$5*(0.0089+0.0037-0.0032)</f>
        <v>7.0500000000000007</v>
      </c>
      <c r="H84" s="30">
        <f t="shared" ref="H84:H97" si="16">F84+G84</f>
        <v>39.070000000000007</v>
      </c>
      <c r="I84" s="14" t="s">
        <v>102</v>
      </c>
      <c r="J84" s="30">
        <f>(0.0068+0.0017)*$F$5*M84</f>
        <v>6.9468374999999982</v>
      </c>
      <c r="K84" s="30">
        <f t="shared" ref="K84:K97" si="17">(M84*$F$5-$F$5)*$O$5</f>
        <v>7.4937622499999854</v>
      </c>
      <c r="L84" s="30">
        <f t="shared" ref="L84:L97" si="18">H84+J84+K84</f>
        <v>53.510599749999997</v>
      </c>
      <c r="M84" s="88">
        <v>1.0896999999999999</v>
      </c>
    </row>
    <row r="85" spans="1:13" ht="18" x14ac:dyDescent="0.25">
      <c r="A85" s="13">
        <v>65</v>
      </c>
      <c r="B85" s="13" t="s">
        <v>66</v>
      </c>
      <c r="C85" s="13" t="s">
        <v>100</v>
      </c>
      <c r="D85" s="84" t="s">
        <v>261</v>
      </c>
      <c r="E85" s="83" t="s">
        <v>278</v>
      </c>
      <c r="F85" s="30">
        <f>17.31+0.79+0.37</f>
        <v>18.47</v>
      </c>
      <c r="G85" s="30">
        <f>$F$5*(0.0128-0.0037)</f>
        <v>6.8250000000000002</v>
      </c>
      <c r="H85" s="30">
        <f t="shared" si="16"/>
        <v>25.294999999999998</v>
      </c>
      <c r="I85" s="14" t="s">
        <v>102</v>
      </c>
      <c r="J85" s="30">
        <f>(0.0074+0.0058)*$F$5*M85</f>
        <v>10.289069999999999</v>
      </c>
      <c r="K85" s="30">
        <f t="shared" si="17"/>
        <v>3.2832202499999901</v>
      </c>
      <c r="L85" s="30">
        <f t="shared" si="18"/>
        <v>38.867290249999989</v>
      </c>
      <c r="M85" s="88">
        <v>1.0392999999999999</v>
      </c>
    </row>
    <row r="86" spans="1:13" ht="18" x14ac:dyDescent="0.25">
      <c r="A86" s="13">
        <v>66</v>
      </c>
      <c r="B86" s="13" t="s">
        <v>67</v>
      </c>
      <c r="C86" s="13" t="s">
        <v>100</v>
      </c>
      <c r="D86" s="84" t="s">
        <v>264</v>
      </c>
      <c r="E86" s="83" t="s">
        <v>278</v>
      </c>
      <c r="F86" s="30">
        <f>15.24+0.79</f>
        <v>16.03</v>
      </c>
      <c r="G86" s="30">
        <f>$F$5*(0.0097-0.001)</f>
        <v>6.5249999999999995</v>
      </c>
      <c r="H86" s="30">
        <f t="shared" si="16"/>
        <v>22.555</v>
      </c>
      <c r="I86" s="10" t="s">
        <v>101</v>
      </c>
      <c r="J86" s="30">
        <f>(0.0061+0.0046)*$F$5*M86</f>
        <v>8.299455</v>
      </c>
      <c r="K86" s="30">
        <f t="shared" si="17"/>
        <v>2.8571534999999977</v>
      </c>
      <c r="L86" s="30">
        <f t="shared" si="18"/>
        <v>33.711608499999997</v>
      </c>
      <c r="M86" s="88">
        <v>1.0342</v>
      </c>
    </row>
    <row r="87" spans="1:13" ht="18" x14ac:dyDescent="0.25">
      <c r="A87" s="13">
        <v>67</v>
      </c>
      <c r="B87" s="13" t="s">
        <v>68</v>
      </c>
      <c r="C87" s="13" t="s">
        <v>98</v>
      </c>
      <c r="D87" s="84" t="s">
        <v>264</v>
      </c>
      <c r="E87" s="83" t="s">
        <v>278</v>
      </c>
      <c r="F87" s="30">
        <f>13.8+0.79</f>
        <v>14.59</v>
      </c>
      <c r="G87" s="30">
        <f>$F$5*(0.0197+0.0014)</f>
        <v>15.824999999999998</v>
      </c>
      <c r="H87" s="30">
        <f t="shared" si="16"/>
        <v>30.414999999999999</v>
      </c>
      <c r="I87" s="14" t="s">
        <v>102</v>
      </c>
      <c r="J87" s="30">
        <f>(0.0069+0.0056)*$F$5*M87</f>
        <v>9.6871875000000003</v>
      </c>
      <c r="K87" s="30">
        <f t="shared" si="17"/>
        <v>2.7819652500000154</v>
      </c>
      <c r="L87" s="30">
        <f t="shared" si="18"/>
        <v>42.884152750000013</v>
      </c>
      <c r="M87" s="88">
        <v>1.0333000000000001</v>
      </c>
    </row>
    <row r="88" spans="1:13" ht="18" x14ac:dyDescent="0.25">
      <c r="A88" s="13">
        <v>68</v>
      </c>
      <c r="B88" s="13" t="s">
        <v>69</v>
      </c>
      <c r="C88" s="13" t="s">
        <v>118</v>
      </c>
      <c r="D88" s="84" t="s">
        <v>261</v>
      </c>
      <c r="E88" s="83" t="s">
        <v>278</v>
      </c>
      <c r="F88" s="30">
        <f>22.78+0.08+0.78+0.06+0.28-0.17-0.08-0.03-0.48-1.48+0.1+0.03+0.46+0.88+0.28</f>
        <v>23.490000000000002</v>
      </c>
      <c r="G88" s="30">
        <f>$F$5*(0.0188+0.00006-0.00009)</f>
        <v>14.077500000000002</v>
      </c>
      <c r="H88" s="30">
        <f t="shared" si="16"/>
        <v>37.567500000000003</v>
      </c>
      <c r="I88" s="14" t="s">
        <v>102</v>
      </c>
      <c r="J88" s="30">
        <f>(0.00914+0.00786)*$F$5*M88</f>
        <v>13.229400000000004</v>
      </c>
      <c r="K88" s="30">
        <f t="shared" si="17"/>
        <v>3.141198000000005</v>
      </c>
      <c r="L88" s="30">
        <f t="shared" si="18"/>
        <v>53.938098000000011</v>
      </c>
      <c r="M88" s="88">
        <v>1.0376000000000001</v>
      </c>
    </row>
    <row r="89" spans="1:13" ht="18" x14ac:dyDescent="0.25">
      <c r="A89" s="13">
        <v>69</v>
      </c>
      <c r="B89" s="13" t="s">
        <v>113</v>
      </c>
      <c r="C89" s="13" t="s">
        <v>100</v>
      </c>
      <c r="D89" s="84" t="s">
        <v>264</v>
      </c>
      <c r="E89" s="83" t="s">
        <v>278</v>
      </c>
      <c r="F89" s="30">
        <f>16.3+0.79</f>
        <v>17.09</v>
      </c>
      <c r="G89" s="30">
        <f>$F$5*(0.0123+0.001)</f>
        <v>9.9749999999999996</v>
      </c>
      <c r="H89" s="30">
        <f t="shared" si="16"/>
        <v>27.064999999999998</v>
      </c>
      <c r="I89" s="14" t="s">
        <v>102</v>
      </c>
      <c r="J89" s="30">
        <f>(0.0068+0.0047)*$F$5*M89</f>
        <v>9.0407250000000001</v>
      </c>
      <c r="K89" s="30">
        <f t="shared" si="17"/>
        <v>4.0267484999999974</v>
      </c>
      <c r="L89" s="30">
        <f t="shared" si="18"/>
        <v>40.132473499999996</v>
      </c>
      <c r="M89" s="88">
        <v>1.0482</v>
      </c>
    </row>
    <row r="90" spans="1:13" ht="18" x14ac:dyDescent="0.25">
      <c r="A90" s="13">
        <v>70</v>
      </c>
      <c r="B90" s="13" t="s">
        <v>70</v>
      </c>
      <c r="C90" s="13" t="s">
        <v>92</v>
      </c>
      <c r="D90" s="84" t="s">
        <v>264</v>
      </c>
      <c r="E90" s="83" t="s">
        <v>278</v>
      </c>
      <c r="F90" s="30">
        <f>14.91+0.79</f>
        <v>15.7</v>
      </c>
      <c r="G90" s="30">
        <f>$F$5*(0.0118+0.0024+0.0013-0.0023)</f>
        <v>9.9</v>
      </c>
      <c r="H90" s="30">
        <f t="shared" si="16"/>
        <v>25.6</v>
      </c>
      <c r="I90" s="14" t="s">
        <v>102</v>
      </c>
      <c r="J90" s="30">
        <f>(0.007+0.0054)*$F$5*M90</f>
        <v>10.045860000000001</v>
      </c>
      <c r="K90" s="30">
        <f t="shared" si="17"/>
        <v>6.7001085000000105</v>
      </c>
      <c r="L90" s="30">
        <f t="shared" si="18"/>
        <v>42.345968500000012</v>
      </c>
      <c r="M90" s="88">
        <v>1.0802</v>
      </c>
    </row>
    <row r="91" spans="1:13" ht="18" x14ac:dyDescent="0.25">
      <c r="A91" s="13">
        <v>71</v>
      </c>
      <c r="B91" s="13" t="s">
        <v>71</v>
      </c>
      <c r="C91" s="13" t="s">
        <v>92</v>
      </c>
      <c r="D91" s="84" t="s">
        <v>261</v>
      </c>
      <c r="E91" s="83" t="s">
        <v>278</v>
      </c>
      <c r="F91" s="30">
        <f>19.71+0.79+0.58</f>
        <v>21.08</v>
      </c>
      <c r="G91" s="30">
        <f>$F$5*(0.0154+0.0002-0.0014+0.0016-0.0016+0.0002-0.0001)</f>
        <v>10.725000000000001</v>
      </c>
      <c r="H91" s="30">
        <f t="shared" si="16"/>
        <v>31.805</v>
      </c>
      <c r="I91" s="14" t="s">
        <v>102</v>
      </c>
      <c r="J91" s="30">
        <f>(0.0074+0.0023)*$F$5*M91</f>
        <v>7.5383550000000001</v>
      </c>
      <c r="K91" s="30">
        <f t="shared" si="17"/>
        <v>3.0242384999999974</v>
      </c>
      <c r="L91" s="30">
        <f t="shared" si="18"/>
        <v>42.367593499999998</v>
      </c>
      <c r="M91" s="88">
        <v>1.0362</v>
      </c>
    </row>
    <row r="92" spans="1:13" ht="18" x14ac:dyDescent="0.25">
      <c r="A92" s="13">
        <v>72</v>
      </c>
      <c r="B92" s="13" t="s">
        <v>72</v>
      </c>
      <c r="C92" s="13" t="s">
        <v>100</v>
      </c>
      <c r="D92" s="84" t="s">
        <v>264</v>
      </c>
      <c r="E92" s="83" t="s">
        <v>278</v>
      </c>
      <c r="F92" s="30">
        <f>18.76+0.45+0.05+0.79</f>
        <v>20.05</v>
      </c>
      <c r="G92" s="30">
        <f>$F$5*(0.0105-0.0019)</f>
        <v>6.45</v>
      </c>
      <c r="H92" s="30">
        <f t="shared" si="16"/>
        <v>26.5</v>
      </c>
      <c r="I92" s="14" t="s">
        <v>102</v>
      </c>
      <c r="J92" s="30">
        <f>(0.0078+0.0061)*$F$5*M92</f>
        <v>10.979609999999997</v>
      </c>
      <c r="K92" s="30">
        <f t="shared" si="17"/>
        <v>4.4444609999999978</v>
      </c>
      <c r="L92" s="30">
        <f t="shared" si="18"/>
        <v>41.924070999999991</v>
      </c>
      <c r="M92" s="88">
        <v>1.0531999999999999</v>
      </c>
    </row>
    <row r="93" spans="1:13" ht="18" x14ac:dyDescent="0.25">
      <c r="A93" s="13">
        <v>73</v>
      </c>
      <c r="B93" s="13" t="s">
        <v>73</v>
      </c>
      <c r="C93" s="13" t="s">
        <v>92</v>
      </c>
      <c r="D93" s="84" t="s">
        <v>264</v>
      </c>
      <c r="E93" s="83" t="s">
        <v>278</v>
      </c>
      <c r="F93" s="30">
        <f>23.97+0.79+0.34</f>
        <v>25.099999999999998</v>
      </c>
      <c r="G93" s="30">
        <f>$F$5*(0.0153+0.0029+0.0003+0.0001)</f>
        <v>13.950000000000001</v>
      </c>
      <c r="H93" s="30">
        <f t="shared" si="16"/>
        <v>39.049999999999997</v>
      </c>
      <c r="I93" s="14" t="s">
        <v>102</v>
      </c>
      <c r="J93" s="30">
        <f>(0.0067+0.0045)*$F$5*M93</f>
        <v>8.9510400000000008</v>
      </c>
      <c r="K93" s="30">
        <f t="shared" si="17"/>
        <v>5.4803880000000049</v>
      </c>
      <c r="L93" s="30">
        <f t="shared" si="18"/>
        <v>53.481428000000001</v>
      </c>
      <c r="M93" s="88">
        <v>1.0656000000000001</v>
      </c>
    </row>
    <row r="94" spans="1:13" ht="18" x14ac:dyDescent="0.25">
      <c r="A94" s="13">
        <v>74</v>
      </c>
      <c r="B94" s="13" t="s">
        <v>74</v>
      </c>
      <c r="C94" s="13" t="s">
        <v>100</v>
      </c>
      <c r="D94" s="84" t="s">
        <v>264</v>
      </c>
      <c r="E94" s="83" t="s">
        <v>278</v>
      </c>
      <c r="F94" s="30">
        <f>21.6+0.8+1.17+0.79</f>
        <v>24.36</v>
      </c>
      <c r="G94" s="30">
        <f>$F$5*(0.0173+0.0004-0.002)</f>
        <v>11.774999999999999</v>
      </c>
      <c r="H94" s="30">
        <f t="shared" si="16"/>
        <v>36.134999999999998</v>
      </c>
      <c r="I94" s="14" t="s">
        <v>102</v>
      </c>
      <c r="J94" s="30">
        <f>(0.0069+0.0058)*$F$5*M94</f>
        <v>9.9698174999999996</v>
      </c>
      <c r="K94" s="30">
        <f t="shared" si="17"/>
        <v>3.9014347499999977</v>
      </c>
      <c r="L94" s="30">
        <f t="shared" si="18"/>
        <v>50.006252249999996</v>
      </c>
      <c r="M94" s="88">
        <v>1.0467</v>
      </c>
    </row>
    <row r="95" spans="1:13" ht="18" x14ac:dyDescent="0.25">
      <c r="A95" s="13">
        <v>75</v>
      </c>
      <c r="B95" s="13" t="s">
        <v>75</v>
      </c>
      <c r="C95" s="13" t="s">
        <v>100</v>
      </c>
      <c r="D95" s="84" t="s">
        <v>264</v>
      </c>
      <c r="E95" s="83" t="s">
        <v>278</v>
      </c>
      <c r="F95" s="30">
        <f>16.31+0.19+0.79</f>
        <v>17.29</v>
      </c>
      <c r="G95" s="30">
        <f>$F$5*(0.0121+0.0018+0.0045)</f>
        <v>13.799999999999999</v>
      </c>
      <c r="H95" s="30">
        <f t="shared" si="16"/>
        <v>31.089999999999996</v>
      </c>
      <c r="I95" s="14" t="s">
        <v>102</v>
      </c>
      <c r="J95" s="30">
        <f>(0.0064+0.0045)*$F$5*M95</f>
        <v>8.7472500000000011</v>
      </c>
      <c r="K95" s="30">
        <f t="shared" si="17"/>
        <v>5.8479749999999999</v>
      </c>
      <c r="L95" s="30">
        <f t="shared" si="18"/>
        <v>45.685224999999996</v>
      </c>
      <c r="M95" s="88">
        <v>1.07</v>
      </c>
    </row>
    <row r="96" spans="1:13" ht="18" x14ac:dyDescent="0.25">
      <c r="A96" s="13">
        <v>76</v>
      </c>
      <c r="B96" s="13" t="s">
        <v>76</v>
      </c>
      <c r="C96" s="13" t="s">
        <v>98</v>
      </c>
      <c r="D96" s="84" t="s">
        <v>261</v>
      </c>
      <c r="E96" s="83" t="s">
        <v>278</v>
      </c>
      <c r="F96" s="30">
        <f>21.2-1.9+2.2+0.79</f>
        <v>22.29</v>
      </c>
      <c r="G96" s="30">
        <f>$F$5*(0.0113+0.0006-0.0008)</f>
        <v>8.3249999999999993</v>
      </c>
      <c r="H96" s="30">
        <f t="shared" si="16"/>
        <v>30.614999999999998</v>
      </c>
      <c r="I96" s="14" t="s">
        <v>102</v>
      </c>
      <c r="J96" s="30">
        <f>(0.0081+0.0063)*$F$5*M96</f>
        <v>11.290319999999999</v>
      </c>
      <c r="K96" s="30">
        <f t="shared" si="17"/>
        <v>3.7928295000000078</v>
      </c>
      <c r="L96" s="30">
        <f t="shared" si="18"/>
        <v>45.698149500000007</v>
      </c>
      <c r="M96" s="88">
        <v>1.0454000000000001</v>
      </c>
    </row>
    <row r="97" spans="1:13" ht="18" x14ac:dyDescent="0.25">
      <c r="A97" s="13">
        <v>77</v>
      </c>
      <c r="B97" s="13" t="s">
        <v>77</v>
      </c>
      <c r="C97" s="19" t="s">
        <v>280</v>
      </c>
      <c r="D97" s="84" t="s">
        <v>261</v>
      </c>
      <c r="E97" s="83" t="s">
        <v>278</v>
      </c>
      <c r="F97" s="30">
        <f>16.38-0.16+0.79+0.64</f>
        <v>17.649999999999999</v>
      </c>
      <c r="G97" s="30">
        <f>$F$5*(0.0178-0.0002+0.0008)</f>
        <v>13.799999999999999</v>
      </c>
      <c r="H97" s="30">
        <f t="shared" si="16"/>
        <v>31.449999999999996</v>
      </c>
      <c r="I97" s="10" t="s">
        <v>101</v>
      </c>
      <c r="J97" s="30">
        <f>(0.0075+0.0054)*$F$5*M97</f>
        <v>10.0919925</v>
      </c>
      <c r="K97" s="30">
        <f t="shared" si="17"/>
        <v>3.6006817499999926</v>
      </c>
      <c r="L97" s="30">
        <f t="shared" si="18"/>
        <v>45.142674249999985</v>
      </c>
      <c r="M97" s="88">
        <v>1.0430999999999999</v>
      </c>
    </row>
  </sheetData>
  <mergeCells count="1">
    <mergeCell ref="F6:H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Bill Impacts</vt:lpstr>
      <vt:lpstr>2017</vt:lpstr>
      <vt:lpstr>2016</vt:lpstr>
      <vt:lpstr>2015</vt:lpstr>
      <vt:lpstr>2014</vt:lpstr>
      <vt:lpstr>2013</vt:lpstr>
      <vt:lpstr>Effective dates 2016</vt:lpstr>
      <vt:lpstr>500</vt:lpstr>
      <vt:lpstr>1000</vt:lpstr>
      <vt:lpstr>300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Motluk, Stephen (ENERGY)</dc:creator>
  <cp:lastModifiedBy>Smith, Mike (ENERGY)</cp:lastModifiedBy>
  <dcterms:created xsi:type="dcterms:W3CDTF">2015-09-18T16:07:49Z</dcterms:created>
  <dcterms:modified xsi:type="dcterms:W3CDTF">2017-01-26T20:42:43Z</dcterms:modified>
</cp:coreProperties>
</file>