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9975"/>
  </bookViews>
  <sheets>
    <sheet name="Sheet1" sheetId="1" r:id="rId1"/>
    <sheet name="2016 (2)" sheetId="3" r:id="rId2"/>
  </sheets>
  <definedNames>
    <definedName name="solver_eng" localSheetId="1" hidden="1">1</definedName>
    <definedName name="solver_neg" localSheetId="1" hidden="1">1</definedName>
    <definedName name="solver_num" localSheetId="1" hidden="1">0</definedName>
    <definedName name="solver_opt" localSheetId="1" hidden="1">'2016 (2)'!$H$25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45621"/>
  <oleSize ref="A1"/>
</workbook>
</file>

<file path=xl/comments1.xml><?xml version="1.0" encoding="utf-8"?>
<comments xmlns="http://schemas.openxmlformats.org/spreadsheetml/2006/main">
  <authors>
    <author>Motluk, Stephen (ENERGY)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service charge + riders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riders</t>
        </r>
      </text>
    </comment>
    <comment ref="I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 means Dx calc consistent with OEB Ministry BI Report dated Sep 21, 2015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Non-farm residential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$38.41 - incorrectly assigns Clinton rate rider to entire LDC.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avialble in BI report</t>
        </r>
      </text>
    </comment>
    <comment ref="D4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late</t>
        </r>
      </text>
    </comment>
    <comment ref="C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D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</t>
        </r>
      </text>
    </comment>
    <comment ref="F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$2.23 monthly charge for ice storm costs expires on Oct 31, 2016. </t>
        </r>
      </text>
    </comment>
    <comment ref="C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hold-over from 2015</t>
        </r>
      </text>
    </comment>
    <comment ref="I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$25.07? I have double checked tariff sheet. Perhaps BI has not updated interim rate.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including 0.26 rider ending June 20, 2016
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$34.44? Diference is $0.26 rider expiring June 30, 2016.</t>
        </r>
      </text>
    </comment>
    <comment ref="F5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31.50 RRRP subsidy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Non-Std A Year Round Res - R2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Remotes has bundled electricity rates.</t>
        </r>
      </text>
    </comment>
    <comment ref="I5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$25.83? I have double checked tariff sheet. Perhaps BI has not updated interim rate.</t>
        </r>
      </text>
    </comment>
    <comment ref="E5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Settlement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under appeal</t>
        </r>
      </text>
    </comment>
    <comment ref="D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Effective May 1, Implemented Sept 1.</t>
        </r>
      </text>
    </comment>
    <comment ref="S6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reverse these</t>
        </r>
      </text>
    </comment>
    <comment ref="C6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I7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$26.07. I have not included riders expiring on June 30, 2016.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</t>
        </r>
      </text>
    </comment>
    <comment ref="C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Year 1 rates effective jan 1  - no year 2</t>
        </r>
      </text>
    </comment>
    <comment ref="I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$23.76. I have double checked RO and can't reporoduce.</t>
        </r>
      </text>
    </comment>
    <comment ref="D7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Implemented July1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  <comment ref="I7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BI Report calculates $24.89. OEB omits a rider applicable to non-wholesale mkt.</t>
        </r>
      </text>
    </comment>
    <comment ref="C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The CIR was denied. 2016 was IRM and 2017 was COS.</t>
        </r>
      </text>
    </comment>
    <comment ref="F8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som riders end Dec 2016</t>
        </r>
      </text>
    </comment>
    <comment ref="I8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Slightly off, OEB BI reports $22.48. Double checked RO. </t>
        </r>
      </text>
    </comment>
    <comment ref="C8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Still waiting 2015</t>
        </r>
      </text>
    </comment>
    <comment ref="C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I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Slightly off, OEB BI reports $31.75. Double checked RO. </t>
        </r>
      </text>
    </comment>
  </commentList>
</comments>
</file>

<file path=xl/sharedStrings.xml><?xml version="1.0" encoding="utf-8"?>
<sst xmlns="http://schemas.openxmlformats.org/spreadsheetml/2006/main" count="517" uniqueCount="222">
  <si>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</si>
  <si>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</si>
  <si>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</si>
  <si>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</si>
  <si>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</si>
  <si>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</si>
  <si>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</si>
  <si>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Distribution Cost</t>
  </si>
  <si>
    <t>Harmonized Fixed Rate Benefit</t>
  </si>
  <si>
    <t>Accelerated Fixed Rate Benefit</t>
  </si>
  <si>
    <t>Total May 1</t>
  </si>
  <si>
    <t>Total Jan 1</t>
  </si>
  <si>
    <t>Filed</t>
  </si>
  <si>
    <t>CIR Jan 1</t>
  </si>
  <si>
    <t>COS Jan 1</t>
  </si>
  <si>
    <t>IRM Jan 1</t>
  </si>
  <si>
    <t>Woodstock Hydro Services Inc.</t>
  </si>
  <si>
    <t>û</t>
  </si>
  <si>
    <t>Yes</t>
  </si>
  <si>
    <t>Jan 1</t>
  </si>
  <si>
    <t>RRC</t>
  </si>
  <si>
    <t>Woodstock Hydro</t>
  </si>
  <si>
    <t>Whitby Hydro Electric Corporation</t>
  </si>
  <si>
    <t>ü</t>
  </si>
  <si>
    <t>IRM</t>
  </si>
  <si>
    <t>Whitby Hydro</t>
  </si>
  <si>
    <t>Westario Power Inc.</t>
  </si>
  <si>
    <t>May 1</t>
  </si>
  <si>
    <t>IRM-DA</t>
  </si>
  <si>
    <t>Westario</t>
  </si>
  <si>
    <t>West Coast Huron Energy Inc.</t>
  </si>
  <si>
    <t>West Coast Huron</t>
  </si>
  <si>
    <t>Wellington North Power Inc.</t>
  </si>
  <si>
    <t>COS</t>
  </si>
  <si>
    <t>Wellington North Power</t>
  </si>
  <si>
    <t>Welland Hydro-Electric System Corp.</t>
  </si>
  <si>
    <t>Welland Hydro</t>
  </si>
  <si>
    <t>Waterloo North Hydro Inc.</t>
  </si>
  <si>
    <t>Waterloo North Hydro</t>
  </si>
  <si>
    <t>Wasaga Distribution Inc.</t>
  </si>
  <si>
    <t>Wasaga Distribution</t>
  </si>
  <si>
    <t>Veridian Connections Inc.</t>
  </si>
  <si>
    <t>Veridian Connections-Main</t>
  </si>
  <si>
    <t>Toronto Hydro-Electric System Limited</t>
  </si>
  <si>
    <t>CIR</t>
  </si>
  <si>
    <t>Toronto Hydro</t>
  </si>
  <si>
    <t>Tillsonburg Hydro Inc.</t>
  </si>
  <si>
    <t>Tillsonburg Hydro</t>
  </si>
  <si>
    <t>Thunder Bay Hydro Electricity Distribution Inc.</t>
  </si>
  <si>
    <t>Thunder Bay Hydro</t>
  </si>
  <si>
    <t>St. Thomas Energy Inc.</t>
  </si>
  <si>
    <t>St. Thomas Energy</t>
  </si>
  <si>
    <t>Sioux Lookout Hydro Inc.</t>
  </si>
  <si>
    <t>Sioux Lookout</t>
  </si>
  <si>
    <t>Rideau St. Lawrence Distribution Inc.</t>
  </si>
  <si>
    <t>Rideau St. Lawrence</t>
  </si>
  <si>
    <t>Renfrew Hydro Inc.</t>
  </si>
  <si>
    <t>Renfrew Hydro</t>
  </si>
  <si>
    <t>PUC Distribution Inc.</t>
  </si>
  <si>
    <t>PUC Distribution</t>
  </si>
  <si>
    <t>CIR (IRM)</t>
  </si>
  <si>
    <t>Powerstream (South)</t>
  </si>
  <si>
    <t>PowerStream Inc.</t>
  </si>
  <si>
    <t>Powerstream (Barrie)</t>
  </si>
  <si>
    <t>Peterborough Distribution Incorporated</t>
  </si>
  <si>
    <t>Peterborough Distribution</t>
  </si>
  <si>
    <t>Parry Sound Power</t>
  </si>
  <si>
    <t>Ottawa River Power Corporation</t>
  </si>
  <si>
    <t>Ottawa River Power</t>
  </si>
  <si>
    <t>Oshawa PUC Networks Inc.</t>
  </si>
  <si>
    <t>CIR-YR2</t>
  </si>
  <si>
    <t>Oshawa PUC</t>
  </si>
  <si>
    <t>Orillia Power Distribution Corporation</t>
  </si>
  <si>
    <t>Orillia Power</t>
  </si>
  <si>
    <t>Orangeville Hydro Limited</t>
  </si>
  <si>
    <t>Orangeville Hydro</t>
  </si>
  <si>
    <t>Oakville Hydro Electricity Distribution Inc.</t>
  </si>
  <si>
    <t>Interim</t>
  </si>
  <si>
    <t>Oakville Hydro</t>
  </si>
  <si>
    <t>Northern Ontario Wires Inc.</t>
  </si>
  <si>
    <t>Northern Ontario Wires</t>
  </si>
  <si>
    <t>North Bay Hydro Distribution Limited</t>
  </si>
  <si>
    <t>North Bay Hydro</t>
  </si>
  <si>
    <t>Norfolk Power Distribution Inc.</t>
  </si>
  <si>
    <t>Feb 1</t>
  </si>
  <si>
    <t>Norfolk Power</t>
  </si>
  <si>
    <t>Niagara-on-the-Lake Hydro Inc.</t>
  </si>
  <si>
    <t>Niagara Peninsula</t>
  </si>
  <si>
    <t>Niagara Peninsula Energy Inc.</t>
  </si>
  <si>
    <t>Niagara On The Lake Hydro</t>
  </si>
  <si>
    <t>Newmarket-Tay Power Distribution Ltd.</t>
  </si>
  <si>
    <t>AIRI</t>
  </si>
  <si>
    <t>Newmarket-Tay Power</t>
  </si>
  <si>
    <t>Milton Hydro Distribution Inc.</t>
  </si>
  <si>
    <t>May  1</t>
  </si>
  <si>
    <t>Milton Hydro</t>
  </si>
  <si>
    <t>Midland Power Utility Corporation</t>
  </si>
  <si>
    <t>Midland Power</t>
  </si>
  <si>
    <t>London Hydro Inc.</t>
  </si>
  <si>
    <t>London Hydro</t>
  </si>
  <si>
    <t>Lakeland Power Distribution Ltd.</t>
  </si>
  <si>
    <t>Lakeland Power</t>
  </si>
  <si>
    <t>Lakefront Utilities Inc.</t>
  </si>
  <si>
    <t>Lakefront Utilities</t>
  </si>
  <si>
    <t>Kitchener-Wilmot Hydro Inc.</t>
  </si>
  <si>
    <t>Kitchener Wilmot Hydro</t>
  </si>
  <si>
    <t>Kingston Hydro Corporation</t>
  </si>
  <si>
    <t>CIR-Settled</t>
  </si>
  <si>
    <t>Kingston Hydro</t>
  </si>
  <si>
    <t>Kenora Hydro Electric Corporation Ltd.</t>
  </si>
  <si>
    <t>Kenora Hydro</t>
  </si>
  <si>
    <t>Kashechewan Power</t>
  </si>
  <si>
    <t>Innpower Corporation</t>
  </si>
  <si>
    <t>InnPower</t>
  </si>
  <si>
    <t>Hydro Ottawa Limited</t>
  </si>
  <si>
    <t>Hydro Ottawa</t>
  </si>
  <si>
    <t>HORC - Standard A Res Air Access</t>
  </si>
  <si>
    <t>Hydro One Remote Communities</t>
  </si>
  <si>
    <t>Hydro One Networks (UR)</t>
  </si>
  <si>
    <t>Hydro One Networks (Seas)</t>
  </si>
  <si>
    <t>Hydro One Networks (R2)</t>
  </si>
  <si>
    <t>Hydro One Networks Inc.</t>
  </si>
  <si>
    <t>Hydro One Networks (R1)</t>
  </si>
  <si>
    <t>Hydro One Brampton Networks Inc.</t>
  </si>
  <si>
    <t>Hydro One Brampton</t>
  </si>
  <si>
    <t>Hydro Hawkesbury Inc.</t>
  </si>
  <si>
    <t>Hydro Hawkesbury</t>
  </si>
  <si>
    <t>Hydro 2000 Inc.</t>
  </si>
  <si>
    <t>Hydro 2000</t>
  </si>
  <si>
    <t>Horizon Utilities Corporation</t>
  </si>
  <si>
    <t>Horizon Utilities</t>
  </si>
  <si>
    <t>Hearst Power Distribution Company Limited</t>
  </si>
  <si>
    <t>Hearst Power</t>
  </si>
  <si>
    <t>Halton Hills Hydro Inc.</t>
  </si>
  <si>
    <t>Halton Hills Hydro</t>
  </si>
  <si>
    <t>Haldimand County Hydro Inc.</t>
  </si>
  <si>
    <t>Haldimand County Hydro</t>
  </si>
  <si>
    <t>Guelph Hydro Electric Systems Inc.</t>
  </si>
  <si>
    <t>Guelph Hydro</t>
  </si>
  <si>
    <t>Grimsby Power Incorporated</t>
  </si>
  <si>
    <t>Sep 1</t>
  </si>
  <si>
    <t>Grimsby Power</t>
  </si>
  <si>
    <t>Greater Sudbury Hydro Inc.</t>
  </si>
  <si>
    <t>Greater Sudbury Hydro</t>
  </si>
  <si>
    <t>Fort Frances Power Corporation</t>
  </si>
  <si>
    <t>Fort Frances Power</t>
  </si>
  <si>
    <t>Fort Albany Power</t>
  </si>
  <si>
    <t>Festival Hydro Inc.</t>
  </si>
  <si>
    <t>Festival Hydro</t>
  </si>
  <si>
    <t>Essex Powerlines Corporation</t>
  </si>
  <si>
    <t>Essex Powerlines</t>
  </si>
  <si>
    <t>Espanola Regional Hydro Distribution Corporation</t>
  </si>
  <si>
    <t>No</t>
  </si>
  <si>
    <t>Espanola Regional Hydro</t>
  </si>
  <si>
    <t>-</t>
  </si>
  <si>
    <t>Erie Thames Powerlines-Clinton</t>
  </si>
  <si>
    <t>Erie Thames Powerlines Corporation</t>
  </si>
  <si>
    <t>Erie Thames Powerlines</t>
  </si>
  <si>
    <t>EnWin Utilities Ltd.</t>
  </si>
  <si>
    <t>AIRI-DA</t>
  </si>
  <si>
    <t>EnWin</t>
  </si>
  <si>
    <t>Entegrus Powerlines (Newbury)</t>
  </si>
  <si>
    <t>Entegrus Powerlines (Dutton)</t>
  </si>
  <si>
    <t>Entegrus Powerlines (Middlesex)</t>
  </si>
  <si>
    <t>Entegrus Powerlines Inc.</t>
  </si>
  <si>
    <t>Entegrus Powerlines (CK Hydro)</t>
  </si>
  <si>
    <t>Enersource Hydro Mississauga Inc.</t>
  </si>
  <si>
    <t>Enersource Hydro</t>
  </si>
  <si>
    <t>E.L.K. Energy Inc.</t>
  </si>
  <si>
    <t>ELK Energy</t>
  </si>
  <si>
    <t>July 1</t>
  </si>
  <si>
    <t>Cornwall Electric - rural and farm</t>
  </si>
  <si>
    <t>Cornwall Electric - residential urban</t>
  </si>
  <si>
    <t>Cooperative Hydro Embrun Inc.</t>
  </si>
  <si>
    <t>Coop Hydro Embrun</t>
  </si>
  <si>
    <t>COLLUS PowerStream Corp.</t>
  </si>
  <si>
    <t>COLLUS PowerStream</t>
  </si>
  <si>
    <t>Chapleau Public Utilities Corporation</t>
  </si>
  <si>
    <t>Chapleau PUC</t>
  </si>
  <si>
    <t>Centre Wellington Hydro Ltd.</t>
  </si>
  <si>
    <t>Centre Wellington</t>
  </si>
  <si>
    <t>CNP (Port Colborne)</t>
  </si>
  <si>
    <t>CNP (Fort Erie)</t>
  </si>
  <si>
    <t>Canadian Niagara Power Inc.</t>
  </si>
  <si>
    <t>CNP (EOP)</t>
  </si>
  <si>
    <t>Cambridge and North Dumfries Hydro Inc.</t>
  </si>
  <si>
    <t>Cambridge and N. Dumfries Hydro-Energy+</t>
  </si>
  <si>
    <t>Burlington Hydro Inc.</t>
  </si>
  <si>
    <t>Brantford Power Inc.</t>
  </si>
  <si>
    <t>Brantford Power</t>
  </si>
  <si>
    <t>Brant County Power Inc.</t>
  </si>
  <si>
    <t>Brant County Power-Energy+</t>
  </si>
  <si>
    <t>Bluewater Power Distribution Corporation</t>
  </si>
  <si>
    <t>Bluewater Power</t>
  </si>
  <si>
    <t>Attawapiskat Power</t>
  </si>
  <si>
    <t>Atikokan Hydro Inc.</t>
  </si>
  <si>
    <t>Atikokan Hydro</t>
  </si>
  <si>
    <t>Algoma Power Inc.</t>
  </si>
  <si>
    <t>Algoma Power</t>
  </si>
  <si>
    <t>Res Cust 2014</t>
  </si>
  <si>
    <t>Secondary LF</t>
  </si>
  <si>
    <t>Delivery</t>
  </si>
  <si>
    <t>Line Loss</t>
  </si>
  <si>
    <t>Retail Tx</t>
  </si>
  <si>
    <t>Total Dx $</t>
  </si>
  <si>
    <t>Variable</t>
  </si>
  <si>
    <t>Monthly Fixed</t>
  </si>
  <si>
    <t>Dec&amp;RO</t>
  </si>
  <si>
    <t>Effective</t>
  </si>
  <si>
    <t>% of total</t>
  </si>
  <si>
    <t>LDC</t>
  </si>
  <si>
    <t>Avg</t>
  </si>
  <si>
    <t>kWh</t>
  </si>
  <si>
    <t>On-Peak</t>
  </si>
  <si>
    <t>same as BI report @750</t>
  </si>
  <si>
    <t>DISTRIBUTION RATES 2016</t>
  </si>
  <si>
    <t>Mid-Peak</t>
  </si>
  <si>
    <t>May-01-2016</t>
  </si>
  <si>
    <t>Off-Peak</t>
  </si>
  <si>
    <t>TOU May 1, 2016, extended for Nov'16-Apr'17</t>
  </si>
  <si>
    <t>Total Delivery</t>
  </si>
  <si>
    <t>Other Delivery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</si>
</sst>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FF0000"/>
      <name val="Wingdings"/>
      <charset val="2"/>
    </font>
    <font>
      <sz val="14"/>
      <color rgb="FF00B050"/>
      <name val="Wingdings"/>
      <charset val="2"/>
    </font>
    <font>
      <sz val="14"/>
      <color rgb="FFFF0000"/>
      <name val="Stencil"/>
      <family val="5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50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/>
    <xf numFmtId="0" fontId="2" fillId="2" borderId="0" xfId="0" applyFont="1" applyFill="1"/>
    <xf numFmtId="164" fontId="0" fillId="2" borderId="0" xfId="0" applyNumberFormat="1" applyFill="1"/>
    <xf numFmtId="0" fontId="3" fillId="0" borderId="0" xfId="0" applyFont="1"/>
    <xf numFmtId="0" fontId="0" fillId="2" borderId="0" xfId="0" applyFill="1" applyAlignment="1">
      <alignment horizontal="right"/>
    </xf>
    <xf numFmtId="0" fontId="0" fillId="2" borderId="0" xfId="0" quotePrefix="1" applyFill="1" applyAlignment="1">
      <alignment horizontal="right"/>
    </xf>
    <xf numFmtId="0" fontId="0" fillId="3" borderId="0" xfId="0" applyFill="1"/>
    <xf numFmtId="0" fontId="0" fillId="2" borderId="0" xfId="0" applyFill="1"/>
    <xf numFmtId="0" fontId="4" fillId="0" borderId="0" xfId="0" applyFont="1"/>
    <xf numFmtId="0" fontId="2" fillId="0" borderId="0" xfId="0" applyFont="1" applyFill="1"/>
    <xf numFmtId="164" fontId="0" fillId="0" borderId="0" xfId="0" applyNumberFormat="1" applyFill="1"/>
    <xf numFmtId="0" fontId="4" fillId="0" borderId="0" xfId="0" applyFont="1" applyFill="1"/>
    <xf numFmtId="0" fontId="0" fillId="0" borderId="0" xfId="0" applyFill="1" applyAlignment="1">
      <alignment horizontal="right"/>
    </xf>
    <xf numFmtId="0" fontId="0" fillId="0" borderId="0" xfId="0" quotePrefix="1" applyAlignment="1">
      <alignment horizontal="right"/>
    </xf>
    <xf numFmtId="0" fontId="2" fillId="3" borderId="0" xfId="0" applyFont="1" applyFill="1"/>
    <xf numFmtId="164" fontId="0" fillId="3" borderId="0" xfId="0" applyNumberFormat="1" applyFill="1"/>
    <xf numFmtId="0" fontId="3" fillId="3" borderId="0" xfId="0" applyFont="1" applyFill="1"/>
    <xf numFmtId="0" fontId="0" fillId="3" borderId="0" xfId="0" applyFill="1" applyAlignment="1">
      <alignment horizontal="right"/>
    </xf>
    <xf numFmtId="0" fontId="0" fillId="3" borderId="0" xfId="0" quotePrefix="1" applyFill="1" applyAlignment="1">
      <alignment horizontal="right"/>
    </xf>
    <xf numFmtId="0" fontId="0" fillId="4" borderId="0" xfId="0" applyFill="1"/>
    <xf numFmtId="16" fontId="0" fillId="2" borderId="0" xfId="0" quotePrefix="1" applyNumberFormat="1" applyFill="1" applyAlignment="1">
      <alignment horizontal="right"/>
    </xf>
    <xf numFmtId="0" fontId="2" fillId="5" borderId="0" xfId="0" applyFont="1" applyFill="1"/>
    <xf numFmtId="164" fontId="0" fillId="5" borderId="0" xfId="0" applyNumberFormat="1" applyFill="1"/>
    <xf numFmtId="0" fontId="0" fillId="5" borderId="0" xfId="0" applyFill="1" applyAlignment="1">
      <alignment horizontal="right"/>
    </xf>
    <xf numFmtId="0" fontId="0" fillId="5" borderId="0" xfId="0" quotePrefix="1" applyFill="1" applyAlignment="1">
      <alignment horizontal="right"/>
    </xf>
    <xf numFmtId="0" fontId="0" fillId="5" borderId="0" xfId="0" applyFill="1"/>
    <xf numFmtId="0" fontId="0" fillId="4" borderId="0" xfId="0" quotePrefix="1" applyFill="1" applyAlignment="1">
      <alignment horizontal="right"/>
    </xf>
    <xf numFmtId="16" fontId="0" fillId="4" borderId="0" xfId="0" quotePrefix="1" applyNumberFormat="1" applyFill="1" applyAlignment="1">
      <alignment horizontal="right"/>
    </xf>
    <xf numFmtId="0" fontId="3" fillId="5" borderId="0" xfId="0" applyFont="1" applyFill="1"/>
    <xf numFmtId="164" fontId="0" fillId="4" borderId="0" xfId="0" applyNumberFormat="1" applyFill="1"/>
    <xf numFmtId="16" fontId="0" fillId="5" borderId="0" xfId="0" quotePrefix="1" applyNumberFormat="1" applyFill="1" applyAlignment="1">
      <alignment horizontal="right"/>
    </xf>
    <xf numFmtId="0" fontId="5" fillId="5" borderId="0" xfId="0" applyFont="1" applyFill="1" applyAlignment="1">
      <alignment horizontal="center"/>
    </xf>
    <xf numFmtId="0" fontId="4" fillId="5" borderId="0" xfId="0" applyFont="1" applyFill="1"/>
    <xf numFmtId="1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/>
    <xf numFmtId="0" fontId="7" fillId="0" borderId="0" xfId="0" applyFont="1"/>
    <xf numFmtId="165" fontId="0" fillId="0" borderId="0" xfId="0" applyNumberFormat="1"/>
    <xf numFmtId="9" fontId="0" fillId="0" borderId="0" xfId="1" applyNumberFormat="1" applyFont="1"/>
    <xf numFmtId="0" fontId="0" fillId="6" borderId="0" xfId="0" applyFill="1"/>
    <xf numFmtId="0" fontId="9" fillId="0" borderId="0" xfId="2" applyFont="1"/>
    <xf numFmtId="16" fontId="0" fillId="0" borderId="0" xfId="0" applyNumberFormat="1"/>
    <xf numFmtId="0" fontId="10" fillId="5" borderId="0" xfId="0" applyFont="1" applyFill="1"/>
    <xf numFmtId="0" fontId="0" fillId="0" borderId="1" xfId="0" applyBorder="1" applyAlignment="1">
      <alignment horizontal="center"/>
    </xf>
    <xf numFmtId="164" fontId="0" fillId="0" borderId="0" xfId="0" applyNumberFormat="1" applyFont="1" applyBorder="1"/>
  </cellXfs>
  <cellStyles count="3">
    <cellStyle name="Normal" xfId="0" builtinId="0"/>
    <cellStyle name="Normal 2" xfId="2"/>
    <cellStyle name="Percent" xfId="1" builtinId="5"/>
  </cellStyles>
  <dxfs count="6"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F7" totalsRowShown="0" tableBorderDxfId="5">
  <tableColumns count="6">
    <tableColumn id="1" name=" "/>
    <tableColumn id="2" name="Other Delivery Charges" dataDxfId="4"/>
    <tableColumn id="3" name="Distribution Cost" dataDxfId="3"/>
    <tableColumn id="4" name="Harmonized Fixed Rate Benefit" dataDxfId="2"/>
    <tableColumn id="6" name="Accelerated Fixed Rate Benefit" dataDxfId="1"/>
    <tableColumn id="7" name="Total Deliver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F28" sqref="F28"/>
    </sheetView>
  </sheetViews>
  <sheetFormatPr defaultRowHeight="15" x14ac:dyDescent="0.25"/>
  <cols>
    <col min="1" max="1" width="27.28515625" customWidth="1"/>
    <col min="2" max="2" width="23.140625" customWidth="1"/>
    <col min="3" max="3" width="27.140625" bestFit="1" customWidth="1"/>
    <col min="4" max="4" width="13.5703125" customWidth="1"/>
    <col min="5" max="5" width="13.7109375" customWidth="1"/>
    <col min="6" max="6" width="16.140625" customWidth="1"/>
  </cols>
  <sheetData>
    <row r="1" spans="1:7" x14ac:dyDescent="0.25">
      <c r="A1" s="1" t="s">
        <v>0</v>
      </c>
      <c r="B1" s="1" t="s">
        <v>221</v>
      </c>
      <c r="C1" s="1" t="s">
        <v>7</v>
      </c>
      <c r="D1" t="s">
        <v>8</v>
      </c>
      <c r="E1" t="s">
        <v>9</v>
      </c>
      <c r="F1" t="s">
        <v>220</v>
      </c>
    </row>
    <row r="2" spans="1:7" customFormat="1" x14ac:dyDescent="0.25">
      <c r="A2" s="1" t="s">
        <v>1</v>
      </c>
      <c r="B2" s="3"/>
      <c r="C2" s="2"/>
      <c r="D2" s="3"/>
      <c r="E2" s="3"/>
      <c r="F2" s="3">
        <v>55.74</v>
      </c>
    </row>
    <row r="3" spans="1:7" customFormat="1" x14ac:dyDescent="0.25">
      <c r="A3" s="1" t="s">
        <v>2</v>
      </c>
      <c r="B3" s="3">
        <v>10.47</v>
      </c>
      <c r="C3" s="2">
        <v>45.27</v>
      </c>
      <c r="D3" s="3"/>
      <c r="E3" s="3"/>
      <c r="F3" s="3"/>
    </row>
    <row r="4" spans="1:7" customFormat="1" x14ac:dyDescent="0.25">
      <c r="A4" s="1" t="s">
        <v>3</v>
      </c>
      <c r="B4" s="3"/>
      <c r="C4" s="2"/>
      <c r="D4" s="3"/>
      <c r="E4" s="3"/>
      <c r="F4" s="3">
        <v>77.72</v>
      </c>
    </row>
    <row r="5" spans="1:7" customFormat="1" x14ac:dyDescent="0.25">
      <c r="A5" s="1" t="s">
        <v>4</v>
      </c>
      <c r="B5" s="3">
        <v>20.95</v>
      </c>
      <c r="C5" s="49">
        <v>55.36</v>
      </c>
      <c r="D5" s="3"/>
      <c r="E5" s="3">
        <v>1.41</v>
      </c>
      <c r="F5" s="3"/>
    </row>
    <row r="6" spans="1:7" customFormat="1" x14ac:dyDescent="0.25">
      <c r="A6" t="s">
        <v>5</v>
      </c>
      <c r="B6" s="3"/>
      <c r="C6" s="3"/>
      <c r="D6" s="3"/>
      <c r="E6" s="3"/>
      <c r="F6" s="3">
        <v>143.63</v>
      </c>
    </row>
    <row r="7" spans="1:7" customFormat="1" x14ac:dyDescent="0.25">
      <c r="A7" t="s">
        <v>6</v>
      </c>
      <c r="B7" s="3">
        <v>52.36</v>
      </c>
      <c r="C7" s="2">
        <v>55.36</v>
      </c>
      <c r="D7" s="3"/>
      <c r="E7" s="3">
        <v>35.909999999999997</v>
      </c>
      <c r="F7" s="3"/>
    </row>
    <row r="8" spans="1:7" customFormat="1" x14ac:dyDescent="0.25"/>
    <row r="9" spans="1:7" customFormat="1" x14ac:dyDescent="0.25"/>
    <row r="10" spans="1:7" customFormat="1" x14ac:dyDescent="0.25"/>
    <row r="11" spans="1:7" customFormat="1" x14ac:dyDescent="0.25"/>
    <row r="12" spans="1:7" customFormat="1" x14ac:dyDescent="0.25"/>
    <row r="17" spans="1:7" x14ac:dyDescent="0.25">
      <c r="A17" s="1"/>
      <c r="B17" s="1"/>
    </row>
    <row r="18" spans="1:7" x14ac:dyDescent="0.25">
      <c r="A18" s="1"/>
      <c r="B18" s="2"/>
      <c r="C18" s="3"/>
      <c r="D18" s="3"/>
      <c r="E18" s="3"/>
    </row>
    <row r="19" spans="1:7" customFormat="1" x14ac:dyDescent="0.25">
      <c r="A19" s="1"/>
      <c r="B19" s="2"/>
      <c r="C19" s="3"/>
      <c r="D19" s="3"/>
      <c r="E19" s="3"/>
    </row>
    <row r="20" spans="1:7" customFormat="1" x14ac:dyDescent="0.25">
      <c r="A20" s="1"/>
      <c r="B20" s="2"/>
      <c r="C20" s="3"/>
      <c r="D20" s="3"/>
      <c r="E20" s="3"/>
    </row>
    <row r="21" spans="1:7" customFormat="1" x14ac:dyDescent="0.25">
      <c r="A21" s="1"/>
      <c r="B21" s="2"/>
      <c r="C21" s="3"/>
      <c r="D21" s="3"/>
      <c r="E21" s="3"/>
    </row>
    <row r="22" spans="1:7" customFormat="1" x14ac:dyDescent="0.25">
      <c r="B22" s="3"/>
      <c r="C22" s="3"/>
      <c r="D22" s="3"/>
      <c r="E22" s="3"/>
    </row>
    <row r="23" spans="1:7" customFormat="1" x14ac:dyDescent="0.25">
      <c r="B23" s="2"/>
      <c r="C23" s="3"/>
      <c r="D23" s="3"/>
      <c r="E23" s="3"/>
    </row>
    <row r="24" spans="1:7" customFormat="1" x14ac:dyDescent="0.25"/>
    <row r="25" spans="1:7" customFormat="1" x14ac:dyDescent="0.25"/>
    <row r="26" spans="1:7" customFormat="1" x14ac:dyDescent="0.25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10"/>
  <sheetViews>
    <sheetView zoomScale="90" zoomScaleNormal="90" workbookViewId="0">
      <pane xSplit="5" ySplit="7" topLeftCell="F44" activePane="bottomRight" state="frozen"/>
      <selection pane="topRight" activeCell="D1" sqref="D1"/>
      <selection pane="bottomLeft" activeCell="A8" sqref="A8"/>
      <selection pane="bottomRight" activeCell="A49" sqref="A49:XFD49"/>
    </sheetView>
  </sheetViews>
  <sheetFormatPr defaultRowHeight="15" x14ac:dyDescent="0.25"/>
  <cols>
    <col min="1" max="1" width="3.140625" customWidth="1"/>
    <col min="2" max="2" width="39.7109375" customWidth="1"/>
    <col min="3" max="3" width="7.7109375" bestFit="1" customWidth="1"/>
    <col min="4" max="4" width="7.7109375" customWidth="1"/>
    <col min="5" max="5" width="9" bestFit="1" customWidth="1"/>
    <col min="6" max="6" width="13.85546875" bestFit="1" customWidth="1"/>
    <col min="7" max="7" width="8.42578125" bestFit="1" customWidth="1"/>
    <col min="8" max="8" width="9.7109375" customWidth="1"/>
    <col min="9" max="9" width="4" customWidth="1"/>
    <col min="11" max="11" width="17.42578125" bestFit="1" customWidth="1"/>
    <col min="12" max="12" width="17.42578125" customWidth="1"/>
    <col min="13" max="13" width="19.5703125" customWidth="1"/>
    <col min="14" max="14" width="9.140625" customWidth="1"/>
    <col min="15" max="15" width="11" bestFit="1" customWidth="1"/>
    <col min="19" max="19" width="46.28515625" bestFit="1" customWidth="1"/>
    <col min="20" max="20" width="13.28515625" bestFit="1" customWidth="1"/>
  </cols>
  <sheetData>
    <row r="1" spans="1:20" customFormat="1" x14ac:dyDescent="0.25">
      <c r="N1" s="47" t="s">
        <v>219</v>
      </c>
      <c r="O1" s="30"/>
      <c r="P1" s="30"/>
      <c r="Q1" s="30"/>
    </row>
    <row r="2" spans="1:20" customFormat="1" x14ac:dyDescent="0.25">
      <c r="N2" t="s">
        <v>218</v>
      </c>
      <c r="O2" s="42">
        <v>8.6999999999999994E-2</v>
      </c>
      <c r="P2" s="43">
        <v>0.65</v>
      </c>
      <c r="Q2" s="42"/>
    </row>
    <row r="3" spans="1:20" customFormat="1" x14ac:dyDescent="0.25">
      <c r="B3" s="46" t="s">
        <v>217</v>
      </c>
      <c r="N3" t="s">
        <v>216</v>
      </c>
      <c r="O3" s="42">
        <v>0.13200000000000001</v>
      </c>
      <c r="P3" s="43">
        <v>0.17</v>
      </c>
      <c r="Q3" s="42"/>
    </row>
    <row r="4" spans="1:20" customFormat="1" ht="21" x14ac:dyDescent="0.35">
      <c r="B4" s="45" t="s">
        <v>215</v>
      </c>
      <c r="I4" s="13" t="s">
        <v>23</v>
      </c>
      <c r="J4" s="44" t="s">
        <v>214</v>
      </c>
      <c r="K4" s="44"/>
      <c r="N4" t="s">
        <v>213</v>
      </c>
      <c r="O4" s="42">
        <v>0.18</v>
      </c>
      <c r="P4" s="43">
        <v>0.18</v>
      </c>
      <c r="Q4" s="42"/>
    </row>
    <row r="5" spans="1:20" customFormat="1" x14ac:dyDescent="0.25">
      <c r="B5" t="str">
        <f>CONCATENATE("Residential @ ",F5,"kWh/month")</f>
        <v>Residential @ 2500kWh/month</v>
      </c>
      <c r="F5" s="4">
        <v>2500</v>
      </c>
      <c r="G5" t="s">
        <v>212</v>
      </c>
      <c r="N5" t="s">
        <v>211</v>
      </c>
      <c r="O5" s="42">
        <f>P2*O2+P3*O3+P4*O4</f>
        <v>0.11139</v>
      </c>
      <c r="P5" s="42"/>
      <c r="Q5" s="42"/>
    </row>
    <row r="6" spans="1:20" customFormat="1" ht="19.5" thickBot="1" x14ac:dyDescent="0.35">
      <c r="B6" s="41" t="s">
        <v>210</v>
      </c>
      <c r="F6" s="48"/>
      <c r="G6" s="48"/>
      <c r="H6" s="48"/>
      <c r="O6" t="s">
        <v>209</v>
      </c>
    </row>
    <row r="7" spans="1:20" customFormat="1" ht="18.75" x14ac:dyDescent="0.3">
      <c r="B7" s="41"/>
      <c r="D7" s="4" t="s">
        <v>208</v>
      </c>
      <c r="E7" s="4" t="s">
        <v>207</v>
      </c>
      <c r="F7" s="40" t="s">
        <v>206</v>
      </c>
      <c r="G7" s="40" t="s">
        <v>205</v>
      </c>
      <c r="H7" s="40" t="s">
        <v>204</v>
      </c>
      <c r="J7" s="4" t="s">
        <v>203</v>
      </c>
      <c r="K7" s="4" t="s">
        <v>202</v>
      </c>
      <c r="L7" s="4" t="s">
        <v>201</v>
      </c>
      <c r="M7" s="39" t="s">
        <v>200</v>
      </c>
      <c r="N7">
        <v>500</v>
      </c>
      <c r="O7" s="38">
        <v>1000</v>
      </c>
      <c r="T7" s="4" t="s">
        <v>199</v>
      </c>
    </row>
    <row r="8" spans="1:20" customFormat="1" ht="18" x14ac:dyDescent="0.25">
      <c r="A8" s="12">
        <v>1</v>
      </c>
      <c r="B8" s="12" t="s">
        <v>198</v>
      </c>
      <c r="C8" s="12" t="s">
        <v>24</v>
      </c>
      <c r="D8" s="25" t="s">
        <v>19</v>
      </c>
      <c r="E8" s="9" t="s">
        <v>18</v>
      </c>
      <c r="F8" s="7">
        <f>27.76+0.79</f>
        <v>28.55</v>
      </c>
      <c r="G8" s="7">
        <f>$F$5*(0.0288-0.0019)</f>
        <v>67.25</v>
      </c>
      <c r="H8" s="7">
        <f>F8+G8</f>
        <v>95.8</v>
      </c>
      <c r="I8" s="13" t="s">
        <v>23</v>
      </c>
      <c r="J8" s="7">
        <f>(0.007+0.0051)*$F$5*M8</f>
        <v>33.023924999999998</v>
      </c>
      <c r="K8" s="7">
        <f>(M8*$F$5-$F$5)*$O$5</f>
        <v>25.536157499999948</v>
      </c>
      <c r="L8" s="7">
        <f>H8+J8+K8</f>
        <v>154.36008249999995</v>
      </c>
      <c r="M8" s="6">
        <v>1.0916999999999999</v>
      </c>
      <c r="S8" t="s">
        <v>197</v>
      </c>
      <c r="T8">
        <v>11607</v>
      </c>
    </row>
    <row r="9" spans="1:20" customFormat="1" ht="18" x14ac:dyDescent="0.25">
      <c r="A9" s="12">
        <v>2</v>
      </c>
      <c r="B9" s="12" t="s">
        <v>196</v>
      </c>
      <c r="C9" s="12" t="s">
        <v>91</v>
      </c>
      <c r="D9" s="10" t="s">
        <v>27</v>
      </c>
      <c r="E9" s="9" t="s">
        <v>18</v>
      </c>
      <c r="F9" s="7">
        <f>36.95+1.06+0.79</f>
        <v>38.800000000000004</v>
      </c>
      <c r="G9" s="7">
        <f>$F$5*(0.0104+0.0008)</f>
        <v>28</v>
      </c>
      <c r="H9" s="7">
        <f>F9+G9</f>
        <v>66.800000000000011</v>
      </c>
      <c r="I9" s="13" t="s">
        <v>23</v>
      </c>
      <c r="J9" s="7">
        <f>(0.0046+0.0035)*$F$5*M9</f>
        <v>21.825450000000004</v>
      </c>
      <c r="K9" s="7">
        <f>(M9*$F$5-$F$5)*$O$5</f>
        <v>21.665355000000051</v>
      </c>
      <c r="L9" s="7">
        <f>H9+J9+K9</f>
        <v>110.29080500000006</v>
      </c>
      <c r="M9" s="6">
        <v>1.0778000000000001</v>
      </c>
      <c r="S9" t="s">
        <v>195</v>
      </c>
      <c r="T9">
        <v>1408</v>
      </c>
    </row>
    <row r="10" spans="1:20" customFormat="1" ht="18" x14ac:dyDescent="0.25">
      <c r="A10" s="11">
        <v>3</v>
      </c>
      <c r="B10" s="11" t="s">
        <v>194</v>
      </c>
      <c r="C10" s="11"/>
      <c r="D10" s="22"/>
      <c r="E10" s="22"/>
      <c r="F10" s="15"/>
      <c r="G10" s="15"/>
      <c r="H10" s="15"/>
      <c r="I10" s="16"/>
      <c r="J10" s="5"/>
      <c r="K10" s="5"/>
      <c r="L10" s="5"/>
      <c r="M10" s="5"/>
      <c r="T10">
        <v>32215</v>
      </c>
    </row>
    <row r="11" spans="1:20" customFormat="1" ht="18" x14ac:dyDescent="0.25">
      <c r="A11" s="12">
        <v>4</v>
      </c>
      <c r="B11" s="12" t="s">
        <v>193</v>
      </c>
      <c r="C11" s="12" t="s">
        <v>24</v>
      </c>
      <c r="D11" s="10" t="s">
        <v>27</v>
      </c>
      <c r="E11" s="9" t="s">
        <v>18</v>
      </c>
      <c r="F11" s="7">
        <f>19.87+0.79</f>
        <v>20.66</v>
      </c>
      <c r="G11" s="7">
        <f>$F$5*(0.0166+0.0002+0.0002-0.0002)</f>
        <v>42</v>
      </c>
      <c r="H11" s="7">
        <f t="shared" ref="H11:H19" si="0">F11+G11</f>
        <v>62.66</v>
      </c>
      <c r="I11" s="13" t="s">
        <v>23</v>
      </c>
      <c r="J11" s="7">
        <f>(0.0066+0.0058)*$F$5*M11</f>
        <v>32.305100000000003</v>
      </c>
      <c r="K11" s="7">
        <f t="shared" ref="K11:K19" si="1">(M11*$F$5-$F$5)*$O$5</f>
        <v>11.7237975</v>
      </c>
      <c r="L11" s="7">
        <f t="shared" ref="L11:L19" si="2">H11+J11+K11</f>
        <v>106.68889750000001</v>
      </c>
      <c r="M11" s="6">
        <v>1.0421</v>
      </c>
      <c r="S11" t="s">
        <v>192</v>
      </c>
      <c r="T11">
        <v>8569</v>
      </c>
    </row>
    <row r="12" spans="1:20" customFormat="1" ht="18" x14ac:dyDescent="0.25">
      <c r="A12" s="12">
        <v>5</v>
      </c>
      <c r="B12" s="12" t="s">
        <v>191</v>
      </c>
      <c r="C12" s="12" t="s">
        <v>91</v>
      </c>
      <c r="D12" s="10" t="s">
        <v>27</v>
      </c>
      <c r="E12" s="9" t="s">
        <v>18</v>
      </c>
      <c r="F12" s="7">
        <f>15.59-0.04+1.75+0.79</f>
        <v>18.09</v>
      </c>
      <c r="G12" s="7">
        <f>$F$5*(0.0158+0.0021+0.0024)</f>
        <v>50.750000000000007</v>
      </c>
      <c r="H12" s="7">
        <f t="shared" si="0"/>
        <v>68.84</v>
      </c>
      <c r="I12" s="13" t="s">
        <v>23</v>
      </c>
      <c r="J12" s="7">
        <f>(0.0061+0.0031)*$F$5*M12</f>
        <v>24.138500000000001</v>
      </c>
      <c r="K12" s="7">
        <f t="shared" si="1"/>
        <v>13.784512500000051</v>
      </c>
      <c r="L12" s="7">
        <f t="shared" si="2"/>
        <v>106.76301250000004</v>
      </c>
      <c r="M12" s="6">
        <v>1.0495000000000001</v>
      </c>
      <c r="S12" t="s">
        <v>190</v>
      </c>
      <c r="T12">
        <v>35576</v>
      </c>
    </row>
    <row r="13" spans="1:20" customFormat="1" ht="18" x14ac:dyDescent="0.25">
      <c r="A13" s="12">
        <v>6</v>
      </c>
      <c r="B13" s="12" t="s">
        <v>189</v>
      </c>
      <c r="C13" s="12" t="s">
        <v>28</v>
      </c>
      <c r="D13" s="10" t="s">
        <v>19</v>
      </c>
      <c r="E13" s="9" t="s">
        <v>18</v>
      </c>
      <c r="F13" s="7">
        <f>14.64+0.04-0.48+1.47+0.79</f>
        <v>16.46</v>
      </c>
      <c r="G13" s="7">
        <f>$F$5*(0.011+0.0005-0.0017)</f>
        <v>24.5</v>
      </c>
      <c r="H13" s="7">
        <f t="shared" si="0"/>
        <v>40.96</v>
      </c>
      <c r="I13" s="13" t="s">
        <v>23</v>
      </c>
      <c r="J13" s="7">
        <f>(0.0082+0.0056)*$F$5*M13</f>
        <v>35.704049999999995</v>
      </c>
      <c r="K13" s="7">
        <f t="shared" si="1"/>
        <v>9.7187774999999998</v>
      </c>
      <c r="L13" s="7">
        <f t="shared" si="2"/>
        <v>86.382827500000005</v>
      </c>
      <c r="M13" s="6">
        <v>1.0348999999999999</v>
      </c>
      <c r="S13" t="s">
        <v>188</v>
      </c>
      <c r="T13">
        <v>60095</v>
      </c>
    </row>
    <row r="14" spans="1:20" customFormat="1" ht="18" x14ac:dyDescent="0.25">
      <c r="A14" s="12">
        <v>7</v>
      </c>
      <c r="B14" s="12" t="s">
        <v>187</v>
      </c>
      <c r="C14" s="12" t="s">
        <v>28</v>
      </c>
      <c r="D14" s="10" t="s">
        <v>27</v>
      </c>
      <c r="E14" s="9" t="s">
        <v>18</v>
      </c>
      <c r="F14" s="7">
        <f>15.46+0.79+0.02</f>
        <v>16.27</v>
      </c>
      <c r="G14" s="7">
        <f>$F$5*(0.0125+0.001)</f>
        <v>33.750000000000007</v>
      </c>
      <c r="H14" s="7">
        <f t="shared" si="0"/>
        <v>50.02000000000001</v>
      </c>
      <c r="I14" s="13" t="s">
        <v>23</v>
      </c>
      <c r="J14" s="7">
        <f>(0.007+0.0061)*$F$5*M14</f>
        <v>33.981400000000001</v>
      </c>
      <c r="K14" s="7">
        <f t="shared" si="1"/>
        <v>10.470660000000001</v>
      </c>
      <c r="L14" s="7">
        <f t="shared" si="2"/>
        <v>94.472060000000013</v>
      </c>
      <c r="M14" s="6">
        <v>1.0376000000000001</v>
      </c>
      <c r="S14" t="s">
        <v>187</v>
      </c>
      <c r="T14">
        <v>47143</v>
      </c>
    </row>
    <row r="15" spans="1:20" customFormat="1" ht="18" x14ac:dyDescent="0.25">
      <c r="A15" s="12">
        <v>8</v>
      </c>
      <c r="B15" s="12" t="s">
        <v>186</v>
      </c>
      <c r="C15" s="12" t="s">
        <v>28</v>
      </c>
      <c r="D15" s="10" t="s">
        <v>27</v>
      </c>
      <c r="E15" s="9" t="s">
        <v>18</v>
      </c>
      <c r="F15" s="7">
        <f>14.52+0.79</f>
        <v>15.309999999999999</v>
      </c>
      <c r="G15" s="7">
        <f>$F$5*(0.0137+0.0001+0.0003-0.0015)</f>
        <v>31.5</v>
      </c>
      <c r="H15" s="7">
        <f t="shared" si="0"/>
        <v>46.81</v>
      </c>
      <c r="I15" s="13" t="s">
        <v>23</v>
      </c>
      <c r="J15" s="7">
        <f>(0.0061+0.0041)*$F$5*M15</f>
        <v>26.354250000000008</v>
      </c>
      <c r="K15" s="7">
        <f t="shared" si="1"/>
        <v>9.3289124999999995</v>
      </c>
      <c r="L15" s="7">
        <f t="shared" si="2"/>
        <v>82.493162500000011</v>
      </c>
      <c r="M15" s="6">
        <v>1.0335000000000001</v>
      </c>
      <c r="S15" t="s">
        <v>185</v>
      </c>
      <c r="T15">
        <v>25896</v>
      </c>
    </row>
    <row r="16" spans="1:20" customFormat="1" ht="18" x14ac:dyDescent="0.25">
      <c r="A16" s="12">
        <v>9</v>
      </c>
      <c r="B16" s="12" t="s">
        <v>184</v>
      </c>
      <c r="C16" s="12" t="s">
        <v>28</v>
      </c>
      <c r="D16" s="10" t="s">
        <v>19</v>
      </c>
      <c r="E16" s="9" t="s">
        <v>18</v>
      </c>
      <c r="F16" s="7">
        <f>23.44+0.79</f>
        <v>24.23</v>
      </c>
      <c r="G16" s="7">
        <f>$F$5*(0.0152+0.0002+0.0003-0.0027)</f>
        <v>32.5</v>
      </c>
      <c r="H16" s="7">
        <f t="shared" si="0"/>
        <v>56.730000000000004</v>
      </c>
      <c r="I16" s="13" t="s">
        <v>23</v>
      </c>
      <c r="J16" s="7">
        <f>(0.0072+0.0058)*$F$5*M16</f>
        <v>34.261499999999998</v>
      </c>
      <c r="K16" s="7">
        <f t="shared" si="1"/>
        <v>15.093345000000001</v>
      </c>
      <c r="L16" s="7">
        <f t="shared" si="2"/>
        <v>106.084845</v>
      </c>
      <c r="M16" s="6">
        <v>1.0542</v>
      </c>
      <c r="S16" t="s">
        <v>183</v>
      </c>
      <c r="T16">
        <v>5955</v>
      </c>
    </row>
    <row r="17" spans="1:20" customFormat="1" ht="18" x14ac:dyDescent="0.25">
      <c r="A17" s="12">
        <v>9</v>
      </c>
      <c r="B17" s="12" t="s">
        <v>182</v>
      </c>
      <c r="C17" s="12" t="s">
        <v>28</v>
      </c>
      <c r="D17" s="10" t="s">
        <v>19</v>
      </c>
      <c r="E17" s="9" t="s">
        <v>18</v>
      </c>
      <c r="F17" s="7">
        <f>23.44+0.79</f>
        <v>24.23</v>
      </c>
      <c r="G17" s="7">
        <f>$F$5*(0.0152+0.0002+0.0008-0.0004)</f>
        <v>39.499999999999993</v>
      </c>
      <c r="H17" s="7">
        <f t="shared" si="0"/>
        <v>63.72999999999999</v>
      </c>
      <c r="I17" s="13" t="s">
        <v>23</v>
      </c>
      <c r="J17" s="7">
        <f>(0.0072+0.0058)*$F$5*M17</f>
        <v>34.261499999999998</v>
      </c>
      <c r="K17" s="7">
        <f t="shared" si="1"/>
        <v>15.093345000000001</v>
      </c>
      <c r="L17" s="7">
        <f t="shared" si="2"/>
        <v>113.08484499999999</v>
      </c>
      <c r="M17" s="6">
        <v>1.0542</v>
      </c>
      <c r="T17">
        <v>1068</v>
      </c>
    </row>
    <row r="18" spans="1:20" customFormat="1" ht="18" x14ac:dyDescent="0.25">
      <c r="A18" s="12">
        <v>9</v>
      </c>
      <c r="B18" s="12" t="s">
        <v>181</v>
      </c>
      <c r="C18" s="12" t="s">
        <v>28</v>
      </c>
      <c r="D18" s="10" t="s">
        <v>19</v>
      </c>
      <c r="E18" s="9" t="s">
        <v>18</v>
      </c>
      <c r="F18" s="7">
        <f>23.44+0.79</f>
        <v>24.23</v>
      </c>
      <c r="G18" s="7">
        <f>$F$5*(0.0152+0.0002-0.0007-0.0013+0.0007)</f>
        <v>35.25</v>
      </c>
      <c r="H18" s="7">
        <f t="shared" si="0"/>
        <v>59.480000000000004</v>
      </c>
      <c r="I18" s="13" t="s">
        <v>23</v>
      </c>
      <c r="J18" s="7">
        <f>(0.0072+0.0058)*$F$5*M18</f>
        <v>34.261499999999998</v>
      </c>
      <c r="K18" s="7">
        <f t="shared" si="1"/>
        <v>15.093345000000001</v>
      </c>
      <c r="L18" s="7">
        <f t="shared" si="2"/>
        <v>108.834845</v>
      </c>
      <c r="M18" s="6">
        <v>1.0542</v>
      </c>
      <c r="T18">
        <v>14591</v>
      </c>
    </row>
    <row r="19" spans="1:20" customFormat="1" ht="18" x14ac:dyDescent="0.25">
      <c r="A19" s="12">
        <v>10</v>
      </c>
      <c r="B19" s="12" t="s">
        <v>180</v>
      </c>
      <c r="C19" s="12" t="s">
        <v>24</v>
      </c>
      <c r="D19" s="25" t="s">
        <v>27</v>
      </c>
      <c r="E19" s="9" t="s">
        <v>18</v>
      </c>
      <c r="F19" s="7">
        <f>18.3+0.79</f>
        <v>19.09</v>
      </c>
      <c r="G19" s="7">
        <f>$F$5*(0.011+0.0018)</f>
        <v>31.999999999999996</v>
      </c>
      <c r="H19" s="7">
        <f t="shared" si="0"/>
        <v>51.089999999999996</v>
      </c>
      <c r="I19" s="13" t="s">
        <v>23</v>
      </c>
      <c r="J19" s="7">
        <f>(0.0067+0.0053)*$F$5*M19</f>
        <v>31.491000000000003</v>
      </c>
      <c r="K19" s="7">
        <f t="shared" si="1"/>
        <v>13.8402075</v>
      </c>
      <c r="L19" s="7">
        <f t="shared" si="2"/>
        <v>96.421207500000008</v>
      </c>
      <c r="M19" s="6">
        <v>1.0497000000000001</v>
      </c>
      <c r="S19" t="s">
        <v>179</v>
      </c>
      <c r="T19">
        <v>1809</v>
      </c>
    </row>
    <row r="20" spans="1:20" customFormat="1" ht="18" x14ac:dyDescent="0.25">
      <c r="A20">
        <v>11</v>
      </c>
      <c r="B20" t="s">
        <v>178</v>
      </c>
      <c r="C20" s="30" t="s">
        <v>33</v>
      </c>
      <c r="D20" s="35" t="s">
        <v>27</v>
      </c>
      <c r="E20" s="17" t="s">
        <v>152</v>
      </c>
      <c r="F20" s="15"/>
      <c r="G20" s="15"/>
      <c r="H20" s="15"/>
      <c r="I20" s="16"/>
      <c r="J20" s="15"/>
      <c r="K20" s="15"/>
      <c r="L20" s="15"/>
      <c r="M20" s="14"/>
      <c r="S20" t="s">
        <v>177</v>
      </c>
      <c r="T20">
        <v>10852</v>
      </c>
    </row>
    <row r="21" spans="1:20" customFormat="1" ht="18" x14ac:dyDescent="0.25">
      <c r="A21" s="12">
        <v>12</v>
      </c>
      <c r="B21" s="12" t="s">
        <v>176</v>
      </c>
      <c r="C21" s="12" t="s">
        <v>28</v>
      </c>
      <c r="D21" s="25" t="s">
        <v>27</v>
      </c>
      <c r="E21" s="9" t="s">
        <v>18</v>
      </c>
      <c r="F21" s="7">
        <f>13.83+0.79+0.12</f>
        <v>14.74</v>
      </c>
      <c r="G21" s="7">
        <f>$F$5*(0.0152+0.0016)</f>
        <v>42</v>
      </c>
      <c r="H21" s="7">
        <f>F21+G21</f>
        <v>56.74</v>
      </c>
      <c r="I21" s="13" t="s">
        <v>23</v>
      </c>
      <c r="J21" s="7">
        <f>(0.0066+0.0038)*$F$5*M21</f>
        <v>27.846</v>
      </c>
      <c r="K21" s="7">
        <f>(M21*$F$5-$F$5)*$O$5</f>
        <v>19.771725</v>
      </c>
      <c r="L21" s="7">
        <f>H21+J21+K21</f>
        <v>104.357725</v>
      </c>
      <c r="M21" s="6">
        <v>1.071</v>
      </c>
      <c r="S21" t="s">
        <v>175</v>
      </c>
      <c r="T21">
        <v>179182</v>
      </c>
    </row>
    <row r="22" spans="1:20" customFormat="1" ht="18" x14ac:dyDescent="0.25">
      <c r="A22" s="12">
        <v>13</v>
      </c>
      <c r="B22" s="12" t="s">
        <v>174</v>
      </c>
      <c r="C22" s="12" t="s">
        <v>28</v>
      </c>
      <c r="D22" s="10" t="s">
        <v>19</v>
      </c>
      <c r="E22" s="9" t="s">
        <v>18</v>
      </c>
      <c r="F22" s="7">
        <f>18.25+0.79</f>
        <v>19.04</v>
      </c>
      <c r="G22" s="7">
        <f>$F$5*(0.0106+0.0018)</f>
        <v>31</v>
      </c>
      <c r="H22" s="7">
        <f>F22+G22</f>
        <v>50.04</v>
      </c>
      <c r="I22" s="13" t="s">
        <v>23</v>
      </c>
      <c r="J22" s="7">
        <f>(0.0068+0.0053)*$F$5*M22</f>
        <v>32.255575</v>
      </c>
      <c r="K22" s="7">
        <f>(M22*$F$5-$F$5)*$O$5</f>
        <v>18.462892499999999</v>
      </c>
      <c r="L22" s="7">
        <f>H22+J22+K22</f>
        <v>100.75846749999999</v>
      </c>
      <c r="M22" s="6">
        <v>1.0663</v>
      </c>
      <c r="S22" t="s">
        <v>173</v>
      </c>
      <c r="T22">
        <v>36131</v>
      </c>
    </row>
    <row r="23" spans="1:20" customFormat="1" ht="18" x14ac:dyDescent="0.25">
      <c r="A23" s="30"/>
      <c r="B23" s="30" t="s">
        <v>172</v>
      </c>
      <c r="C23" s="30"/>
      <c r="D23" s="35" t="s">
        <v>170</v>
      </c>
      <c r="E23" s="28"/>
      <c r="F23" s="27">
        <v>9.2799999999999994</v>
      </c>
      <c r="G23" s="27">
        <f>IF($F$5&lt;250,0.1514*$F$5,250*0.1514+($F$5-250)*0.1193)</f>
        <v>306.27500000000003</v>
      </c>
      <c r="H23" s="27"/>
      <c r="I23" s="37"/>
      <c r="J23" s="27"/>
      <c r="K23" s="27"/>
      <c r="L23" s="27"/>
      <c r="M23" s="26"/>
      <c r="N23" s="5"/>
      <c r="O23" s="5"/>
      <c r="P23" s="5"/>
      <c r="Q23" s="5"/>
    </row>
    <row r="24" spans="1:20" customFormat="1" ht="18" x14ac:dyDescent="0.25">
      <c r="A24" s="30"/>
      <c r="B24" s="30" t="s">
        <v>171</v>
      </c>
      <c r="C24" s="30"/>
      <c r="D24" s="35" t="s">
        <v>170</v>
      </c>
      <c r="E24" s="28"/>
      <c r="F24" s="27">
        <v>12.19</v>
      </c>
      <c r="G24" s="27">
        <f>IF($F$5&lt;250,0.1666*$F$5,250*0.1239+($F$5-250)*0.1193)</f>
        <v>299.40000000000003</v>
      </c>
      <c r="H24" s="27"/>
      <c r="I24" s="37"/>
      <c r="J24" s="27"/>
      <c r="K24" s="27"/>
      <c r="L24" s="27"/>
      <c r="M24" s="26"/>
      <c r="N24" s="5"/>
      <c r="O24" s="5"/>
      <c r="P24" s="5"/>
      <c r="Q24" s="5"/>
    </row>
    <row r="25" spans="1:20" customFormat="1" ht="18" x14ac:dyDescent="0.25">
      <c r="A25" s="12">
        <v>14</v>
      </c>
      <c r="B25" s="12" t="s">
        <v>169</v>
      </c>
      <c r="C25" s="12" t="s">
        <v>24</v>
      </c>
      <c r="D25" s="10" t="s">
        <v>27</v>
      </c>
      <c r="E25" s="9" t="s">
        <v>18</v>
      </c>
      <c r="F25" s="7">
        <f>13.33+0.79</f>
        <v>14.120000000000001</v>
      </c>
      <c r="G25" s="7">
        <f>$F$5*(0.0062-0.0055+0.0012)</f>
        <v>4.75</v>
      </c>
      <c r="H25" s="7">
        <f t="shared" ref="H25:H33" si="3">F25+G25</f>
        <v>18.87</v>
      </c>
      <c r="I25" s="13" t="s">
        <v>23</v>
      </c>
      <c r="J25" s="7">
        <f>(0.006+0.0042)*$F$5*M25</f>
        <v>27.565500000000004</v>
      </c>
      <c r="K25" s="7">
        <f t="shared" ref="K25:K33" si="4">(M25*$F$5-$F$5)*$O$5</f>
        <v>22.556474999999999</v>
      </c>
      <c r="L25" s="7">
        <f t="shared" ref="L25:L33" si="5">H25+J25+K25</f>
        <v>68.991974999999996</v>
      </c>
      <c r="M25" s="6">
        <v>1.081</v>
      </c>
      <c r="S25" t="s">
        <v>168</v>
      </c>
      <c r="T25">
        <v>78144</v>
      </c>
    </row>
    <row r="26" spans="1:20" customFormat="1" ht="18" x14ac:dyDescent="0.25">
      <c r="A26" s="12">
        <v>15</v>
      </c>
      <c r="B26" s="12" t="s">
        <v>167</v>
      </c>
      <c r="C26" s="12" t="s">
        <v>24</v>
      </c>
      <c r="D26" s="10" t="s">
        <v>27</v>
      </c>
      <c r="E26" s="9" t="s">
        <v>18</v>
      </c>
      <c r="F26" s="7">
        <f>15.75+0.79+0.01+0.06+0.6</f>
        <v>17.21</v>
      </c>
      <c r="G26" s="7">
        <f>$F$5*(0.0102+0.0002+0.0003)</f>
        <v>26.750000000000004</v>
      </c>
      <c r="H26" s="7">
        <f t="shared" si="3"/>
        <v>43.960000000000008</v>
      </c>
      <c r="I26" s="13" t="s">
        <v>23</v>
      </c>
      <c r="J26" s="7">
        <f>(0.0077+0.0064)*$F$5*M26</f>
        <v>36.518999999999998</v>
      </c>
      <c r="K26" s="7">
        <f t="shared" si="4"/>
        <v>10.0251</v>
      </c>
      <c r="L26" s="7">
        <f t="shared" si="5"/>
        <v>90.504100000000008</v>
      </c>
      <c r="M26" s="6">
        <v>1.036</v>
      </c>
      <c r="S26" t="s">
        <v>166</v>
      </c>
      <c r="T26">
        <v>16327</v>
      </c>
    </row>
    <row r="27" spans="1:20" customFormat="1" ht="18" x14ac:dyDescent="0.25">
      <c r="A27" s="12">
        <v>16</v>
      </c>
      <c r="B27" s="12" t="s">
        <v>165</v>
      </c>
      <c r="C27" s="12" t="s">
        <v>33</v>
      </c>
      <c r="D27" s="10" t="s">
        <v>27</v>
      </c>
      <c r="E27" s="9" t="s">
        <v>18</v>
      </c>
      <c r="F27" s="7">
        <f>18.98+0.22+0.79+0.25-1.4</f>
        <v>18.84</v>
      </c>
      <c r="G27" s="7">
        <f>$F$5*(0.0077+0.0017+0.0002+0.0015)</f>
        <v>27.75</v>
      </c>
      <c r="H27" s="7">
        <f t="shared" si="3"/>
        <v>46.59</v>
      </c>
      <c r="I27" s="13" t="s">
        <v>23</v>
      </c>
      <c r="J27" s="7">
        <f>(0.007+0.0053)*$F$5*M27</f>
        <v>32.078399999999995</v>
      </c>
      <c r="K27" s="7">
        <f t="shared" si="4"/>
        <v>12.03011999999995</v>
      </c>
      <c r="L27" s="7">
        <f t="shared" si="5"/>
        <v>90.698519999999945</v>
      </c>
      <c r="M27" s="6">
        <v>1.0431999999999999</v>
      </c>
      <c r="S27" t="s">
        <v>164</v>
      </c>
      <c r="T27">
        <v>2862</v>
      </c>
    </row>
    <row r="28" spans="1:20" customFormat="1" ht="18" x14ac:dyDescent="0.25">
      <c r="A28" s="11">
        <v>16</v>
      </c>
      <c r="B28" s="11" t="s">
        <v>163</v>
      </c>
      <c r="C28" s="5"/>
      <c r="D28" s="17"/>
      <c r="E28" s="17"/>
      <c r="F28" s="7">
        <f>18.98+0.22+0.79+0.25-1.4</f>
        <v>18.84</v>
      </c>
      <c r="G28" s="7">
        <f>$F$5*(0.0077+0.0017+0.0002+0.0015)</f>
        <v>27.75</v>
      </c>
      <c r="H28" s="7">
        <f t="shared" si="3"/>
        <v>46.59</v>
      </c>
      <c r="I28" s="13" t="s">
        <v>23</v>
      </c>
      <c r="J28" s="7">
        <f>(0.007+0.0053)*$F$5*M28</f>
        <v>32.078399999999995</v>
      </c>
      <c r="K28" s="7">
        <f t="shared" si="4"/>
        <v>12.03011999999995</v>
      </c>
      <c r="L28" s="7">
        <f t="shared" si="5"/>
        <v>90.698519999999945</v>
      </c>
      <c r="M28" s="6">
        <v>1.0431999999999999</v>
      </c>
      <c r="T28">
        <v>26471</v>
      </c>
    </row>
    <row r="29" spans="1:20" customFormat="1" ht="18" x14ac:dyDescent="0.25">
      <c r="A29" s="11">
        <v>16</v>
      </c>
      <c r="B29" s="11" t="s">
        <v>162</v>
      </c>
      <c r="C29" s="5"/>
      <c r="D29" s="17"/>
      <c r="E29" s="17"/>
      <c r="F29" s="7">
        <f>18.98+0.22+0.79+0.25-1.4</f>
        <v>18.84</v>
      </c>
      <c r="G29" s="7">
        <f>$F$5*(0.0077+0.0017+0.0002+0.0015+0.0004)</f>
        <v>28.75</v>
      </c>
      <c r="H29" s="7">
        <f t="shared" si="3"/>
        <v>47.59</v>
      </c>
      <c r="I29" s="13" t="s">
        <v>23</v>
      </c>
      <c r="J29" s="7">
        <f>(0.007+0.0053)*$F$5*M29</f>
        <v>32.078399999999995</v>
      </c>
      <c r="K29" s="7">
        <f t="shared" si="4"/>
        <v>12.03011999999995</v>
      </c>
      <c r="L29" s="7">
        <f t="shared" si="5"/>
        <v>91.698519999999945</v>
      </c>
      <c r="M29" s="6">
        <v>1.0431999999999999</v>
      </c>
      <c r="T29">
        <v>18099</v>
      </c>
    </row>
    <row r="30" spans="1:20" customFormat="1" ht="18" x14ac:dyDescent="0.25">
      <c r="A30" s="11">
        <v>16</v>
      </c>
      <c r="B30" s="11" t="s">
        <v>161</v>
      </c>
      <c r="C30" s="5"/>
      <c r="D30" s="17"/>
      <c r="E30" s="17"/>
      <c r="F30" s="7">
        <f>18.98+0.22+0.79+0.25-1.4</f>
        <v>18.84</v>
      </c>
      <c r="G30" s="7">
        <f>$F$5*(0.0077+0.0017+0.0002+0.0015+0.0023+0.0052)</f>
        <v>46.499999999999993</v>
      </c>
      <c r="H30" s="7">
        <f t="shared" si="3"/>
        <v>65.339999999999989</v>
      </c>
      <c r="I30" s="13" t="s">
        <v>23</v>
      </c>
      <c r="J30" s="7">
        <f>(0.007+0.0053)*$F$5*M30</f>
        <v>32.078399999999995</v>
      </c>
      <c r="K30" s="7">
        <f t="shared" si="4"/>
        <v>12.03011999999995</v>
      </c>
      <c r="L30" s="7">
        <f t="shared" si="5"/>
        <v>109.44851999999995</v>
      </c>
      <c r="M30" s="6">
        <v>1.0431999999999999</v>
      </c>
      <c r="T30">
        <v>3298</v>
      </c>
    </row>
    <row r="31" spans="1:20" customFormat="1" ht="18" x14ac:dyDescent="0.25">
      <c r="A31" s="12">
        <v>17</v>
      </c>
      <c r="B31" s="12" t="s">
        <v>160</v>
      </c>
      <c r="C31" s="12" t="s">
        <v>159</v>
      </c>
      <c r="D31" s="10" t="s">
        <v>27</v>
      </c>
      <c r="E31" s="9" t="s">
        <v>18</v>
      </c>
      <c r="F31" s="7">
        <f>14.88+0.69-0.16+0.79</f>
        <v>16.2</v>
      </c>
      <c r="G31" s="7">
        <f>$F$5*(0.0157)</f>
        <v>39.25</v>
      </c>
      <c r="H31" s="7">
        <f t="shared" si="3"/>
        <v>55.45</v>
      </c>
      <c r="I31" s="13" t="s">
        <v>23</v>
      </c>
      <c r="J31" s="7">
        <f>(0.0078+0.0049)*$F$5*M31</f>
        <v>32.946975000000002</v>
      </c>
      <c r="K31" s="7">
        <f t="shared" si="4"/>
        <v>10.498507500000001</v>
      </c>
      <c r="L31" s="7">
        <f t="shared" si="5"/>
        <v>98.8954825</v>
      </c>
      <c r="M31" s="6">
        <v>1.0377000000000001</v>
      </c>
      <c r="S31" t="s">
        <v>158</v>
      </c>
      <c r="T31">
        <v>42680</v>
      </c>
    </row>
    <row r="32" spans="1:20" customFormat="1" ht="18" x14ac:dyDescent="0.25">
      <c r="A32" s="12">
        <v>18</v>
      </c>
      <c r="B32" s="12" t="s">
        <v>157</v>
      </c>
      <c r="C32" s="12" t="s">
        <v>28</v>
      </c>
      <c r="D32" s="10" t="s">
        <v>27</v>
      </c>
      <c r="E32" s="9" t="s">
        <v>18</v>
      </c>
      <c r="F32" s="7">
        <f>19.38+0.79+0.09</f>
        <v>20.259999999999998</v>
      </c>
      <c r="G32" s="7">
        <f>$F$5*(0.0139+0.0021+0.0009)</f>
        <v>42.250000000000007</v>
      </c>
      <c r="H32" s="7">
        <f t="shared" si="3"/>
        <v>62.510000000000005</v>
      </c>
      <c r="I32" s="8" t="s">
        <v>17</v>
      </c>
      <c r="J32" s="7">
        <f>(0.0062+0.0053)*$F$5*M32</f>
        <v>30.046624999999999</v>
      </c>
      <c r="K32" s="7">
        <f t="shared" si="4"/>
        <v>12.559222500000001</v>
      </c>
      <c r="L32" s="7">
        <f t="shared" si="5"/>
        <v>105.1158475</v>
      </c>
      <c r="M32" s="6">
        <v>1.0450999999999999</v>
      </c>
      <c r="S32" t="s">
        <v>156</v>
      </c>
      <c r="T32">
        <v>10180</v>
      </c>
    </row>
    <row r="33" spans="1:20" customFormat="1" ht="18.75" x14ac:dyDescent="0.3">
      <c r="A33" s="11">
        <v>18</v>
      </c>
      <c r="B33" s="11" t="s">
        <v>155</v>
      </c>
      <c r="D33" s="4"/>
      <c r="E33" s="17"/>
      <c r="F33" s="7">
        <f>19.38+0.79+0.09</f>
        <v>20.259999999999998</v>
      </c>
      <c r="G33" s="7">
        <f>$F$5*(0.0139+0.0021+0.0009+0.0073)</f>
        <v>60.500000000000007</v>
      </c>
      <c r="H33" s="7">
        <f t="shared" si="3"/>
        <v>80.760000000000005</v>
      </c>
      <c r="I33" s="36" t="s">
        <v>154</v>
      </c>
      <c r="J33" s="7">
        <f>(0.0062+0.0053)*$F$5*M33</f>
        <v>30.046624999999999</v>
      </c>
      <c r="K33" s="7">
        <f t="shared" si="4"/>
        <v>12.559222500000001</v>
      </c>
      <c r="L33" s="7">
        <f t="shared" si="5"/>
        <v>123.3658475</v>
      </c>
      <c r="M33" s="6">
        <v>1.0450999999999999</v>
      </c>
      <c r="T33">
        <v>48384</v>
      </c>
    </row>
    <row r="34" spans="1:20" customFormat="1" ht="18" x14ac:dyDescent="0.25">
      <c r="A34">
        <v>19</v>
      </c>
      <c r="B34" t="s">
        <v>153</v>
      </c>
      <c r="C34" s="30" t="s">
        <v>33</v>
      </c>
      <c r="D34" s="35" t="s">
        <v>27</v>
      </c>
      <c r="E34" s="17" t="s">
        <v>152</v>
      </c>
      <c r="F34" s="15"/>
      <c r="G34" s="15"/>
      <c r="H34" s="15"/>
      <c r="I34" s="16"/>
      <c r="J34" s="15"/>
      <c r="K34" s="15"/>
      <c r="L34" s="15"/>
      <c r="M34" s="14"/>
      <c r="S34" t="s">
        <v>151</v>
      </c>
      <c r="T34">
        <v>18819</v>
      </c>
    </row>
    <row r="35" spans="1:20" customFormat="1" ht="18" x14ac:dyDescent="0.25">
      <c r="A35" s="12">
        <v>20</v>
      </c>
      <c r="B35" s="12" t="s">
        <v>150</v>
      </c>
      <c r="C35" s="12" t="s">
        <v>28</v>
      </c>
      <c r="D35" s="10" t="s">
        <v>27</v>
      </c>
      <c r="E35" s="9" t="s">
        <v>18</v>
      </c>
      <c r="F35" s="7">
        <f>16.58+0.79-0.11</f>
        <v>17.259999999999998</v>
      </c>
      <c r="G35" s="7">
        <f>$F$5*(0.0116+0.001-0.0023)</f>
        <v>25.75</v>
      </c>
      <c r="H35" s="7">
        <f>F35+G35</f>
        <v>43.01</v>
      </c>
      <c r="I35" s="13" t="s">
        <v>23</v>
      </c>
      <c r="J35" s="7">
        <f>(0.0052+0.0034)*$F$5*M35</f>
        <v>22.7943</v>
      </c>
      <c r="K35" s="7">
        <f>(M35*$F$5-$F$5)*$O$5</f>
        <v>16.764195000000001</v>
      </c>
      <c r="L35" s="7">
        <f>H35+J35+K35</f>
        <v>82.568494999999999</v>
      </c>
      <c r="M35" s="6">
        <v>1.0602</v>
      </c>
      <c r="S35" t="s">
        <v>149</v>
      </c>
      <c r="T35">
        <v>19623</v>
      </c>
    </row>
    <row r="36" spans="1:20" customFormat="1" ht="18" x14ac:dyDescent="0.25">
      <c r="A36" s="12">
        <v>21</v>
      </c>
      <c r="B36" s="12" t="s">
        <v>148</v>
      </c>
      <c r="C36" s="12" t="s">
        <v>24</v>
      </c>
      <c r="D36" s="10" t="s">
        <v>19</v>
      </c>
      <c r="E36" s="9" t="s">
        <v>18</v>
      </c>
      <c r="F36" s="7">
        <f>19.21+0.79</f>
        <v>20</v>
      </c>
      <c r="G36" s="7">
        <f>$F$5*(0.0125-0.0001+0.0003+0.0004+0.0008+0.0002)</f>
        <v>35.25</v>
      </c>
      <c r="H36" s="7">
        <f>F36+G36</f>
        <v>55.25</v>
      </c>
      <c r="I36" s="13" t="s">
        <v>23</v>
      </c>
      <c r="J36" s="7">
        <f>(0.0071+0.0046)*$F$5*M36</f>
        <v>30.101174999999998</v>
      </c>
      <c r="K36" s="7">
        <f>(M36*$F$5-$F$5)*$O$5</f>
        <v>8.1036224999999504</v>
      </c>
      <c r="L36" s="7">
        <f>H36+J36+K36</f>
        <v>93.454797499999955</v>
      </c>
      <c r="M36" s="6">
        <v>1.0290999999999999</v>
      </c>
      <c r="S36" t="s">
        <v>147</v>
      </c>
      <c r="T36">
        <v>2264</v>
      </c>
    </row>
    <row r="37" spans="1:20" customFormat="1" x14ac:dyDescent="0.25">
      <c r="A37" s="11">
        <v>22</v>
      </c>
      <c r="B37" s="11" t="s">
        <v>146</v>
      </c>
      <c r="C37" s="11"/>
      <c r="D37" s="22"/>
      <c r="E37" s="22"/>
      <c r="F37" s="15"/>
      <c r="G37" s="15"/>
      <c r="H37" s="15"/>
      <c r="I37" s="5"/>
      <c r="J37" s="5"/>
      <c r="K37" s="5"/>
      <c r="L37" s="5"/>
      <c r="M37" s="5"/>
      <c r="T37">
        <v>219536</v>
      </c>
    </row>
    <row r="38" spans="1:20" customFormat="1" ht="18" x14ac:dyDescent="0.25">
      <c r="A38" s="12">
        <v>23</v>
      </c>
      <c r="B38" s="12" t="s">
        <v>145</v>
      </c>
      <c r="C38" s="12" t="s">
        <v>28</v>
      </c>
      <c r="D38" s="10" t="s">
        <v>27</v>
      </c>
      <c r="E38" s="9" t="s">
        <v>18</v>
      </c>
      <c r="F38" s="7">
        <f>22.58+0.79</f>
        <v>23.369999999999997</v>
      </c>
      <c r="G38" s="7">
        <f>$F$5*(0.0106+0.0006+0.0001-0.0004)</f>
        <v>27.25</v>
      </c>
      <c r="H38" s="7">
        <f t="shared" ref="H38:H52" si="6">F38+G38</f>
        <v>50.62</v>
      </c>
      <c r="I38" s="13" t="s">
        <v>23</v>
      </c>
      <c r="J38" s="7">
        <f>(0.0067+0.0018)*$F$5*M38</f>
        <v>22.248749999999998</v>
      </c>
      <c r="K38" s="7">
        <f t="shared" ref="K38:K52" si="7">(M38*$F$5-$F$5)*$O$5</f>
        <v>13.088325000000001</v>
      </c>
      <c r="L38" s="7">
        <f t="shared" ref="L38:L52" si="8">H38+J38+K38</f>
        <v>85.957074999999989</v>
      </c>
      <c r="M38" s="6">
        <v>1.0469999999999999</v>
      </c>
      <c r="S38" t="s">
        <v>144</v>
      </c>
      <c r="T38">
        <v>1069</v>
      </c>
    </row>
    <row r="39" spans="1:20" customFormat="1" ht="18" x14ac:dyDescent="0.25">
      <c r="A39" s="12">
        <v>24</v>
      </c>
      <c r="B39" s="12" t="s">
        <v>143</v>
      </c>
      <c r="C39" s="12" t="s">
        <v>28</v>
      </c>
      <c r="D39" s="10" t="s">
        <v>27</v>
      </c>
      <c r="E39" s="9" t="s">
        <v>18</v>
      </c>
      <c r="F39" s="7">
        <f>18.63+0.41+0.79+0.04</f>
        <v>19.869999999999997</v>
      </c>
      <c r="G39" s="7">
        <f>$F$5*(0.0093+0.0002-0.0003-0.0014)</f>
        <v>19.5</v>
      </c>
      <c r="H39" s="7">
        <f t="shared" si="6"/>
        <v>39.369999999999997</v>
      </c>
      <c r="I39" s="13" t="s">
        <v>23</v>
      </c>
      <c r="J39" s="7">
        <f>(0.0059+0.0043)*$F$5*M39</f>
        <v>26.877000000000006</v>
      </c>
      <c r="K39" s="7">
        <f t="shared" si="7"/>
        <v>15.037650000000001</v>
      </c>
      <c r="L39" s="7">
        <f t="shared" si="8"/>
        <v>81.284649999999999</v>
      </c>
      <c r="M39" s="6">
        <v>1.054</v>
      </c>
      <c r="S39" t="s">
        <v>142</v>
      </c>
      <c r="T39">
        <v>4818</v>
      </c>
    </row>
    <row r="40" spans="1:20" customFormat="1" ht="18" x14ac:dyDescent="0.25">
      <c r="A40" s="12">
        <v>25</v>
      </c>
      <c r="B40" s="12" t="s">
        <v>141</v>
      </c>
      <c r="C40" s="12" t="s">
        <v>33</v>
      </c>
      <c r="D40" s="10" t="s">
        <v>140</v>
      </c>
      <c r="E40" s="9" t="s">
        <v>18</v>
      </c>
      <c r="F40" s="7">
        <f>19.55+0.79+0.32</f>
        <v>20.66</v>
      </c>
      <c r="G40" s="7">
        <f>$F$5*(0.0099+0.001+0.0001)</f>
        <v>27.5</v>
      </c>
      <c r="H40" s="7">
        <f t="shared" si="6"/>
        <v>48.16</v>
      </c>
      <c r="I40" s="13" t="s">
        <v>23</v>
      </c>
      <c r="J40" s="7">
        <f>(0.0057+0.0033)*$F$5*M40</f>
        <v>23.528250000000007</v>
      </c>
      <c r="K40" s="7">
        <f t="shared" si="7"/>
        <v>12.726307500000001</v>
      </c>
      <c r="L40" s="7">
        <f t="shared" si="8"/>
        <v>84.414557500000015</v>
      </c>
      <c r="M40" s="6">
        <v>1.0457000000000001</v>
      </c>
      <c r="S40" t="s">
        <v>139</v>
      </c>
      <c r="T40">
        <v>138992</v>
      </c>
    </row>
    <row r="41" spans="1:20" customFormat="1" ht="18" x14ac:dyDescent="0.25">
      <c r="A41" s="12">
        <v>26</v>
      </c>
      <c r="B41" s="12" t="s">
        <v>138</v>
      </c>
      <c r="C41" s="12" t="s">
        <v>33</v>
      </c>
      <c r="D41" s="10" t="s">
        <v>19</v>
      </c>
      <c r="E41" s="9" t="s">
        <v>18</v>
      </c>
      <c r="F41" s="7">
        <f>18.93+0.73-0.18+0.79-0.29</f>
        <v>19.98</v>
      </c>
      <c r="G41" s="7">
        <f>$F$5*(0.0144+0.0007+0.0003)</f>
        <v>38.5</v>
      </c>
      <c r="H41" s="7">
        <f t="shared" si="6"/>
        <v>58.480000000000004</v>
      </c>
      <c r="I41" s="13" t="s">
        <v>23</v>
      </c>
      <c r="J41" s="7">
        <f>(0.0074+0.0058)*$F$5*M41</f>
        <v>33.858000000000004</v>
      </c>
      <c r="K41" s="7">
        <f t="shared" si="7"/>
        <v>7.2403500000000003</v>
      </c>
      <c r="L41" s="7">
        <f t="shared" si="8"/>
        <v>99.578350000000015</v>
      </c>
      <c r="M41" s="6">
        <v>1.026</v>
      </c>
      <c r="S41" t="s">
        <v>137</v>
      </c>
      <c r="T41">
        <v>1106663</v>
      </c>
    </row>
    <row r="42" spans="1:20" customFormat="1" ht="18" x14ac:dyDescent="0.25">
      <c r="A42" s="12">
        <v>27</v>
      </c>
      <c r="B42" s="12" t="s">
        <v>136</v>
      </c>
      <c r="C42" s="12" t="s">
        <v>20</v>
      </c>
      <c r="D42" s="29" t="s">
        <v>19</v>
      </c>
      <c r="E42" s="9" t="s">
        <v>18</v>
      </c>
      <c r="F42" s="7">
        <f>20.74-0.21+0.79</f>
        <v>21.319999999999997</v>
      </c>
      <c r="G42" s="7">
        <f>$F$5*(0.0198+0.0004-0.0002-0.0015+0.0002)</f>
        <v>46.75</v>
      </c>
      <c r="H42" s="7">
        <f t="shared" si="6"/>
        <v>68.069999999999993</v>
      </c>
      <c r="I42" s="13" t="s">
        <v>23</v>
      </c>
      <c r="J42" s="7">
        <f>(0.0068+0.0052)*$F$5*M42</f>
        <v>31.964999999999996</v>
      </c>
      <c r="K42" s="7">
        <f t="shared" si="7"/>
        <v>18.240112499999949</v>
      </c>
      <c r="L42" s="7">
        <f t="shared" si="8"/>
        <v>118.27511249999995</v>
      </c>
      <c r="M42" s="6">
        <v>1.0654999999999999</v>
      </c>
      <c r="S42" t="s">
        <v>135</v>
      </c>
      <c r="T42">
        <v>291759</v>
      </c>
    </row>
    <row r="43" spans="1:20" customFormat="1" ht="18" x14ac:dyDescent="0.25">
      <c r="A43" s="12">
        <v>28</v>
      </c>
      <c r="B43" s="12" t="s">
        <v>134</v>
      </c>
      <c r="C43" s="12" t="s">
        <v>33</v>
      </c>
      <c r="D43" s="10" t="s">
        <v>27</v>
      </c>
      <c r="E43" s="9" t="s">
        <v>18</v>
      </c>
      <c r="F43" s="34">
        <f>17.04+0.79+2.23+0.37</f>
        <v>20.43</v>
      </c>
      <c r="G43" s="7">
        <f>$F$5*(0.01+0.0026-0.0006)</f>
        <v>30</v>
      </c>
      <c r="H43" s="7">
        <f t="shared" si="6"/>
        <v>50.43</v>
      </c>
      <c r="I43" s="13" t="s">
        <v>23</v>
      </c>
      <c r="J43" s="7">
        <f>(0.0067+0.0052)*$F$5*M43</f>
        <v>31.416000000000004</v>
      </c>
      <c r="K43" s="7">
        <f t="shared" si="7"/>
        <v>15.5946</v>
      </c>
      <c r="L43" s="7">
        <f t="shared" si="8"/>
        <v>97.440600000000003</v>
      </c>
      <c r="M43" s="6">
        <v>1.056</v>
      </c>
      <c r="S43" t="s">
        <v>133</v>
      </c>
      <c r="T43">
        <v>14728</v>
      </c>
    </row>
    <row r="44" spans="1:20" customFormat="1" ht="18" x14ac:dyDescent="0.25">
      <c r="A44" s="12">
        <v>29</v>
      </c>
      <c r="B44" s="12" t="s">
        <v>132</v>
      </c>
      <c r="C44" s="24" t="s">
        <v>33</v>
      </c>
      <c r="D44" s="10" t="s">
        <v>27</v>
      </c>
      <c r="E44" s="9" t="s">
        <v>18</v>
      </c>
      <c r="F44" s="7">
        <f>11.93-0.15+3.48+0.24+0.79</f>
        <v>16.29</v>
      </c>
      <c r="G44" s="7">
        <f>$F$5*(0.0126+0.0013-0.0005+0.0002+0.0007)</f>
        <v>35.749999999999993</v>
      </c>
      <c r="H44" s="7">
        <f t="shared" si="6"/>
        <v>52.039999999999992</v>
      </c>
      <c r="I44" s="8" t="s">
        <v>17</v>
      </c>
      <c r="J44" s="7">
        <f>(0.0063+0.0051)*$F$5*M44</f>
        <v>29.679900000000004</v>
      </c>
      <c r="K44" s="7">
        <f t="shared" si="7"/>
        <v>11.528865000000051</v>
      </c>
      <c r="L44" s="7">
        <f t="shared" si="8"/>
        <v>93.248765000000049</v>
      </c>
      <c r="M44" s="12">
        <v>1.0414000000000001</v>
      </c>
      <c r="S44" t="s">
        <v>131</v>
      </c>
      <c r="T44">
        <v>4751</v>
      </c>
    </row>
    <row r="45" spans="1:20" customFormat="1" ht="18" x14ac:dyDescent="0.25">
      <c r="A45" s="12">
        <v>30</v>
      </c>
      <c r="B45" s="12" t="s">
        <v>130</v>
      </c>
      <c r="C45" s="12" t="s">
        <v>70</v>
      </c>
      <c r="D45" s="10" t="s">
        <v>19</v>
      </c>
      <c r="E45" s="9" t="s">
        <v>18</v>
      </c>
      <c r="F45" s="7">
        <f>18.8+0.79+0.79</f>
        <v>20.38</v>
      </c>
      <c r="G45" s="7">
        <f>$F$5*(0.0121+0.00006+0.0003)</f>
        <v>31.15</v>
      </c>
      <c r="H45" s="7">
        <f t="shared" si="6"/>
        <v>51.53</v>
      </c>
      <c r="I45" s="13" t="s">
        <v>23</v>
      </c>
      <c r="J45" s="7">
        <f>(0.0078+0.0059)*$F$5*M45</f>
        <v>35.548075000000004</v>
      </c>
      <c r="K45" s="7">
        <f t="shared" si="7"/>
        <v>10.554202500000001</v>
      </c>
      <c r="L45" s="7">
        <f t="shared" si="8"/>
        <v>97.632277500000015</v>
      </c>
      <c r="M45" s="6">
        <v>1.0379</v>
      </c>
      <c r="S45" t="s">
        <v>129</v>
      </c>
      <c r="T45">
        <v>24046</v>
      </c>
    </row>
    <row r="46" spans="1:20" customFormat="1" ht="18" x14ac:dyDescent="0.25">
      <c r="A46" s="12">
        <v>31</v>
      </c>
      <c r="B46" s="12" t="s">
        <v>128</v>
      </c>
      <c r="C46" s="12" t="s">
        <v>28</v>
      </c>
      <c r="D46" s="10" t="s">
        <v>27</v>
      </c>
      <c r="E46" s="9" t="s">
        <v>18</v>
      </c>
      <c r="F46" s="34">
        <f>18.31+0.79</f>
        <v>19.099999999999998</v>
      </c>
      <c r="G46" s="7">
        <f>$F$5*(0.012+0.0054+0.0027)</f>
        <v>50.25</v>
      </c>
      <c r="H46" s="7">
        <f t="shared" si="6"/>
        <v>69.349999999999994</v>
      </c>
      <c r="I46" s="33" t="s">
        <v>23</v>
      </c>
      <c r="J46" s="7">
        <f>(0.0068+0.0051)*$F$5*M46</f>
        <v>32.046700000000001</v>
      </c>
      <c r="K46" s="7">
        <f t="shared" si="7"/>
        <v>21.498270000000002</v>
      </c>
      <c r="L46" s="7">
        <f t="shared" si="8"/>
        <v>122.89497</v>
      </c>
      <c r="M46" s="6">
        <v>1.0771999999999999</v>
      </c>
      <c r="S46" t="s">
        <v>127</v>
      </c>
      <c r="T46">
        <v>82425</v>
      </c>
    </row>
    <row r="47" spans="1:20" customFormat="1" ht="18" x14ac:dyDescent="0.25">
      <c r="A47" s="12">
        <v>32</v>
      </c>
      <c r="B47" s="12" t="s">
        <v>126</v>
      </c>
      <c r="C47" s="12" t="s">
        <v>28</v>
      </c>
      <c r="D47" s="10" t="s">
        <v>19</v>
      </c>
      <c r="E47" s="9" t="s">
        <v>18</v>
      </c>
      <c r="F47" s="7">
        <f>9.6+0.79</f>
        <v>10.39</v>
      </c>
      <c r="G47" s="7">
        <f>$F$5*(0.0076+0.0007)</f>
        <v>20.75</v>
      </c>
      <c r="H47" s="7">
        <f t="shared" si="6"/>
        <v>31.14</v>
      </c>
      <c r="I47" s="13" t="s">
        <v>23</v>
      </c>
      <c r="J47" s="7">
        <f>(0.0071+0.0034)*$F$5*M47</f>
        <v>27.670125000000002</v>
      </c>
      <c r="K47" s="7">
        <f t="shared" si="7"/>
        <v>15.065497500000001</v>
      </c>
      <c r="L47" s="7">
        <f t="shared" si="8"/>
        <v>73.875622500000006</v>
      </c>
      <c r="M47" s="6">
        <v>1.0541</v>
      </c>
      <c r="S47" t="s">
        <v>125</v>
      </c>
      <c r="T47">
        <v>8800</v>
      </c>
    </row>
    <row r="48" spans="1:20" customFormat="1" ht="18" x14ac:dyDescent="0.25">
      <c r="A48" s="12">
        <v>33</v>
      </c>
      <c r="B48" s="12" t="s">
        <v>124</v>
      </c>
      <c r="C48" s="12" t="s">
        <v>28</v>
      </c>
      <c r="D48" s="10" t="s">
        <v>19</v>
      </c>
      <c r="E48" s="9" t="s">
        <v>18</v>
      </c>
      <c r="F48" s="7">
        <f>14.32+0.79</f>
        <v>15.11</v>
      </c>
      <c r="G48" s="7">
        <f>$F$5*(0.0118+0.0005)</f>
        <v>30.75</v>
      </c>
      <c r="H48" s="7">
        <f t="shared" si="6"/>
        <v>45.86</v>
      </c>
      <c r="I48" s="13" t="s">
        <v>23</v>
      </c>
      <c r="J48" s="7">
        <f>(0.0078+0.0057)*$F$5*M48</f>
        <v>34.900874999999999</v>
      </c>
      <c r="K48" s="7">
        <f t="shared" si="7"/>
        <v>9.4959974999999996</v>
      </c>
      <c r="L48" s="7">
        <f t="shared" si="8"/>
        <v>90.2568725</v>
      </c>
      <c r="M48" s="6">
        <v>1.0341</v>
      </c>
      <c r="S48" t="s">
        <v>123</v>
      </c>
      <c r="T48">
        <v>10986</v>
      </c>
    </row>
    <row r="49" spans="1:20" customFormat="1" ht="18" x14ac:dyDescent="0.25">
      <c r="A49" s="12">
        <v>34</v>
      </c>
      <c r="B49" s="12" t="s">
        <v>122</v>
      </c>
      <c r="C49" s="12" t="s">
        <v>70</v>
      </c>
      <c r="D49" s="9"/>
      <c r="E49" s="9" t="s">
        <v>18</v>
      </c>
      <c r="F49" s="7">
        <f>30.11+0.78-0.01+0.79</f>
        <v>31.669999999999998</v>
      </c>
      <c r="G49" s="7">
        <f>$F$5*(0.0299-0.0001)</f>
        <v>74.5</v>
      </c>
      <c r="H49" s="7">
        <f t="shared" si="6"/>
        <v>106.17</v>
      </c>
      <c r="I49" s="13" t="s">
        <v>23</v>
      </c>
      <c r="J49" s="7">
        <f>(0.0068+0.0048)*$F$5*M49</f>
        <v>31.203999999999997</v>
      </c>
      <c r="K49" s="7">
        <f t="shared" si="7"/>
        <v>21.164100000000001</v>
      </c>
      <c r="L49" s="7">
        <f t="shared" si="8"/>
        <v>158.53809999999999</v>
      </c>
      <c r="M49" s="6">
        <v>1.0760000000000001</v>
      </c>
      <c r="S49" t="s">
        <v>121</v>
      </c>
      <c r="T49">
        <v>138568</v>
      </c>
    </row>
    <row r="50" spans="1:20" customFormat="1" ht="18" x14ac:dyDescent="0.25">
      <c r="A50" s="12">
        <v>34</v>
      </c>
      <c r="B50" s="12" t="s">
        <v>120</v>
      </c>
      <c r="C50" s="12" t="s">
        <v>70</v>
      </c>
      <c r="D50" s="9"/>
      <c r="E50" s="9" t="s">
        <v>18</v>
      </c>
      <c r="F50" s="7">
        <f>72.86+1.27+0.69+0.79-31.5</f>
        <v>44.11</v>
      </c>
      <c r="G50" s="7">
        <f>$F$5*(0.0426+0.0001)</f>
        <v>106.75</v>
      </c>
      <c r="H50" s="7">
        <f t="shared" si="6"/>
        <v>150.86000000000001</v>
      </c>
      <c r="I50" s="13" t="s">
        <v>23</v>
      </c>
      <c r="J50" s="7">
        <f>(0.0065+0.0046)*$F$5*M50</f>
        <v>30.663749999999997</v>
      </c>
      <c r="K50" s="7">
        <f t="shared" si="7"/>
        <v>29.239875000000001</v>
      </c>
      <c r="L50" s="7">
        <f t="shared" si="8"/>
        <v>210.76362500000002</v>
      </c>
      <c r="M50" s="6">
        <v>1.105</v>
      </c>
      <c r="T50">
        <v>6163</v>
      </c>
    </row>
    <row r="51" spans="1:20" customFormat="1" ht="18" x14ac:dyDescent="0.25">
      <c r="A51" s="12">
        <v>34</v>
      </c>
      <c r="B51" s="12" t="s">
        <v>119</v>
      </c>
      <c r="C51" s="12" t="s">
        <v>70</v>
      </c>
      <c r="D51" s="9"/>
      <c r="E51" s="9" t="s">
        <v>18</v>
      </c>
      <c r="F51" s="7">
        <f>32.47+0.8+0.3+0.79</f>
        <v>34.359999999999992</v>
      </c>
      <c r="G51" s="7">
        <f>$F$5*(0.0748+0.0005)</f>
        <v>188.25000000000003</v>
      </c>
      <c r="H51" s="7">
        <f t="shared" si="6"/>
        <v>222.61</v>
      </c>
      <c r="I51" s="13" t="s">
        <v>23</v>
      </c>
      <c r="J51" s="7">
        <f>(0.0056+0.0042)*$F$5*M51</f>
        <v>27.048000000000002</v>
      </c>
      <c r="K51" s="7">
        <f t="shared" si="7"/>
        <v>28.961400000000051</v>
      </c>
      <c r="L51" s="7">
        <f t="shared" si="8"/>
        <v>278.61940000000004</v>
      </c>
      <c r="M51" s="6">
        <v>1.1040000000000001</v>
      </c>
      <c r="T51">
        <v>32268</v>
      </c>
    </row>
    <row r="52" spans="1:20" customFormat="1" ht="18" x14ac:dyDescent="0.25">
      <c r="A52" s="12">
        <v>34</v>
      </c>
      <c r="B52" s="12" t="s">
        <v>118</v>
      </c>
      <c r="C52" s="12" t="s">
        <v>70</v>
      </c>
      <c r="D52" s="9"/>
      <c r="E52" s="9" t="s">
        <v>18</v>
      </c>
      <c r="F52" s="7">
        <f>22.29+0.69-0.12+0.79</f>
        <v>23.65</v>
      </c>
      <c r="G52" s="7">
        <f>$F$5*(0.0162-0.0002)</f>
        <v>40</v>
      </c>
      <c r="H52" s="7">
        <f t="shared" si="6"/>
        <v>63.65</v>
      </c>
      <c r="I52" s="13" t="s">
        <v>23</v>
      </c>
      <c r="J52" s="7">
        <f>(0.0069+0.0049)*$F$5*M52</f>
        <v>31.1815</v>
      </c>
      <c r="K52" s="7">
        <f t="shared" si="7"/>
        <v>15.873075</v>
      </c>
      <c r="L52" s="7">
        <f t="shared" si="8"/>
        <v>110.70457500000001</v>
      </c>
      <c r="M52" s="6">
        <v>1.0569999999999999</v>
      </c>
      <c r="T52">
        <v>31349</v>
      </c>
    </row>
    <row r="53" spans="1:20" customFormat="1" x14ac:dyDescent="0.25">
      <c r="A53" s="30">
        <v>34</v>
      </c>
      <c r="B53" s="30" t="s">
        <v>117</v>
      </c>
      <c r="C53" s="12" t="s">
        <v>24</v>
      </c>
      <c r="D53" s="10" t="s">
        <v>27</v>
      </c>
      <c r="E53" s="9" t="s">
        <v>18</v>
      </c>
      <c r="F53" s="7">
        <f>19.09</f>
        <v>19.09</v>
      </c>
      <c r="G53" s="7">
        <f>IF(F5&lt;=1000,F5*0.0898,IF(F5&lt;=2500,1000*0.0898+(F5-1000)*0.1198,1000*0.0898+1500*0.1198+(F5-2500)*0.1806))</f>
        <v>269.5</v>
      </c>
      <c r="H53" s="20"/>
      <c r="I53" s="11"/>
      <c r="J53" s="11"/>
      <c r="K53" s="11"/>
      <c r="L53" s="11"/>
      <c r="M53" s="11"/>
      <c r="T53">
        <v>46600</v>
      </c>
    </row>
    <row r="54" spans="1:20" customFormat="1" x14ac:dyDescent="0.25">
      <c r="A54" s="30"/>
      <c r="B54" s="30" t="s">
        <v>116</v>
      </c>
      <c r="C54" s="12" t="s">
        <v>24</v>
      </c>
      <c r="D54" s="10" t="s">
        <v>27</v>
      </c>
      <c r="E54" s="9" t="s">
        <v>18</v>
      </c>
      <c r="F54" s="7">
        <v>0</v>
      </c>
      <c r="G54" s="7">
        <f>IF(F5&lt;=250,F5*0.8926,IF(F5&gt;250,250*0.8926+(F5-250)*0.9769))</f>
        <v>2421.1750000000002</v>
      </c>
      <c r="H54" s="20"/>
      <c r="I54" s="11"/>
      <c r="J54" s="11"/>
      <c r="K54" s="11"/>
      <c r="L54" s="11"/>
      <c r="M54" s="11"/>
    </row>
    <row r="55" spans="1:20" customFormat="1" ht="18" x14ac:dyDescent="0.25">
      <c r="A55" s="12">
        <v>35</v>
      </c>
      <c r="B55" s="12" t="s">
        <v>115</v>
      </c>
      <c r="C55" s="12" t="s">
        <v>44</v>
      </c>
      <c r="D55" s="10" t="s">
        <v>19</v>
      </c>
      <c r="E55" s="9" t="s">
        <v>18</v>
      </c>
      <c r="F55" s="7">
        <f>12.96+0.79</f>
        <v>13.75</v>
      </c>
      <c r="G55" s="7">
        <f>$F$5*(0.0193+0.00007-0.00002-0.000826-0.001509)</f>
        <v>42.537500000000009</v>
      </c>
      <c r="H55" s="7">
        <f>F55+G55</f>
        <v>56.287500000000009</v>
      </c>
      <c r="I55" s="8" t="s">
        <v>17</v>
      </c>
      <c r="J55" s="7">
        <f>(0.0076+0.0047)*$F$5*M55</f>
        <v>31.780125000000002</v>
      </c>
      <c r="K55" s="7">
        <f>(M55*$F$5-$F$5)*$O$5</f>
        <v>9.3289124999999995</v>
      </c>
      <c r="L55" s="7">
        <f>H55+J55+K55</f>
        <v>97.396537500000008</v>
      </c>
      <c r="M55" s="6">
        <v>1.0335000000000001</v>
      </c>
      <c r="S55" t="s">
        <v>114</v>
      </c>
      <c r="T55">
        <v>7230</v>
      </c>
    </row>
    <row r="56" spans="1:20" customFormat="1" ht="18" x14ac:dyDescent="0.25">
      <c r="A56" s="12">
        <v>36</v>
      </c>
      <c r="B56" s="12" t="s">
        <v>113</v>
      </c>
      <c r="C56" s="12" t="s">
        <v>28</v>
      </c>
      <c r="D56" s="10" t="s">
        <v>19</v>
      </c>
      <c r="E56" s="9" t="s">
        <v>18</v>
      </c>
      <c r="F56" s="7">
        <f>24.85+0.79+2.21</f>
        <v>27.85</v>
      </c>
      <c r="G56" s="7">
        <f>$F$5*(0.0139+0.0022+0.0002+0.002-0.0007)</f>
        <v>43.999999999999993</v>
      </c>
      <c r="H56" s="7">
        <f>F56+G56</f>
        <v>71.849999999999994</v>
      </c>
      <c r="I56" s="13" t="s">
        <v>23</v>
      </c>
      <c r="J56" s="7">
        <f>(0.0057+0.0041)*$F$5*M56</f>
        <v>26.271350000000002</v>
      </c>
      <c r="K56" s="7">
        <f>(M56*$F$5-$F$5)*$O$5</f>
        <v>20.1337425</v>
      </c>
      <c r="L56" s="7">
        <f>H56+J56+K56</f>
        <v>118.25509249999999</v>
      </c>
      <c r="M56" s="6">
        <v>1.0723</v>
      </c>
      <c r="S56" t="s">
        <v>112</v>
      </c>
      <c r="T56">
        <v>17393</v>
      </c>
    </row>
    <row r="57" spans="1:20" customFormat="1" x14ac:dyDescent="0.25">
      <c r="A57" s="11">
        <v>37</v>
      </c>
      <c r="B57" s="11" t="s">
        <v>111</v>
      </c>
      <c r="C57" s="11"/>
      <c r="D57" s="22"/>
      <c r="E57" s="22"/>
      <c r="F57" s="15"/>
      <c r="G57" s="15"/>
      <c r="H57" s="15"/>
      <c r="I57" s="5"/>
      <c r="J57" s="5"/>
      <c r="K57" s="5"/>
      <c r="L57" s="5"/>
      <c r="M57" s="5"/>
      <c r="T57">
        <v>21067</v>
      </c>
    </row>
    <row r="58" spans="1:20" customFormat="1" ht="18" x14ac:dyDescent="0.25">
      <c r="A58" s="12">
        <v>38</v>
      </c>
      <c r="B58" s="12" t="s">
        <v>110</v>
      </c>
      <c r="C58" s="12" t="s">
        <v>24</v>
      </c>
      <c r="D58" s="10" t="s">
        <v>27</v>
      </c>
      <c r="E58" s="9" t="s">
        <v>28</v>
      </c>
      <c r="F58" s="7">
        <f>22.24+0.79</f>
        <v>23.029999999999998</v>
      </c>
      <c r="G58" s="7">
        <f>$F$5*(0.0109)</f>
        <v>27.25</v>
      </c>
      <c r="H58" s="7">
        <f t="shared" ref="H58:H78" si="9">F58+G58</f>
        <v>50.28</v>
      </c>
      <c r="I58" s="13" t="s">
        <v>23</v>
      </c>
      <c r="J58" s="7">
        <f>(0.0068+0.0019)*$F$5*M58</f>
        <v>22.68525</v>
      </c>
      <c r="K58" s="7">
        <f t="shared" ref="K58:K78" si="10">(M58*$F$5-$F$5)*$O$5</f>
        <v>11.974425</v>
      </c>
      <c r="L58" s="7">
        <f t="shared" ref="L58:L78" si="11">H58+J58+K58</f>
        <v>84.939674999999994</v>
      </c>
      <c r="M58" s="6">
        <v>1.0429999999999999</v>
      </c>
      <c r="S58" t="s">
        <v>109</v>
      </c>
      <c r="T58">
        <v>5237</v>
      </c>
    </row>
    <row r="59" spans="1:20" customFormat="1" ht="18" x14ac:dyDescent="0.25">
      <c r="A59" s="12">
        <v>39</v>
      </c>
      <c r="B59" s="12" t="s">
        <v>108</v>
      </c>
      <c r="C59" s="12" t="s">
        <v>107</v>
      </c>
      <c r="D59" s="25" t="s">
        <v>19</v>
      </c>
      <c r="E59" s="9" t="s">
        <v>18</v>
      </c>
      <c r="F59" s="7">
        <f>13.98+0.79+0.25+3.69</f>
        <v>18.71</v>
      </c>
      <c r="G59" s="7">
        <f>$F$5*(0.0139+0.0012-0.0001+0.0007+0.0004-0.0108+0.0003)</f>
        <v>13.999999999999998</v>
      </c>
      <c r="H59" s="7">
        <f t="shared" si="9"/>
        <v>32.71</v>
      </c>
      <c r="I59" s="13" t="s">
        <v>23</v>
      </c>
      <c r="J59" s="7">
        <f>(0.0071+0.0056)*$F$5*M59</f>
        <v>32.997774999999997</v>
      </c>
      <c r="K59" s="7">
        <f t="shared" si="10"/>
        <v>10.944067499999949</v>
      </c>
      <c r="L59" s="7">
        <f t="shared" si="11"/>
        <v>76.651842499999944</v>
      </c>
      <c r="M59" s="6">
        <v>1.0392999999999999</v>
      </c>
      <c r="S59" t="s">
        <v>106</v>
      </c>
      <c r="T59">
        <v>60486</v>
      </c>
    </row>
    <row r="60" spans="1:20" customFormat="1" ht="18" x14ac:dyDescent="0.25">
      <c r="A60" s="12">
        <v>40</v>
      </c>
      <c r="B60" s="12" t="s">
        <v>105</v>
      </c>
      <c r="C60" s="12" t="s">
        <v>28</v>
      </c>
      <c r="D60" s="10" t="s">
        <v>19</v>
      </c>
      <c r="E60" s="9" t="s">
        <v>18</v>
      </c>
      <c r="F60" s="7">
        <f>13.61+0.79</f>
        <v>14.399999999999999</v>
      </c>
      <c r="G60" s="7">
        <f>$F$5*(0.0125+0.0003)</f>
        <v>32</v>
      </c>
      <c r="H60" s="7">
        <f t="shared" si="9"/>
        <v>46.4</v>
      </c>
      <c r="I60" s="13" t="s">
        <v>23</v>
      </c>
      <c r="J60" s="7">
        <f>(0.007+0.0016)*$F$5*M60</f>
        <v>22.254649999999998</v>
      </c>
      <c r="K60" s="7">
        <f t="shared" si="10"/>
        <v>9.7744724999999999</v>
      </c>
      <c r="L60" s="7">
        <f t="shared" si="11"/>
        <v>78.429122500000005</v>
      </c>
      <c r="M60" s="6">
        <v>1.0350999999999999</v>
      </c>
      <c r="S60" t="s">
        <v>104</v>
      </c>
      <c r="T60">
        <v>10407</v>
      </c>
    </row>
    <row r="61" spans="1:20" customFormat="1" ht="18" x14ac:dyDescent="0.25">
      <c r="A61" s="12">
        <v>41</v>
      </c>
      <c r="B61" s="12" t="s">
        <v>103</v>
      </c>
      <c r="C61" s="12" t="s">
        <v>28</v>
      </c>
      <c r="D61" s="10" t="s">
        <v>27</v>
      </c>
      <c r="E61" s="9" t="s">
        <v>18</v>
      </c>
      <c r="F61" s="7">
        <f>13.14+0.79+0.09</f>
        <v>14.02</v>
      </c>
      <c r="G61" s="7">
        <f>$F$5*(0.0113+0.0013+0.0008+0.0022)</f>
        <v>39</v>
      </c>
      <c r="H61" s="7">
        <f t="shared" si="9"/>
        <v>53.019999999999996</v>
      </c>
      <c r="I61" s="13" t="s">
        <v>23</v>
      </c>
      <c r="J61" s="7">
        <f>(0.0059+0.0045)*$F$5*M61</f>
        <v>27.469000000000001</v>
      </c>
      <c r="K61" s="7">
        <f t="shared" si="10"/>
        <v>15.7338375</v>
      </c>
      <c r="L61" s="7">
        <f t="shared" si="11"/>
        <v>96.222837499999997</v>
      </c>
      <c r="M61" s="6">
        <v>1.0565</v>
      </c>
      <c r="S61" t="s">
        <v>102</v>
      </c>
      <c r="T61">
        <v>11816</v>
      </c>
    </row>
    <row r="62" spans="1:20" customFormat="1" ht="18" x14ac:dyDescent="0.25">
      <c r="A62" s="12">
        <v>42</v>
      </c>
      <c r="B62" s="12" t="s">
        <v>101</v>
      </c>
      <c r="C62" s="12" t="s">
        <v>24</v>
      </c>
      <c r="D62" s="32" t="s">
        <v>27</v>
      </c>
      <c r="E62" s="9" t="s">
        <v>18</v>
      </c>
      <c r="F62" s="7">
        <f>23.66+0.17+0.79</f>
        <v>24.62</v>
      </c>
      <c r="G62" s="7">
        <f>$F$5*(0.0113+0.0034-0.0036+0.00004)</f>
        <v>27.849999999999998</v>
      </c>
      <c r="H62" s="7">
        <f t="shared" si="9"/>
        <v>52.47</v>
      </c>
      <c r="I62" s="13" t="s">
        <v>23</v>
      </c>
      <c r="J62" s="7">
        <f>(0.0057+0.0045)*$F$5*M62</f>
        <v>27.394650000000006</v>
      </c>
      <c r="K62" s="7">
        <f t="shared" si="10"/>
        <v>20.690692500000001</v>
      </c>
      <c r="L62" s="7">
        <f t="shared" si="11"/>
        <v>100.55534250000001</v>
      </c>
      <c r="M62" s="6">
        <v>1.0743</v>
      </c>
      <c r="S62" t="s">
        <v>100</v>
      </c>
      <c r="T62">
        <v>50365</v>
      </c>
    </row>
    <row r="63" spans="1:20" customFormat="1" ht="18" x14ac:dyDescent="0.25">
      <c r="A63" s="12">
        <v>43</v>
      </c>
      <c r="B63" s="12" t="s">
        <v>99</v>
      </c>
      <c r="C63" s="12" t="s">
        <v>28</v>
      </c>
      <c r="D63" s="10" t="s">
        <v>27</v>
      </c>
      <c r="E63" s="9" t="s">
        <v>18</v>
      </c>
      <c r="F63" s="7">
        <f>16.42+0.01+0.79</f>
        <v>17.220000000000002</v>
      </c>
      <c r="G63" s="7">
        <f>$F$5*(0.0121+0.0012-0.0025)</f>
        <v>26.999999999999996</v>
      </c>
      <c r="H63" s="7">
        <f t="shared" si="9"/>
        <v>44.22</v>
      </c>
      <c r="I63" s="13" t="s">
        <v>23</v>
      </c>
      <c r="J63" s="7">
        <f>(0.0069+0.0058)*$F$5*M63</f>
        <v>32.861249999999998</v>
      </c>
      <c r="K63" s="7">
        <f t="shared" si="10"/>
        <v>9.7466249999999999</v>
      </c>
      <c r="L63" s="7">
        <f t="shared" si="11"/>
        <v>86.827874999999992</v>
      </c>
      <c r="M63" s="6">
        <v>1.0349999999999999</v>
      </c>
      <c r="S63" t="s">
        <v>98</v>
      </c>
      <c r="T63">
        <v>9358</v>
      </c>
    </row>
    <row r="64" spans="1:20" customFormat="1" ht="18" x14ac:dyDescent="0.25">
      <c r="A64" s="12">
        <v>44</v>
      </c>
      <c r="B64" s="12" t="s">
        <v>97</v>
      </c>
      <c r="C64" s="12" t="s">
        <v>28</v>
      </c>
      <c r="D64" s="10" t="s">
        <v>27</v>
      </c>
      <c r="E64" s="9" t="s">
        <v>18</v>
      </c>
      <c r="F64" s="7">
        <f>19.35+0.79</f>
        <v>20.14</v>
      </c>
      <c r="G64" s="7">
        <f>$F$5*(0.0157+0.002+0.0005-0.00001)</f>
        <v>45.475000000000001</v>
      </c>
      <c r="H64" s="7">
        <f t="shared" si="9"/>
        <v>65.615000000000009</v>
      </c>
      <c r="I64" s="13" t="s">
        <v>23</v>
      </c>
      <c r="J64" s="7">
        <f>(0.0069+0.0053)*$F$5*M64</f>
        <v>32.580099999999995</v>
      </c>
      <c r="K64" s="7">
        <f t="shared" si="10"/>
        <v>18.991994999999999</v>
      </c>
      <c r="L64" s="7">
        <f t="shared" si="11"/>
        <v>117.187095</v>
      </c>
      <c r="M64" s="6">
        <v>1.0682</v>
      </c>
      <c r="S64" t="s">
        <v>96</v>
      </c>
      <c r="T64">
        <v>32140</v>
      </c>
    </row>
    <row r="65" spans="1:20" customFormat="1" ht="18" x14ac:dyDescent="0.25">
      <c r="A65" s="12">
        <v>45</v>
      </c>
      <c r="B65" s="24" t="s">
        <v>95</v>
      </c>
      <c r="C65" s="12" t="s">
        <v>33</v>
      </c>
      <c r="D65" s="31" t="s">
        <v>94</v>
      </c>
      <c r="E65" s="9" t="s">
        <v>18</v>
      </c>
      <c r="F65" s="7">
        <f>18.61+0.79+0.98-1.423+1.51</f>
        <v>20.467000000000002</v>
      </c>
      <c r="G65" s="7">
        <f>$F$5*(-0.0018+0.011+0.0006+0.0036-0.0032)</f>
        <v>25.499999999999996</v>
      </c>
      <c r="H65" s="7">
        <f t="shared" si="9"/>
        <v>45.966999999999999</v>
      </c>
      <c r="I65" s="13" t="s">
        <v>23</v>
      </c>
      <c r="J65" s="7">
        <f>(0.0073+0.006)*$F$5*M65</f>
        <v>34.496875000000003</v>
      </c>
      <c r="K65" s="7">
        <f t="shared" si="10"/>
        <v>10.4428125</v>
      </c>
      <c r="L65" s="7">
        <f t="shared" si="11"/>
        <v>90.906687500000004</v>
      </c>
      <c r="M65" s="6">
        <v>1.0375000000000001</v>
      </c>
      <c r="S65" t="s">
        <v>93</v>
      </c>
      <c r="T65">
        <v>316596</v>
      </c>
    </row>
    <row r="66" spans="1:20" customFormat="1" ht="18" x14ac:dyDescent="0.25">
      <c r="A66" s="12">
        <v>46</v>
      </c>
      <c r="B66" s="12" t="s">
        <v>92</v>
      </c>
      <c r="C66" s="12" t="s">
        <v>91</v>
      </c>
      <c r="D66" s="10" t="s">
        <v>19</v>
      </c>
      <c r="E66" s="9" t="s">
        <v>18</v>
      </c>
      <c r="F66" s="7">
        <f>18.06+0.79-0.11</f>
        <v>18.739999999999998</v>
      </c>
      <c r="G66" s="7">
        <f>$F$5*(0.0111)</f>
        <v>27.75</v>
      </c>
      <c r="H66" s="7">
        <f t="shared" si="9"/>
        <v>46.489999999999995</v>
      </c>
      <c r="I66" s="13" t="s">
        <v>23</v>
      </c>
      <c r="J66" s="7">
        <f>(0.0084+0.0068)*$F$5*M66</f>
        <v>39.45539999999999</v>
      </c>
      <c r="K66" s="7">
        <f t="shared" si="10"/>
        <v>10.665592500000001</v>
      </c>
      <c r="L66" s="7">
        <f t="shared" si="11"/>
        <v>96.610992499999981</v>
      </c>
      <c r="M66" s="6">
        <v>1.0383</v>
      </c>
      <c r="S66" t="s">
        <v>90</v>
      </c>
      <c r="T66">
        <v>29635</v>
      </c>
    </row>
    <row r="67" spans="1:20" customFormat="1" ht="18" x14ac:dyDescent="0.25">
      <c r="A67" s="12">
        <v>47</v>
      </c>
      <c r="B67" s="12" t="s">
        <v>89</v>
      </c>
      <c r="C67" s="12" t="s">
        <v>24</v>
      </c>
      <c r="D67" s="10" t="s">
        <v>27</v>
      </c>
      <c r="E67" s="9" t="s">
        <v>18</v>
      </c>
      <c r="F67" s="7">
        <f>21.06+0.79-0.28+0.13</f>
        <v>21.699999999999996</v>
      </c>
      <c r="G67" s="7">
        <f>$F$5*(0.0098-0.0036-0.001+0.0007)</f>
        <v>14.75</v>
      </c>
      <c r="H67" s="7">
        <f t="shared" si="9"/>
        <v>36.449999999999996</v>
      </c>
      <c r="I67" s="13" t="s">
        <v>23</v>
      </c>
      <c r="J67" s="7">
        <f>(0.0072+0.0015)*$F$5*M67</f>
        <v>22.574325000000002</v>
      </c>
      <c r="K67" s="7">
        <f t="shared" si="10"/>
        <v>10.554202500000001</v>
      </c>
      <c r="L67" s="7">
        <f t="shared" si="11"/>
        <v>69.578527499999993</v>
      </c>
      <c r="M67" s="6">
        <v>1.0379</v>
      </c>
      <c r="S67" s="30" t="s">
        <v>88</v>
      </c>
      <c r="T67">
        <v>3756</v>
      </c>
    </row>
    <row r="68" spans="1:20" customFormat="1" ht="18" x14ac:dyDescent="0.25">
      <c r="A68" s="12">
        <v>48</v>
      </c>
      <c r="B68" s="12" t="s">
        <v>87</v>
      </c>
      <c r="C68" s="12" t="s">
        <v>24</v>
      </c>
      <c r="D68" s="10" t="s">
        <v>27</v>
      </c>
      <c r="E68" s="9"/>
      <c r="F68" s="7">
        <f>21.94-0.14+0.79+0.93</f>
        <v>23.52</v>
      </c>
      <c r="G68" s="7">
        <f>$F$5*(0.0139+0.0005-0.003-0.0001)</f>
        <v>28.250000000000004</v>
      </c>
      <c r="H68" s="7">
        <f t="shared" si="9"/>
        <v>51.77</v>
      </c>
      <c r="I68" s="13" t="s">
        <v>23</v>
      </c>
      <c r="J68" s="7">
        <f>(0.0071+0.0053)*$F$5*M68</f>
        <v>32.484900000000003</v>
      </c>
      <c r="K68" s="7">
        <f t="shared" si="10"/>
        <v>13.3389525</v>
      </c>
      <c r="L68" s="7">
        <f t="shared" si="11"/>
        <v>97.593852500000011</v>
      </c>
      <c r="M68" s="6">
        <v>1.0479000000000001</v>
      </c>
      <c r="S68" s="30" t="s">
        <v>86</v>
      </c>
      <c r="T68">
        <v>5040</v>
      </c>
    </row>
    <row r="69" spans="1:20" customFormat="1" ht="18" x14ac:dyDescent="0.25">
      <c r="A69" s="12">
        <v>49</v>
      </c>
      <c r="B69" s="12" t="s">
        <v>85</v>
      </c>
      <c r="C69" s="12" t="s">
        <v>20</v>
      </c>
      <c r="D69" s="10" t="s">
        <v>84</v>
      </c>
      <c r="E69" s="9" t="s">
        <v>18</v>
      </c>
      <c r="F69" s="7">
        <f>24.85+0.1+0.93+0.79-0.37</f>
        <v>26.3</v>
      </c>
      <c r="G69" s="7">
        <f>$F$5*(0.0164+0.0009-0.0002+0.0002)</f>
        <v>43.250000000000007</v>
      </c>
      <c r="H69" s="7">
        <f t="shared" si="9"/>
        <v>69.550000000000011</v>
      </c>
      <c r="I69" s="13" t="s">
        <v>23</v>
      </c>
      <c r="J69" s="7">
        <f>(0.0067+0.0032)*$F$5*M69</f>
        <v>26.145900000000005</v>
      </c>
      <c r="K69" s="7">
        <f t="shared" si="10"/>
        <v>15.70599</v>
      </c>
      <c r="L69" s="7">
        <f t="shared" si="11"/>
        <v>111.40189000000002</v>
      </c>
      <c r="M69" s="6">
        <v>1.0564</v>
      </c>
      <c r="S69" t="s">
        <v>83</v>
      </c>
      <c r="T69">
        <v>2335</v>
      </c>
    </row>
    <row r="70" spans="1:20" customFormat="1" ht="18" x14ac:dyDescent="0.25">
      <c r="A70" s="12">
        <v>50</v>
      </c>
      <c r="B70" s="12" t="s">
        <v>82</v>
      </c>
      <c r="C70" s="12" t="s">
        <v>24</v>
      </c>
      <c r="D70" s="10" t="s">
        <v>27</v>
      </c>
      <c r="E70" s="9" t="s">
        <v>18</v>
      </c>
      <c r="F70" s="7">
        <f>18.9+0.79</f>
        <v>19.689999999999998</v>
      </c>
      <c r="G70" s="7">
        <f>$F$5*(0.0108+0.00007-0.0038-0.0036)</f>
        <v>8.6750000000000043</v>
      </c>
      <c r="H70" s="7">
        <f t="shared" si="9"/>
        <v>28.365000000000002</v>
      </c>
      <c r="I70" s="8" t="s">
        <v>17</v>
      </c>
      <c r="J70" s="7">
        <f>(0.0067+0.0058)*$F$5*M70</f>
        <v>32.721874999999997</v>
      </c>
      <c r="K70" s="7">
        <f t="shared" si="10"/>
        <v>13.116172500000001</v>
      </c>
      <c r="L70" s="7">
        <f t="shared" si="11"/>
        <v>74.203047499999997</v>
      </c>
      <c r="M70" s="6">
        <v>1.0470999999999999</v>
      </c>
      <c r="S70" t="s">
        <v>81</v>
      </c>
      <c r="T70">
        <v>15046</v>
      </c>
    </row>
    <row r="71" spans="1:20" customFormat="1" ht="18" x14ac:dyDescent="0.25">
      <c r="A71" s="12">
        <v>51</v>
      </c>
      <c r="B71" s="12" t="s">
        <v>80</v>
      </c>
      <c r="C71" s="12" t="s">
        <v>28</v>
      </c>
      <c r="D71" s="10" t="s">
        <v>27</v>
      </c>
      <c r="E71" s="9" t="s">
        <v>18</v>
      </c>
      <c r="F71" s="7">
        <f>24.25+0.79</f>
        <v>25.04</v>
      </c>
      <c r="G71" s="7">
        <f>$F$5*(0.0123+0.0013+0.0039)</f>
        <v>43.750000000000007</v>
      </c>
      <c r="H71" s="7">
        <f t="shared" si="9"/>
        <v>68.790000000000006</v>
      </c>
      <c r="I71" s="13" t="s">
        <v>23</v>
      </c>
      <c r="J71" s="7">
        <f>(0.0059+0.0027)*$F$5*M71</f>
        <v>23.03295</v>
      </c>
      <c r="K71" s="7">
        <f t="shared" si="10"/>
        <v>19.8552675</v>
      </c>
      <c r="L71" s="7">
        <f t="shared" si="11"/>
        <v>111.6782175</v>
      </c>
      <c r="M71" s="6">
        <v>1.0712999999999999</v>
      </c>
      <c r="S71" t="s">
        <v>79</v>
      </c>
      <c r="T71">
        <v>45319</v>
      </c>
    </row>
    <row r="72" spans="1:20" customFormat="1" ht="18" x14ac:dyDescent="0.25">
      <c r="A72" s="30">
        <v>52</v>
      </c>
      <c r="B72" s="30" t="s">
        <v>78</v>
      </c>
      <c r="C72" s="30" t="s">
        <v>24</v>
      </c>
      <c r="D72" s="29" t="s">
        <v>27</v>
      </c>
      <c r="E72" s="28" t="s">
        <v>77</v>
      </c>
      <c r="F72" s="27">
        <f>18.22+0.77+0.79</f>
        <v>19.779999999999998</v>
      </c>
      <c r="G72" s="27">
        <f>$F$5*(0.0121+0.0004)</f>
        <v>31.249999999999996</v>
      </c>
      <c r="H72" s="27">
        <f t="shared" si="9"/>
        <v>51.029999999999994</v>
      </c>
      <c r="I72" s="13" t="s">
        <v>23</v>
      </c>
      <c r="J72" s="27">
        <f>(0.0081+0.0055)*$F$5*M72</f>
        <v>35.278400000000005</v>
      </c>
      <c r="K72" s="27">
        <f t="shared" si="10"/>
        <v>10.470660000000001</v>
      </c>
      <c r="L72" s="27">
        <f t="shared" si="11"/>
        <v>96.779060000000001</v>
      </c>
      <c r="M72" s="26">
        <v>1.0376000000000001</v>
      </c>
      <c r="S72" t="s">
        <v>76</v>
      </c>
      <c r="T72">
        <v>6191</v>
      </c>
    </row>
    <row r="73" spans="1:20" customFormat="1" ht="18" x14ac:dyDescent="0.25">
      <c r="A73" s="12">
        <v>53</v>
      </c>
      <c r="B73" s="12" t="s">
        <v>75</v>
      </c>
      <c r="C73" s="12" t="s">
        <v>28</v>
      </c>
      <c r="D73" s="10" t="s">
        <v>27</v>
      </c>
      <c r="E73" s="9" t="s">
        <v>18</v>
      </c>
      <c r="F73" s="7">
        <f>18.19+0.17+0.79</f>
        <v>19.150000000000002</v>
      </c>
      <c r="G73" s="7">
        <f>$F$5*(0.0102+0.0017+0.0007-0.0007-0.0014)</f>
        <v>26.25</v>
      </c>
      <c r="H73" s="7">
        <f t="shared" si="9"/>
        <v>45.400000000000006</v>
      </c>
      <c r="I73" s="13" t="s">
        <v>23</v>
      </c>
      <c r="J73" s="7">
        <f>(0.0068+0.0037)*$F$5*M73</f>
        <v>27.512624999999996</v>
      </c>
      <c r="K73" s="7">
        <f t="shared" si="10"/>
        <v>13.3946475</v>
      </c>
      <c r="L73" s="7">
        <f t="shared" si="11"/>
        <v>86.30727250000001</v>
      </c>
      <c r="M73" s="6">
        <v>1.0481</v>
      </c>
      <c r="S73" t="s">
        <v>74</v>
      </c>
      <c r="T73">
        <v>661959</v>
      </c>
    </row>
    <row r="74" spans="1:20" customFormat="1" ht="18" x14ac:dyDescent="0.25">
      <c r="A74" s="12">
        <v>54</v>
      </c>
      <c r="B74" s="12" t="s">
        <v>73</v>
      </c>
      <c r="C74" s="12" t="s">
        <v>28</v>
      </c>
      <c r="D74" s="10" t="s">
        <v>27</v>
      </c>
      <c r="E74" s="9" t="s">
        <v>18</v>
      </c>
      <c r="F74" s="7">
        <f>17.68+2.56-3.63-0.08+0.79</f>
        <v>17.32</v>
      </c>
      <c r="G74" s="7">
        <f>$F$5*(0.0127+0.0006+0.0013-0.0028)</f>
        <v>29.499999999999996</v>
      </c>
      <c r="H74" s="7">
        <f t="shared" si="9"/>
        <v>46.819999999999993</v>
      </c>
      <c r="I74" s="13" t="s">
        <v>23</v>
      </c>
      <c r="J74" s="7">
        <f>(0.0054+0.0041)*$F$5*M74</f>
        <v>25.082375000000006</v>
      </c>
      <c r="K74" s="7">
        <f t="shared" si="10"/>
        <v>15.6224475</v>
      </c>
      <c r="L74" s="7">
        <f t="shared" si="11"/>
        <v>87.524822499999999</v>
      </c>
      <c r="M74" s="6">
        <v>1.0561</v>
      </c>
      <c r="S74" t="s">
        <v>72</v>
      </c>
      <c r="T74">
        <v>107574</v>
      </c>
    </row>
    <row r="75" spans="1:20" customFormat="1" ht="18" x14ac:dyDescent="0.25">
      <c r="A75" s="12">
        <v>55</v>
      </c>
      <c r="B75" s="12" t="s">
        <v>71</v>
      </c>
      <c r="C75" s="24" t="s">
        <v>70</v>
      </c>
      <c r="D75" s="25" t="s">
        <v>19</v>
      </c>
      <c r="E75" s="9" t="s">
        <v>18</v>
      </c>
      <c r="F75" s="7">
        <f>11.21+0.79+0.06+0.6</f>
        <v>12.66</v>
      </c>
      <c r="G75" s="7">
        <f>$F$5*(0.0142+0.0013+0.0006)</f>
        <v>40.25</v>
      </c>
      <c r="H75" s="7">
        <f t="shared" si="9"/>
        <v>52.91</v>
      </c>
      <c r="I75" s="8" t="s">
        <v>17</v>
      </c>
      <c r="J75" s="7">
        <f>(0.0078+0.0062)*$F$5*M75</f>
        <v>36.700999999999993</v>
      </c>
      <c r="K75" s="7">
        <f t="shared" si="10"/>
        <v>13.533885</v>
      </c>
      <c r="L75" s="7">
        <f t="shared" si="11"/>
        <v>103.14488499999999</v>
      </c>
      <c r="M75" s="6">
        <v>1.0486</v>
      </c>
      <c r="S75" t="s">
        <v>69</v>
      </c>
      <c r="T75">
        <v>12165</v>
      </c>
    </row>
    <row r="76" spans="1:20" customFormat="1" ht="18" x14ac:dyDescent="0.25">
      <c r="A76" s="12">
        <v>56</v>
      </c>
      <c r="B76" s="12" t="s">
        <v>68</v>
      </c>
      <c r="C76" s="12" t="s">
        <v>33</v>
      </c>
      <c r="D76" s="10" t="s">
        <v>27</v>
      </c>
      <c r="E76" s="9" t="s">
        <v>18</v>
      </c>
      <c r="F76" s="7">
        <f>14.02+0.32+1.68+0.07+0.79+0.11</f>
        <v>16.989999999999998</v>
      </c>
      <c r="G76" s="7">
        <f>$F$5*(0.0129+0.0008-0.0008-0.0027-0.0004+0.0003)</f>
        <v>25.250000000000004</v>
      </c>
      <c r="H76" s="7">
        <f t="shared" si="9"/>
        <v>42.24</v>
      </c>
      <c r="I76" s="13" t="s">
        <v>23</v>
      </c>
      <c r="J76" s="7">
        <f>(0.0059+0.0045)*$F$5*M76</f>
        <v>27.188200000000002</v>
      </c>
      <c r="K76" s="7">
        <f t="shared" si="10"/>
        <v>12.726307500000001</v>
      </c>
      <c r="L76" s="7">
        <f t="shared" si="11"/>
        <v>82.154507500000008</v>
      </c>
      <c r="M76" s="6">
        <v>1.0457000000000001</v>
      </c>
      <c r="S76" t="s">
        <v>67</v>
      </c>
      <c r="T76">
        <v>48409</v>
      </c>
    </row>
    <row r="77" spans="1:20" customFormat="1" ht="18" x14ac:dyDescent="0.25">
      <c r="A77" s="12">
        <v>57</v>
      </c>
      <c r="B77" s="24" t="s">
        <v>66</v>
      </c>
      <c r="C77" s="12" t="s">
        <v>24</v>
      </c>
      <c r="D77" s="10" t="s">
        <v>19</v>
      </c>
      <c r="E77" s="9" t="s">
        <v>18</v>
      </c>
      <c r="F77" s="7">
        <f>26.52+4.11+0.79</f>
        <v>31.419999999999998</v>
      </c>
      <c r="G77" s="7">
        <f>$F$5*(0.0146+0.0011)</f>
        <v>39.25</v>
      </c>
      <c r="H77" s="7">
        <f t="shared" si="9"/>
        <v>70.67</v>
      </c>
      <c r="I77" s="13" t="s">
        <v>23</v>
      </c>
      <c r="J77" s="7">
        <f>(0.0043+0.0033)*$F$5*M77</f>
        <v>20.537099999999999</v>
      </c>
      <c r="K77" s="7">
        <f t="shared" si="10"/>
        <v>22.528627499999999</v>
      </c>
      <c r="L77" s="7">
        <f t="shared" si="11"/>
        <v>113.7357275</v>
      </c>
      <c r="M77" s="6">
        <v>1.0809</v>
      </c>
      <c r="T77">
        <v>20549</v>
      </c>
    </row>
    <row r="78" spans="1:20" customFormat="1" ht="18" x14ac:dyDescent="0.25">
      <c r="A78" s="12">
        <v>58</v>
      </c>
      <c r="B78" s="12" t="s">
        <v>65</v>
      </c>
      <c r="C78" s="12" t="s">
        <v>28</v>
      </c>
      <c r="D78" s="10" t="s">
        <v>27</v>
      </c>
      <c r="E78" s="9" t="s">
        <v>18</v>
      </c>
      <c r="F78" s="7">
        <f>15.2+0.79+0.05</f>
        <v>16.04</v>
      </c>
      <c r="G78" s="7">
        <f>$F$5*(0.0094+0.001+0.0016-0.0002)</f>
        <v>29.5</v>
      </c>
      <c r="H78" s="7">
        <f t="shared" si="9"/>
        <v>45.54</v>
      </c>
      <c r="I78" s="8" t="s">
        <v>17</v>
      </c>
      <c r="J78" s="7">
        <f>(0.007+0.0052)*$F$5*M78</f>
        <v>32.171399999999998</v>
      </c>
      <c r="K78" s="7">
        <f t="shared" si="10"/>
        <v>15.260430000000001</v>
      </c>
      <c r="L78" s="7">
        <f t="shared" si="11"/>
        <v>92.971829999999997</v>
      </c>
      <c r="M78" s="6">
        <v>1.0548</v>
      </c>
      <c r="S78" t="s">
        <v>64</v>
      </c>
      <c r="T78">
        <v>3213</v>
      </c>
    </row>
    <row r="79" spans="1:20" customFormat="1" ht="18" x14ac:dyDescent="0.25">
      <c r="A79" s="11">
        <v>59</v>
      </c>
      <c r="B79" s="11" t="s">
        <v>63</v>
      </c>
      <c r="C79" s="11" t="s">
        <v>44</v>
      </c>
      <c r="D79" s="23" t="s">
        <v>19</v>
      </c>
      <c r="E79" s="22"/>
      <c r="F79" s="20"/>
      <c r="G79" s="20"/>
      <c r="H79" s="20"/>
      <c r="I79" s="21"/>
      <c r="J79" s="20"/>
      <c r="K79" s="20"/>
      <c r="L79" s="20"/>
      <c r="M79" s="19"/>
      <c r="S79" t="s">
        <v>62</v>
      </c>
      <c r="T79">
        <v>3273</v>
      </c>
    </row>
    <row r="80" spans="1:20" customFormat="1" ht="18" x14ac:dyDescent="0.25">
      <c r="A80" s="12">
        <v>60</v>
      </c>
      <c r="B80" s="12" t="s">
        <v>61</v>
      </c>
      <c r="C80" s="12" t="s">
        <v>60</v>
      </c>
      <c r="D80" s="9"/>
      <c r="E80" s="9" t="s">
        <v>18</v>
      </c>
      <c r="F80" s="7">
        <f>12.9+0.2+1.33-0.04-0.1+0.06+0.12+0.79+0.07</f>
        <v>15.330000000000002</v>
      </c>
      <c r="G80" s="7">
        <f>$F$5*(0.0143+0.0003+0.0003-0.0003+0.0001)</f>
        <v>36.75</v>
      </c>
      <c r="H80" s="7">
        <f>F80+G80</f>
        <v>52.08</v>
      </c>
      <c r="I80" s="13" t="s">
        <v>23</v>
      </c>
      <c r="J80" s="7">
        <f>(0.008+0.0035)*$F$5*M80</f>
        <v>29.741875</v>
      </c>
      <c r="K80" s="7">
        <f>(M80*$F$5-$F$5)*$O$5</f>
        <v>9.6073874999999997</v>
      </c>
      <c r="L80" s="7">
        <f>H80+J80+K80</f>
        <v>91.429262500000007</v>
      </c>
      <c r="M80" s="6">
        <v>1.0345</v>
      </c>
      <c r="T80">
        <v>20060</v>
      </c>
    </row>
    <row r="81" spans="1:20" customFormat="1" ht="18" x14ac:dyDescent="0.25">
      <c r="A81" s="12">
        <v>61</v>
      </c>
      <c r="B81" s="12" t="s">
        <v>59</v>
      </c>
      <c r="C81" s="12" t="s">
        <v>28</v>
      </c>
      <c r="D81" s="10" t="s">
        <v>27</v>
      </c>
      <c r="E81" s="9" t="s">
        <v>18</v>
      </c>
      <c r="F81" s="7">
        <f>13.23+0.79+0.05</f>
        <v>14.07</v>
      </c>
      <c r="G81" s="7">
        <f>$F$5*(0.0137+0.0002)</f>
        <v>34.75</v>
      </c>
      <c r="H81" s="7">
        <f>F81+G81</f>
        <v>48.82</v>
      </c>
      <c r="I81" s="13" t="s">
        <v>23</v>
      </c>
      <c r="J81" s="7">
        <f>(0.0061+0)*$F$5*M81</f>
        <v>15.995725</v>
      </c>
      <c r="K81" s="7">
        <f>(M81*$F$5-$F$5)*$O$5</f>
        <v>13.6174275</v>
      </c>
      <c r="L81" s="7">
        <f>H81+J81+K81</f>
        <v>78.433152500000006</v>
      </c>
      <c r="M81" s="6">
        <v>1.0488999999999999</v>
      </c>
      <c r="S81" t="s">
        <v>58</v>
      </c>
      <c r="T81">
        <v>38963</v>
      </c>
    </row>
    <row r="82" spans="1:20" customFormat="1" ht="18" x14ac:dyDescent="0.25">
      <c r="A82">
        <v>62</v>
      </c>
      <c r="B82" t="s">
        <v>57</v>
      </c>
      <c r="C82" s="5" t="s">
        <v>33</v>
      </c>
      <c r="D82" s="18" t="s">
        <v>27</v>
      </c>
      <c r="E82" s="17"/>
      <c r="F82" s="15"/>
      <c r="G82" s="15"/>
      <c r="H82" s="15"/>
      <c r="I82" s="16"/>
      <c r="J82" s="15"/>
      <c r="K82" s="15"/>
      <c r="L82" s="15"/>
      <c r="M82" s="14"/>
      <c r="S82" t="s">
        <v>56</v>
      </c>
      <c r="T82">
        <v>14299</v>
      </c>
    </row>
    <row r="83" spans="1:20" customFormat="1" ht="18" x14ac:dyDescent="0.25">
      <c r="A83">
        <v>63</v>
      </c>
      <c r="B83" t="s">
        <v>55</v>
      </c>
      <c r="C83" s="5" t="s">
        <v>33</v>
      </c>
      <c r="D83" s="18" t="s">
        <v>27</v>
      </c>
      <c r="E83" s="17"/>
      <c r="F83" s="15"/>
      <c r="G83" s="15"/>
      <c r="H83" s="15"/>
      <c r="I83" s="16"/>
      <c r="J83" s="15"/>
      <c r="K83" s="15"/>
      <c r="L83" s="15"/>
      <c r="M83" s="14"/>
      <c r="S83" t="s">
        <v>54</v>
      </c>
    </row>
    <row r="84" spans="1:20" customFormat="1" ht="18" x14ac:dyDescent="0.25">
      <c r="A84" s="12">
        <v>64</v>
      </c>
      <c r="B84" s="12" t="s">
        <v>53</v>
      </c>
      <c r="C84" s="12" t="s">
        <v>28</v>
      </c>
      <c r="D84" s="10" t="s">
        <v>27</v>
      </c>
      <c r="E84" s="9" t="s">
        <v>18</v>
      </c>
      <c r="F84" s="7">
        <f>31.23+0.79</f>
        <v>32.020000000000003</v>
      </c>
      <c r="G84" s="7">
        <f>$F$5*(0.0089+0.0037-0.0032)</f>
        <v>23.5</v>
      </c>
      <c r="H84" s="7">
        <f t="shared" ref="H84:H97" si="12">F84+G84</f>
        <v>55.52</v>
      </c>
      <c r="I84" s="13" t="s">
        <v>23</v>
      </c>
      <c r="J84" s="7">
        <f>(0.0068+0.0017)*$F$5*M84</f>
        <v>23.156124999999992</v>
      </c>
      <c r="K84" s="7">
        <f t="shared" ref="K84:K97" si="13">(M84*$F$5-$F$5)*$O$5</f>
        <v>24.979207499999951</v>
      </c>
      <c r="L84" s="7">
        <f t="shared" ref="L84:L97" si="14">H84+J84+K84</f>
        <v>103.65533249999996</v>
      </c>
      <c r="M84" s="6">
        <v>1.0896999999999999</v>
      </c>
      <c r="S84" t="s">
        <v>52</v>
      </c>
    </row>
    <row r="85" spans="1:20" customFormat="1" ht="18" x14ac:dyDescent="0.25">
      <c r="A85" s="12">
        <v>65</v>
      </c>
      <c r="B85" s="12" t="s">
        <v>51</v>
      </c>
      <c r="C85" s="12" t="s">
        <v>28</v>
      </c>
      <c r="D85" s="10" t="s">
        <v>19</v>
      </c>
      <c r="E85" s="9" t="s">
        <v>18</v>
      </c>
      <c r="F85" s="7">
        <f>17.31+0.79+0.37</f>
        <v>18.47</v>
      </c>
      <c r="G85" s="7">
        <f>$F$5*(0.0128-0.0037)</f>
        <v>22.75</v>
      </c>
      <c r="H85" s="7">
        <f t="shared" si="12"/>
        <v>41.22</v>
      </c>
      <c r="I85" s="13" t="s">
        <v>23</v>
      </c>
      <c r="J85" s="7">
        <f>(0.0074+0.0058)*$F$5*M85</f>
        <v>34.296899999999994</v>
      </c>
      <c r="K85" s="7">
        <f t="shared" si="13"/>
        <v>10.944067499999949</v>
      </c>
      <c r="L85" s="7">
        <f t="shared" si="14"/>
        <v>86.460967499999938</v>
      </c>
      <c r="M85" s="6">
        <v>1.0392999999999999</v>
      </c>
      <c r="S85" t="s">
        <v>50</v>
      </c>
    </row>
    <row r="86" spans="1:20" customFormat="1" ht="18" x14ac:dyDescent="0.25">
      <c r="A86" s="12">
        <v>66</v>
      </c>
      <c r="B86" s="12" t="s">
        <v>49</v>
      </c>
      <c r="C86" s="12" t="s">
        <v>28</v>
      </c>
      <c r="D86" s="10" t="s">
        <v>27</v>
      </c>
      <c r="E86" s="9" t="s">
        <v>18</v>
      </c>
      <c r="F86" s="7">
        <f>15.24+0.79</f>
        <v>16.03</v>
      </c>
      <c r="G86" s="7">
        <f>$F$5*(0.0097-0.001)</f>
        <v>21.75</v>
      </c>
      <c r="H86" s="7">
        <f t="shared" si="12"/>
        <v>37.78</v>
      </c>
      <c r="I86" s="8" t="s">
        <v>17</v>
      </c>
      <c r="J86" s="7">
        <f>(0.0061+0.0046)*$F$5*M86</f>
        <v>27.664850000000005</v>
      </c>
      <c r="K86" s="7">
        <f t="shared" si="13"/>
        <v>9.5238449999999997</v>
      </c>
      <c r="L86" s="7">
        <f t="shared" si="14"/>
        <v>74.968694999999997</v>
      </c>
      <c r="M86" s="6">
        <v>1.0342</v>
      </c>
      <c r="S86" t="s">
        <v>48</v>
      </c>
    </row>
    <row r="87" spans="1:20" customFormat="1" ht="18" x14ac:dyDescent="0.25">
      <c r="A87" s="12">
        <v>67</v>
      </c>
      <c r="B87" s="12" t="s">
        <v>47</v>
      </c>
      <c r="C87" s="12" t="s">
        <v>24</v>
      </c>
      <c r="D87" s="10" t="s">
        <v>27</v>
      </c>
      <c r="E87" s="9" t="s">
        <v>18</v>
      </c>
      <c r="F87" s="7">
        <f>13.8+0.79</f>
        <v>14.59</v>
      </c>
      <c r="G87" s="7">
        <f>$F$5*(0.0197+0.0014)</f>
        <v>52.749999999999993</v>
      </c>
      <c r="H87" s="7">
        <f t="shared" si="12"/>
        <v>67.339999999999989</v>
      </c>
      <c r="I87" s="13" t="s">
        <v>23</v>
      </c>
      <c r="J87" s="7">
        <f>(0.0069+0.0056)*$F$5*M87</f>
        <v>32.290625000000006</v>
      </c>
      <c r="K87" s="7">
        <f t="shared" si="13"/>
        <v>9.273217500000051</v>
      </c>
      <c r="L87" s="7">
        <f t="shared" si="14"/>
        <v>108.90384250000005</v>
      </c>
      <c r="M87" s="6">
        <v>1.0333000000000001</v>
      </c>
      <c r="S87" t="s">
        <v>46</v>
      </c>
    </row>
    <row r="88" spans="1:20" customFormat="1" ht="18" x14ac:dyDescent="0.25">
      <c r="A88" s="12">
        <v>68</v>
      </c>
      <c r="B88" s="12" t="s">
        <v>45</v>
      </c>
      <c r="C88" s="12" t="s">
        <v>44</v>
      </c>
      <c r="D88" s="10" t="s">
        <v>19</v>
      </c>
      <c r="E88" s="9" t="s">
        <v>18</v>
      </c>
      <c r="F88" s="7">
        <f>22.78+0.08+0.78+0.06+0.28-0.17-0.08-0.03-0.48-1.48+0.1+0.03+0.46+0.88+0.28</f>
        <v>23.490000000000002</v>
      </c>
      <c r="G88" s="7">
        <f>$F$5*(0.0188+0.00006-0.00009)</f>
        <v>46.925000000000004</v>
      </c>
      <c r="H88" s="7">
        <f t="shared" si="12"/>
        <v>70.415000000000006</v>
      </c>
      <c r="I88" s="13" t="s">
        <v>23</v>
      </c>
      <c r="J88" s="7">
        <f>(0.00914+0.00786)*$F$5*M88</f>
        <v>44.098000000000006</v>
      </c>
      <c r="K88" s="7">
        <f t="shared" si="13"/>
        <v>10.470660000000001</v>
      </c>
      <c r="L88" s="7">
        <f t="shared" si="14"/>
        <v>124.98366</v>
      </c>
      <c r="M88" s="6">
        <v>1.0376000000000001</v>
      </c>
      <c r="S88" t="s">
        <v>43</v>
      </c>
    </row>
    <row r="89" spans="1:20" customFormat="1" ht="18" x14ac:dyDescent="0.25">
      <c r="A89" s="12">
        <v>69</v>
      </c>
      <c r="B89" s="12" t="s">
        <v>42</v>
      </c>
      <c r="C89" s="12" t="s">
        <v>28</v>
      </c>
      <c r="D89" s="10" t="s">
        <v>27</v>
      </c>
      <c r="E89" s="9" t="s">
        <v>18</v>
      </c>
      <c r="F89" s="7">
        <f>16.3+0.79</f>
        <v>17.09</v>
      </c>
      <c r="G89" s="7">
        <f>$F$5*(0.0123+0.001)</f>
        <v>33.25</v>
      </c>
      <c r="H89" s="7">
        <f t="shared" si="12"/>
        <v>50.34</v>
      </c>
      <c r="I89" s="13" t="s">
        <v>23</v>
      </c>
      <c r="J89" s="7">
        <f>(0.0068+0.0047)*$F$5*M89</f>
        <v>30.135750000000002</v>
      </c>
      <c r="K89" s="7">
        <f t="shared" si="13"/>
        <v>13.422495</v>
      </c>
      <c r="L89" s="7">
        <f t="shared" si="14"/>
        <v>93.898245000000003</v>
      </c>
      <c r="M89" s="6">
        <v>1.0482</v>
      </c>
      <c r="S89" t="s">
        <v>41</v>
      </c>
    </row>
    <row r="90" spans="1:20" customFormat="1" ht="18" x14ac:dyDescent="0.25">
      <c r="A90" s="12">
        <v>70</v>
      </c>
      <c r="B90" s="12" t="s">
        <v>40</v>
      </c>
      <c r="C90" s="12" t="s">
        <v>33</v>
      </c>
      <c r="D90" s="10" t="s">
        <v>27</v>
      </c>
      <c r="E90" s="9" t="s">
        <v>18</v>
      </c>
      <c r="F90" s="7">
        <f>14.91+0.79</f>
        <v>15.7</v>
      </c>
      <c r="G90" s="7">
        <f>$F$5*(0.0118+0.0024+0.0013-0.0023)</f>
        <v>33</v>
      </c>
      <c r="H90" s="7">
        <f t="shared" si="12"/>
        <v>48.7</v>
      </c>
      <c r="I90" s="13" t="s">
        <v>23</v>
      </c>
      <c r="J90" s="7">
        <f>(0.007+0.0054)*$F$5*M90</f>
        <v>33.486200000000004</v>
      </c>
      <c r="K90" s="7">
        <f t="shared" si="13"/>
        <v>22.333695000000002</v>
      </c>
      <c r="L90" s="7">
        <f t="shared" si="14"/>
        <v>104.51989500000002</v>
      </c>
      <c r="M90" s="6">
        <v>1.0802</v>
      </c>
      <c r="S90" t="s">
        <v>39</v>
      </c>
    </row>
    <row r="91" spans="1:20" customFormat="1" ht="18" x14ac:dyDescent="0.25">
      <c r="A91" s="12">
        <v>71</v>
      </c>
      <c r="B91" s="12" t="s">
        <v>38</v>
      </c>
      <c r="C91" s="12" t="s">
        <v>33</v>
      </c>
      <c r="D91" s="10" t="s">
        <v>19</v>
      </c>
      <c r="E91" s="9" t="s">
        <v>18</v>
      </c>
      <c r="F91" s="7">
        <f>19.71+0.79+0.58</f>
        <v>21.08</v>
      </c>
      <c r="G91" s="7">
        <f>$F$5*(0.0154+0.0002-0.0014+0.0016-0.0016+0.0002-0.0001)</f>
        <v>35.750000000000007</v>
      </c>
      <c r="H91" s="7">
        <f t="shared" si="12"/>
        <v>56.830000000000005</v>
      </c>
      <c r="I91" s="13" t="s">
        <v>23</v>
      </c>
      <c r="J91" s="7">
        <f>(0.0074+0.0023)*$F$5*M91</f>
        <v>25.127849999999999</v>
      </c>
      <c r="K91" s="7">
        <f t="shared" si="13"/>
        <v>10.080795</v>
      </c>
      <c r="L91" s="7">
        <f t="shared" si="14"/>
        <v>92.038645000000002</v>
      </c>
      <c r="M91" s="6">
        <v>1.0362</v>
      </c>
      <c r="S91" t="s">
        <v>37</v>
      </c>
    </row>
    <row r="92" spans="1:20" customFormat="1" ht="18" x14ac:dyDescent="0.25">
      <c r="A92" s="12">
        <v>72</v>
      </c>
      <c r="B92" s="12" t="s">
        <v>36</v>
      </c>
      <c r="C92" s="12" t="s">
        <v>28</v>
      </c>
      <c r="D92" s="10" t="s">
        <v>27</v>
      </c>
      <c r="E92" s="9" t="s">
        <v>18</v>
      </c>
      <c r="F92" s="7">
        <f>18.76+0.45+0.05+0.79</f>
        <v>20.05</v>
      </c>
      <c r="G92" s="7">
        <f>$F$5*(0.0105-0.0019)</f>
        <v>21.5</v>
      </c>
      <c r="H92" s="7">
        <f t="shared" si="12"/>
        <v>41.55</v>
      </c>
      <c r="I92" s="13" t="s">
        <v>23</v>
      </c>
      <c r="J92" s="7">
        <f>(0.0078+0.0061)*$F$5*M92</f>
        <v>36.598699999999994</v>
      </c>
      <c r="K92" s="7">
        <f t="shared" si="13"/>
        <v>14.814870000000001</v>
      </c>
      <c r="L92" s="7">
        <f t="shared" si="14"/>
        <v>92.96356999999999</v>
      </c>
      <c r="M92" s="6">
        <v>1.0531999999999999</v>
      </c>
      <c r="S92" t="s">
        <v>35</v>
      </c>
    </row>
    <row r="93" spans="1:20" customFormat="1" ht="18" x14ac:dyDescent="0.25">
      <c r="A93" s="12">
        <v>73</v>
      </c>
      <c r="B93" s="12" t="s">
        <v>34</v>
      </c>
      <c r="C93" s="12" t="s">
        <v>33</v>
      </c>
      <c r="D93" s="10" t="s">
        <v>27</v>
      </c>
      <c r="E93" s="9" t="s">
        <v>18</v>
      </c>
      <c r="F93" s="7">
        <f>23.97+0.79+0.34</f>
        <v>25.099999999999998</v>
      </c>
      <c r="G93" s="7">
        <f>$F$5*(0.0153+0.0029+0.0003+0.0001)</f>
        <v>46.500000000000007</v>
      </c>
      <c r="H93" s="7">
        <f t="shared" si="12"/>
        <v>71.600000000000009</v>
      </c>
      <c r="I93" s="13" t="s">
        <v>23</v>
      </c>
      <c r="J93" s="7">
        <f>(0.0067+0.0045)*$F$5*M93</f>
        <v>29.836800000000004</v>
      </c>
      <c r="K93" s="7">
        <f t="shared" si="13"/>
        <v>18.267960000000052</v>
      </c>
      <c r="L93" s="7">
        <f t="shared" si="14"/>
        <v>119.70476000000005</v>
      </c>
      <c r="M93" s="6">
        <v>1.0656000000000001</v>
      </c>
      <c r="S93" t="s">
        <v>32</v>
      </c>
    </row>
    <row r="94" spans="1:20" customFormat="1" ht="18" x14ac:dyDescent="0.25">
      <c r="A94" s="12">
        <v>74</v>
      </c>
      <c r="B94" s="12" t="s">
        <v>31</v>
      </c>
      <c r="C94" s="12" t="s">
        <v>28</v>
      </c>
      <c r="D94" s="10" t="s">
        <v>27</v>
      </c>
      <c r="E94" s="9" t="s">
        <v>18</v>
      </c>
      <c r="F94" s="7">
        <f>21.6+0.8+1.17+0.79</f>
        <v>24.36</v>
      </c>
      <c r="G94" s="7">
        <f>$F$5*(0.0173+0.0004-0.002)</f>
        <v>39.25</v>
      </c>
      <c r="H94" s="7">
        <f t="shared" si="12"/>
        <v>63.61</v>
      </c>
      <c r="I94" s="13" t="s">
        <v>23</v>
      </c>
      <c r="J94" s="7">
        <f>(0.0069+0.0058)*$F$5*M94</f>
        <v>33.232725000000002</v>
      </c>
      <c r="K94" s="7">
        <f t="shared" si="13"/>
        <v>13.004782500000001</v>
      </c>
      <c r="L94" s="7">
        <f t="shared" si="14"/>
        <v>109.84750750000001</v>
      </c>
      <c r="M94" s="6">
        <v>1.0467</v>
      </c>
      <c r="S94" t="s">
        <v>30</v>
      </c>
    </row>
    <row r="95" spans="1:20" customFormat="1" ht="18" x14ac:dyDescent="0.25">
      <c r="A95" s="12">
        <v>75</v>
      </c>
      <c r="B95" s="12" t="s">
        <v>29</v>
      </c>
      <c r="C95" s="12" t="s">
        <v>28</v>
      </c>
      <c r="D95" s="10" t="s">
        <v>27</v>
      </c>
      <c r="E95" s="9" t="s">
        <v>18</v>
      </c>
      <c r="F95" s="7">
        <f>16.31+0.19+0.79</f>
        <v>17.29</v>
      </c>
      <c r="G95" s="7">
        <f>$F$5*(0.0121+0.0018+0.0045)</f>
        <v>46</v>
      </c>
      <c r="H95" s="7">
        <f t="shared" si="12"/>
        <v>63.29</v>
      </c>
      <c r="I95" s="13" t="s">
        <v>23</v>
      </c>
      <c r="J95" s="7">
        <f>(0.0064+0.0045)*$F$5*M95</f>
        <v>29.157500000000002</v>
      </c>
      <c r="K95" s="7">
        <f t="shared" si="13"/>
        <v>19.49325</v>
      </c>
      <c r="L95" s="7">
        <f t="shared" si="14"/>
        <v>111.94075000000001</v>
      </c>
      <c r="M95" s="6">
        <v>1.07</v>
      </c>
      <c r="S95" t="s">
        <v>26</v>
      </c>
    </row>
    <row r="96" spans="1:20" customFormat="1" ht="18" x14ac:dyDescent="0.25">
      <c r="A96" s="12">
        <v>76</v>
      </c>
      <c r="B96" s="12" t="s">
        <v>25</v>
      </c>
      <c r="C96" s="12" t="s">
        <v>24</v>
      </c>
      <c r="D96" s="10" t="s">
        <v>19</v>
      </c>
      <c r="E96" s="9" t="s">
        <v>18</v>
      </c>
      <c r="F96" s="7">
        <f>21.2-1.9+2.2+0.79</f>
        <v>22.29</v>
      </c>
      <c r="G96" s="7">
        <f>$F$5*(0.0113+0.0006-0.0008)</f>
        <v>27.749999999999996</v>
      </c>
      <c r="H96" s="7">
        <f t="shared" si="12"/>
        <v>50.039999999999992</v>
      </c>
      <c r="I96" s="13" t="s">
        <v>23</v>
      </c>
      <c r="J96" s="7">
        <f>(0.0081+0.0063)*$F$5*M96</f>
        <v>37.634400000000007</v>
      </c>
      <c r="K96" s="7">
        <f t="shared" si="13"/>
        <v>12.64276500000005</v>
      </c>
      <c r="L96" s="7">
        <f t="shared" si="14"/>
        <v>100.31716500000005</v>
      </c>
      <c r="M96" s="6">
        <v>1.0454000000000001</v>
      </c>
      <c r="S96" t="s">
        <v>22</v>
      </c>
    </row>
    <row r="97" spans="1:19" customFormat="1" ht="18" x14ac:dyDescent="0.25">
      <c r="A97" s="12">
        <v>77</v>
      </c>
      <c r="B97" s="12" t="s">
        <v>21</v>
      </c>
      <c r="C97" s="11" t="s">
        <v>20</v>
      </c>
      <c r="D97" s="10" t="s">
        <v>19</v>
      </c>
      <c r="E97" s="9" t="s">
        <v>18</v>
      </c>
      <c r="F97" s="7">
        <f>16.38-0.16+0.79+0.64</f>
        <v>17.649999999999999</v>
      </c>
      <c r="G97" s="7">
        <f>$F$5*(0.0178-0.0002+0.0008)</f>
        <v>46</v>
      </c>
      <c r="H97" s="7">
        <f t="shared" si="12"/>
        <v>63.65</v>
      </c>
      <c r="I97" s="8" t="s">
        <v>17</v>
      </c>
      <c r="J97" s="7">
        <f>(0.0075+0.0054)*$F$5*M97</f>
        <v>33.639975</v>
      </c>
      <c r="K97" s="7">
        <f t="shared" si="13"/>
        <v>12.0022725</v>
      </c>
      <c r="L97" s="7">
        <f t="shared" si="14"/>
        <v>109.2922475</v>
      </c>
      <c r="M97" s="6">
        <v>1.0430999999999999</v>
      </c>
      <c r="S97" t="s">
        <v>16</v>
      </c>
    </row>
    <row r="98" spans="1:19" customFormat="1" x14ac:dyDescent="0.25">
      <c r="E98" s="5"/>
      <c r="F98" s="5"/>
      <c r="G98" s="5"/>
      <c r="H98" s="5"/>
      <c r="I98" s="5"/>
      <c r="J98" s="5"/>
      <c r="K98" s="5"/>
      <c r="L98" s="5"/>
      <c r="M98" s="5"/>
    </row>
    <row r="99" spans="1:19" customFormat="1" x14ac:dyDescent="0.25">
      <c r="J99" s="3">
        <f>AVERAGE(J8:J97)</f>
        <v>30.22629423076922</v>
      </c>
    </row>
    <row r="100" spans="1:19" customFormat="1" x14ac:dyDescent="0.25">
      <c r="B100" s="4" t="s">
        <v>15</v>
      </c>
      <c r="D100">
        <f>COUNTA(D96,D85,D77,D66,D60,D56,D48,D47,D36,D22,D16,D13,D8)</f>
        <v>13</v>
      </c>
      <c r="J100" s="3">
        <f>MIN(J8:J97)</f>
        <v>15.995725</v>
      </c>
      <c r="N100" t="e">
        <f>AVERAGE(N8:N97)</f>
        <v>#DIV/0!</v>
      </c>
    </row>
    <row r="101" spans="1:19" customFormat="1" x14ac:dyDescent="0.25">
      <c r="B101" s="4" t="s">
        <v>14</v>
      </c>
      <c r="D101">
        <f>COUNTA(D91, D41)</f>
        <v>2</v>
      </c>
      <c r="J101" s="3">
        <f>MAX(J8:J97)</f>
        <v>44.098000000000006</v>
      </c>
    </row>
    <row r="102" spans="1:19" customFormat="1" x14ac:dyDescent="0.25">
      <c r="B102" s="4" t="s">
        <v>13</v>
      </c>
      <c r="D102">
        <f>COUNTA(D59)</f>
        <v>1</v>
      </c>
    </row>
    <row r="104" spans="1:19" customFormat="1" x14ac:dyDescent="0.25">
      <c r="B104" s="4" t="s">
        <v>11</v>
      </c>
      <c r="D104">
        <f>SUM(D100:D102)</f>
        <v>16</v>
      </c>
    </row>
    <row r="108" spans="1:19" customFormat="1" x14ac:dyDescent="0.25">
      <c r="B108" s="4" t="s">
        <v>12</v>
      </c>
    </row>
    <row r="109" spans="1:19" customFormat="1" x14ac:dyDescent="0.25">
      <c r="B109" s="4" t="s">
        <v>11</v>
      </c>
      <c r="D109">
        <f>COUNTA(D97,D96,D91,D85,D79,D77,D69,D66,D60,D59,D56,D55,D48,D47,D45,D42,D41,D36,D22,D16,D13,D8)</f>
        <v>22</v>
      </c>
    </row>
    <row r="110" spans="1:19" customFormat="1" x14ac:dyDescent="0.25">
      <c r="B110" s="4" t="s">
        <v>10</v>
      </c>
      <c r="D110">
        <f>COUNTA(D9,D11,D12,D14,D15,D19,D20,D21,D25,D26,D27,D31,D32,D35,D38,D39,D40,D42,D43,D46,D53,D58,D61,D63,D64,D65,D62,D67,D68,D70,D71,D72,D73,D74,D76,D78,D81,D82,D83,D84,D86,D87,D89,D90,D92,D93,D94,D95)</f>
        <v>48</v>
      </c>
    </row>
  </sheetData>
  <mergeCells count="1">
    <mergeCell ref="F6:H6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2016 (2)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Smith, Mike (ENERGY)</cp:lastModifiedBy>
  <dcterms:created xsi:type="dcterms:W3CDTF">2017-01-24T19:23:15Z</dcterms:created>
  <dcterms:modified xsi:type="dcterms:W3CDTF">2017-02-09T01:20:50Z</dcterms:modified>
</cp:coreProperties>
</file>