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Cost of Electricity Service" sheetId="4" r:id="rId1"/>
    <sheet name="Large Industrial Price Forecast" sheetId="5" r:id="rId2"/>
    <sheet name="Residential Bill Forecast" sheetId="6" r:id="rId3"/>
  </sheets>
  <calcPr calcId="145621"/>
  <oleSize ref="A1:V63"/>
</workbook>
</file>

<file path=xl/comments1.xml><?xml version="1.0" encoding="utf-8"?>
<comments xmlns="http://schemas.openxmlformats.org/spreadsheetml/2006/main">
  <authors>
    <author>Bergman, Mark (ENERGY)</author>
  </authors>
  <commentList>
    <comment ref="C18" authorId="0">
      <text>
        <r>
          <rPr>
            <b/>
            <sz val="9"/>
            <color indexed="81"/>
            <rFont val="Tahoma"/>
            <family val="2"/>
          </rPr>
          <t>Bergman, Mark (ENERGY):</t>
        </r>
        <r>
          <rPr>
            <sz val="9"/>
            <color indexed="81"/>
            <rFont val="Tahoma"/>
            <family val="2"/>
          </rPr>
          <t xml:space="preserve">
First four years based on estimates of the cost of 8% rebate; increased by 25% to go from 8% to 10%</t>
        </r>
      </text>
    </comment>
  </commentList>
</comments>
</file>

<file path=xl/sharedStrings.xml><?xml version="1.0" encoding="utf-8"?>
<sst xmlns="http://schemas.openxmlformats.org/spreadsheetml/2006/main" count="49" uniqueCount="45">
  <si>
    <t xml:space="preserve">Total Cost for Electricity Service (Billions $2017) </t>
  </si>
  <si>
    <r>
      <t xml:space="preserve">Generation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</si>
  <si>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Conservation </t>
    </r>
    <r>
      <rPr>
        <vertAlign val="superscript"/>
        <sz val="11"/>
        <color theme="1"/>
        <rFont val="Calibri"/>
        <family val="2"/>
        <scheme val="minor"/>
      </rPr>
      <t>2</t>
    </r>
  </si>
  <si>
    <t>Transmission</t>
  </si>
  <si>
    <t xml:space="preserve">Distribution </t>
  </si>
  <si>
    <t>Wholesale</t>
  </si>
  <si>
    <t>Debt Retirement Charge</t>
  </si>
  <si>
    <t>Total Cost for Electricity Service</t>
  </si>
  <si>
    <t>Notes: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</si>
  <si>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Generation costs include Industrial Electricity Incentive program costs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</si>
  <si>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Conservation costs include Energy Efficiency delivery cost and Aboriginal, Community, and Municipal Funds</t>
    </r>
  </si>
  <si>
    <t>Inflator</t>
  </si>
  <si>
    <t>Cost for Electricity Service ($B)</t>
  </si>
  <si>
    <t>Cost for Electricity Service (Incl. GA Refinancing) ($B)</t>
  </si>
  <si>
    <t>Fair Allocation Amount</t>
  </si>
  <si>
    <t>NPV</t>
  </si>
  <si>
    <t>Direct Connect Class A Customer Rate (assuming the Average GA Class A Rate) (Nominal $/MWh)</t>
  </si>
  <si>
    <t>Electricity (via HOEP Market Clearing Price)</t>
  </si>
  <si>
    <t>Electricity (via GA Class A Rate)</t>
  </si>
  <si>
    <t>Regulatory</t>
  </si>
  <si>
    <t>DRC</t>
  </si>
  <si>
    <t>Total</t>
  </si>
  <si>
    <t>Note:</t>
  </si>
  <si>
    <t>This is an illustrative industrial rate for a customer directly connected to the transmission system</t>
  </si>
  <si>
    <t>No large industrial customer would obtain this rate as their GA unit rate would be based on the individual's customers usage during the 5 highest peak periods from the prior year</t>
  </si>
  <si>
    <t>GA Class A rate is the average unit rate for all of Class A</t>
  </si>
  <si>
    <t>Distribution adjustment</t>
  </si>
  <si>
    <t>Total (adjusted for distribution)</t>
  </si>
  <si>
    <t>Class A consumption</t>
  </si>
  <si>
    <t>Cost of 10% rebate - Class A</t>
  </si>
  <si>
    <t xml:space="preserve">2017 Residential Bill is a forecast </t>
  </si>
  <si>
    <t>Residential Monthly Bill prior to Ontario Fair Hydro Plan (OFHP)</t>
  </si>
  <si>
    <t xml:space="preserve">Note:  </t>
  </si>
  <si>
    <t xml:space="preserve"> Total Residential Bill After Taxes</t>
  </si>
  <si>
    <t>HST</t>
  </si>
  <si>
    <t xml:space="preserve"> Residential Bill Before Taxes</t>
  </si>
  <si>
    <t>Commodity (excludes line losses)</t>
  </si>
  <si>
    <t>Regulated Charges (Wholesale Uplift and DRC)</t>
  </si>
  <si>
    <t>Line Losses</t>
  </si>
  <si>
    <t>Distribution</t>
  </si>
  <si>
    <t xml:space="preserve">Residential Monthly Bill Assuming 750 KWh Per Month Usage (prior to Ontario Fair Hydro Plan) (Nominal $/Month) </t>
  </si>
  <si>
    <t>To Be Replace by ENERGY with OFHP</t>
  </si>
  <si>
    <t>Cost of 10% rebate - FHP-Eligible</t>
  </si>
  <si>
    <t>Cost of 10% rebate - non-RPP Class B</t>
  </si>
  <si>
    <t>Rebate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</si>
</sst>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0.0000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_-;\-* #,##0_-;_-* &quot;-&quot;??_-;_-@_-"/>
    <numFmt numFmtId="169" formatCode="_(&quot;$&quot;* #,##0_);_(&quot;$&quot;* \(#,##0\);_(&quot;$&quot;* &quot;-&quot;??_);_(@_)"/>
    <numFmt numFmtId="170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ont="1" applyFill="1"/>
    <xf numFmtId="165" fontId="0" fillId="0" borderId="0" xfId="0" applyNumberFormat="1" applyFont="1" applyFill="1"/>
    <xf numFmtId="0" fontId="0" fillId="0" borderId="0" xfId="0" applyFont="1"/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4" fontId="7" fillId="2" borderId="2" xfId="2" applyNumberFormat="1" applyFont="1" applyFill="1" applyBorder="1"/>
    <xf numFmtId="164" fontId="7" fillId="2" borderId="2" xfId="2" applyNumberFormat="1" applyFont="1" applyFill="1" applyBorder="1" applyAlignment="1">
      <alignment horizontal="center"/>
    </xf>
    <xf numFmtId="164" fontId="5" fillId="2" borderId="0" xfId="2" applyNumberFormat="1" applyFont="1" applyFill="1" applyBorder="1"/>
    <xf numFmtId="0" fontId="5" fillId="2" borderId="0" xfId="0" applyFont="1" applyFill="1" applyBorder="1"/>
    <xf numFmtId="165" fontId="0" fillId="2" borderId="0" xfId="0" applyNumberFormat="1" applyFont="1" applyFill="1"/>
    <xf numFmtId="0" fontId="0" fillId="2" borderId="0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164" fontId="5" fillId="2" borderId="0" xfId="2" applyNumberFormat="1" applyFont="1" applyFill="1" applyBorder="1" applyAlignment="1">
      <alignment horizontal="center"/>
    </xf>
    <xf numFmtId="3" fontId="0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168" fontId="0" fillId="2" borderId="0" xfId="1" applyNumberFormat="1" applyFont="1" applyFill="1"/>
    <xf numFmtId="2" fontId="0" fillId="0" borderId="0" xfId="0" applyNumberFormat="1" applyFont="1" applyFill="1"/>
    <xf numFmtId="0" fontId="7" fillId="0" borderId="0" xfId="5" applyFont="1" applyFill="1"/>
    <xf numFmtId="9" fontId="1" fillId="0" borderId="0" xfId="6" applyFont="1" applyBorder="1"/>
    <xf numFmtId="0" fontId="2" fillId="0" borderId="1" xfId="5" applyFont="1" applyBorder="1"/>
    <xf numFmtId="0" fontId="5" fillId="0" borderId="1" xfId="5" applyFont="1" applyFill="1" applyBorder="1" applyAlignment="1">
      <alignment horizontal="center"/>
    </xf>
    <xf numFmtId="0" fontId="5" fillId="0" borderId="1" xfId="5" applyFont="1" applyBorder="1" applyAlignment="1">
      <alignment horizontal="center"/>
    </xf>
    <xf numFmtId="0" fontId="5" fillId="0" borderId="0" xfId="5" applyFont="1" applyBorder="1" applyAlignment="1">
      <alignment wrapText="1"/>
    </xf>
    <xf numFmtId="169" fontId="1" fillId="0" borderId="0" xfId="7" applyNumberFormat="1" applyFont="1" applyBorder="1"/>
    <xf numFmtId="0" fontId="5" fillId="0" borderId="0" xfId="5" applyFont="1" applyBorder="1"/>
    <xf numFmtId="0" fontId="1" fillId="0" borderId="2" xfId="5" applyFont="1" applyFill="1" applyBorder="1"/>
    <xf numFmtId="169" fontId="1" fillId="0" borderId="2" xfId="7" applyNumberFormat="1" applyFont="1" applyBorder="1"/>
    <xf numFmtId="0" fontId="0" fillId="0" borderId="0" xfId="0" applyFont="1" applyBorder="1"/>
    <xf numFmtId="169" fontId="0" fillId="0" borderId="0" xfId="0" applyNumberFormat="1" applyFont="1" applyBorder="1"/>
    <xf numFmtId="0" fontId="5" fillId="0" borderId="0" xfId="5" applyFont="1" applyFill="1" applyBorder="1"/>
    <xf numFmtId="169" fontId="0" fillId="0" borderId="0" xfId="0" applyNumberFormat="1" applyFont="1"/>
    <xf numFmtId="167" fontId="0" fillId="0" borderId="0" xfId="0" applyNumberFormat="1" applyFont="1"/>
    <xf numFmtId="0" fontId="1" fillId="0" borderId="0" xfId="0" applyFont="1"/>
    <xf numFmtId="169" fontId="1" fillId="0" borderId="0" xfId="0" applyNumberFormat="1" applyFont="1"/>
    <xf numFmtId="167" fontId="1" fillId="0" borderId="0" xfId="0" applyNumberFormat="1" applyFont="1"/>
    <xf numFmtId="169" fontId="1" fillId="0" borderId="0" xfId="4" applyNumberFormat="1" applyFont="1" applyFill="1" applyBorder="1"/>
    <xf numFmtId="169" fontId="1" fillId="0" borderId="3" xfId="4" applyNumberFormat="1" applyFont="1" applyFill="1" applyBorder="1"/>
    <xf numFmtId="0" fontId="5" fillId="0" borderId="3" xfId="5" applyFont="1" applyFill="1" applyBorder="1"/>
    <xf numFmtId="169" fontId="1" fillId="0" borderId="3" xfId="4" applyNumberFormat="1" applyFont="1" applyBorder="1"/>
    <xf numFmtId="0" fontId="5" fillId="0" borderId="3" xfId="5" applyFont="1" applyBorder="1"/>
    <xf numFmtId="0" fontId="5" fillId="0" borderId="0" xfId="5" applyFont="1" applyFill="1" applyBorder="1" applyAlignment="1">
      <alignment wrapText="1"/>
    </xf>
    <xf numFmtId="1" fontId="5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0" xfId="5" applyFont="1" applyBorder="1" applyAlignment="1"/>
    <xf numFmtId="0" fontId="1" fillId="3" borderId="0" xfId="0" applyFont="1" applyFill="1"/>
    <xf numFmtId="0" fontId="10" fillId="3" borderId="0" xfId="0" applyFont="1" applyFill="1"/>
    <xf numFmtId="3" fontId="0" fillId="0" borderId="0" xfId="0" applyNumberFormat="1" applyFont="1"/>
    <xf numFmtId="170" fontId="1" fillId="0" borderId="0" xfId="0" applyNumberFormat="1" applyFont="1" applyAlignment="1">
      <alignment horizontal="center"/>
    </xf>
    <xf numFmtId="168" fontId="0" fillId="0" borderId="0" xfId="1" applyNumberFormat="1" applyFont="1"/>
    <xf numFmtId="168" fontId="1" fillId="0" borderId="0" xfId="1" applyNumberFormat="1" applyFont="1"/>
  </cellXfs>
  <cellStyles count="8">
    <cellStyle name="Comma" xfId="1" builtinId="3"/>
    <cellStyle name="Comma 2 10" xfId="3"/>
    <cellStyle name="Currency 15" xfId="2"/>
    <cellStyle name="Currency 2" xfId="7"/>
    <cellStyle name="Currency 2 10" xfId="4"/>
    <cellStyle name="Normal" xfId="0" builtinId="0"/>
    <cellStyle name="Normal 10 10" xfId="5"/>
    <cellStyle name="Percent 10 10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700">
                <a:latin typeface="Arial" panose="020B0604020202020204" pitchFamily="34" charset="0"/>
                <a:cs typeface="Arial" panose="020B0604020202020204" pitchFamily="34" charset="0"/>
              </a:rPr>
              <a:t>Cost of 10% Rebate for All Consumers</a:t>
            </a:r>
          </a:p>
        </c:rich>
      </c:tx>
      <c:layout>
        <c:manualLayout>
          <c:xMode val="edge"/>
          <c:yMode val="edge"/>
          <c:x val="1.5985060690943045E-2"/>
          <c:y val="2.25035128515140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18466809295897"/>
          <c:y val="0.13518379936080574"/>
          <c:w val="0.8732737819537264"/>
          <c:h val="0.70237834370601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'Cost of Electricity Service'!$A$19</c:f>
              <c:strCache>
                <c:ptCount val="1"/>
                <c:pt idx="0">
                  <c:v>Rebate Cost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'Cost of Electricity Service'!$B$19:$S$19</c:f>
              <c:numCache>
                <c:formatCode>#,##0</c:formatCode>
                <c:ptCount val="18"/>
                <c:pt idx="0">
                  <c:v>1885.6999378786677</c:v>
                </c:pt>
                <c:pt idx="1">
                  <c:v>1876.5585502603431</c:v>
                </c:pt>
                <c:pt idx="2">
                  <c:v>1937.6458034869174</c:v>
                </c:pt>
                <c:pt idx="3">
                  <c:v>1957.8987924102025</c:v>
                </c:pt>
                <c:pt idx="4">
                  <c:v>2069.4556649905671</c:v>
                </c:pt>
                <c:pt idx="5">
                  <c:v>2187.0229836422623</c:v>
                </c:pt>
                <c:pt idx="6">
                  <c:v>2331.3383525614595</c:v>
                </c:pt>
                <c:pt idx="7">
                  <c:v>2416.2775669385333</c:v>
                </c:pt>
                <c:pt idx="8">
                  <c:v>2489.8555241308613</c:v>
                </c:pt>
                <c:pt idx="9">
                  <c:v>2556.4985269092408</c:v>
                </c:pt>
                <c:pt idx="10">
                  <c:v>2627.0271186586451</c:v>
                </c:pt>
                <c:pt idx="11">
                  <c:v>2686.756631245345</c:v>
                </c:pt>
                <c:pt idx="12">
                  <c:v>2774.9475094851623</c:v>
                </c:pt>
                <c:pt idx="13">
                  <c:v>2770.2263998899762</c:v>
                </c:pt>
                <c:pt idx="14">
                  <c:v>2838.1015086988086</c:v>
                </c:pt>
                <c:pt idx="15">
                  <c:v>2862.8303081416993</c:v>
                </c:pt>
                <c:pt idx="16">
                  <c:v>2902.8789836538999</c:v>
                </c:pt>
                <c:pt idx="17">
                  <c:v>2931.4341533087513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15968"/>
        <c:axId val="103134336"/>
      </c:barChart>
      <c:catAx>
        <c:axId val="4371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3134336"/>
        <c:crosses val="autoZero"/>
        <c:auto val="1"/>
        <c:lblAlgn val="ctr"/>
        <c:lblOffset val="100"/>
        <c:tickMarkSkip val="2"/>
        <c:noMultiLvlLbl val="0"/>
      </c:catAx>
      <c:valAx>
        <c:axId val="1031343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371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>
            <a:solidFill>
              <a:schemeClr val="tx1"/>
            </a:solidFill>
          </a:ln>
        </c:spPr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700">
                <a:latin typeface="Arial" panose="020B0604020202020204" pitchFamily="34" charset="0"/>
                <a:cs typeface="Arial" panose="020B0604020202020204" pitchFamily="34" charset="0"/>
              </a:rPr>
              <a:t>Cost of 10% Rebate for All Consumers</a:t>
            </a:r>
          </a:p>
        </c:rich>
      </c:tx>
      <c:layout>
        <c:manualLayout>
          <c:xMode val="edge"/>
          <c:yMode val="edge"/>
          <c:x val="1.5985060690943045E-2"/>
          <c:y val="2.25035128515140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510531771763822E-2"/>
          <c:y val="0.10225115561342234"/>
          <c:w val="0.89194791827492148"/>
          <c:h val="0.55171237453586019"/>
        </c:manualLayout>
      </c:layout>
      <c:barChart>
        <c:barDir val="col"/>
        <c:grouping val="stacked"/>
        <c:varyColors val="0"/>
        <c:ser>
          <c:idx val="2"/>
          <c:order val="0"/>
          <c:tx>
            <c:v>FHP Eligible</c:v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Forecast'!$C$21:$T$21</c:f>
              <c:numCache>
                <c:formatCode>_-* #,##0_-;\-* #,##0_-;_-* "-"??_-;_-@_-</c:formatCode>
                <c:ptCount val="18"/>
                <c:pt idx="0">
                  <c:v>714.09587134434298</c:v>
                </c:pt>
                <c:pt idx="1">
                  <c:v>717.44193605524902</c:v>
                </c:pt>
                <c:pt idx="2">
                  <c:v>765.14750497420403</c:v>
                </c:pt>
                <c:pt idx="3">
                  <c:v>766.06456945474906</c:v>
                </c:pt>
                <c:pt idx="4">
                  <c:v>643.06239005309897</c:v>
                </c:pt>
                <c:pt idx="5">
                  <c:v>717.92823477374395</c:v>
                </c:pt>
                <c:pt idx="6">
                  <c:v>802.82350998066522</c:v>
                </c:pt>
                <c:pt idx="7">
                  <c:v>850.51260744665342</c:v>
                </c:pt>
                <c:pt idx="8">
                  <c:v>887.34077487633192</c:v>
                </c:pt>
                <c:pt idx="9">
                  <c:v>909.79159341378659</c:v>
                </c:pt>
                <c:pt idx="10">
                  <c:v>943.5461159821167</c:v>
                </c:pt>
                <c:pt idx="11">
                  <c:v>984.01237880445478</c:v>
                </c:pt>
                <c:pt idx="12">
                  <c:v>1044.3894726024023</c:v>
                </c:pt>
                <c:pt idx="13">
                  <c:v>1031.5604686062475</c:v>
                </c:pt>
                <c:pt idx="14">
                  <c:v>1057.879083524339</c:v>
                </c:pt>
                <c:pt idx="15">
                  <c:v>1066.6316141398549</c:v>
                </c:pt>
                <c:pt idx="16">
                  <c:v>1102.0659849298313</c:v>
                </c:pt>
                <c:pt idx="17">
                  <c:v>1112.7699561510385</c:v>
                </c:pt>
              </c:numCache>
            </c:numRef>
          </c:val>
        </c:ser>
        <c:ser>
          <c:idx val="4"/>
          <c:order val="1"/>
          <c:tx>
            <c:v>Non OHFP Class B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Forecast'!$C$23:$T$23</c:f>
              <c:numCache>
                <c:formatCode>#,##0</c:formatCode>
                <c:ptCount val="18"/>
                <c:pt idx="0">
                  <c:v>805.17926802997465</c:v>
                </c:pt>
                <c:pt idx="1">
                  <c:v>810.50141663929548</c:v>
                </c:pt>
                <c:pt idx="2">
                  <c:v>806.48924373721718</c:v>
                </c:pt>
                <c:pt idx="3">
                  <c:v>812.84650936284811</c:v>
                </c:pt>
                <c:pt idx="4">
                  <c:v>1032.4149874109698</c:v>
                </c:pt>
                <c:pt idx="5">
                  <c:v>1052.687736305809</c:v>
                </c:pt>
                <c:pt idx="6">
                  <c:v>1108.858158062307</c:v>
                </c:pt>
                <c:pt idx="7">
                  <c:v>1120.3762630563374</c:v>
                </c:pt>
                <c:pt idx="8">
                  <c:v>1156.9664642687517</c:v>
                </c:pt>
                <c:pt idx="9">
                  <c:v>1192.2387097967264</c:v>
                </c:pt>
                <c:pt idx="10">
                  <c:v>1223.88384555114</c:v>
                </c:pt>
                <c:pt idx="11">
                  <c:v>1238.6654605224185</c:v>
                </c:pt>
                <c:pt idx="12">
                  <c:v>1256.8703369984032</c:v>
                </c:pt>
                <c:pt idx="13">
                  <c:v>1258.1327524830713</c:v>
                </c:pt>
                <c:pt idx="14">
                  <c:v>1292.2203166288173</c:v>
                </c:pt>
                <c:pt idx="15">
                  <c:v>1300.4217364020762</c:v>
                </c:pt>
                <c:pt idx="16">
                  <c:v>1297.7661288889617</c:v>
                </c:pt>
                <c:pt idx="17">
                  <c:v>1304.2743107498777</c:v>
                </c:pt>
              </c:numCache>
            </c:numRef>
          </c:val>
        </c:ser>
        <c:ser>
          <c:idx val="0"/>
          <c:order val="2"/>
          <c:tx>
            <c:v>Class A</c:v>
          </c:tx>
          <c:spPr>
            <a:solidFill>
              <a:srgbClr val="C0000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Forecast'!$C$19:$T$19</c:f>
              <c:numCache>
                <c:formatCode>_-* #,##0_-;\-* #,##0_-;_-* "-"??_-;_-@_-</c:formatCode>
                <c:ptCount val="18"/>
                <c:pt idx="0">
                  <c:v>366.42479850435012</c:v>
                </c:pt>
                <c:pt idx="1">
                  <c:v>348.61519756579855</c:v>
                </c:pt>
                <c:pt idx="2">
                  <c:v>366.00905477549634</c:v>
                </c:pt>
                <c:pt idx="3">
                  <c:v>378.98771359260542</c:v>
                </c:pt>
                <c:pt idx="4">
                  <c:v>393.97828752649815</c:v>
                </c:pt>
                <c:pt idx="5">
                  <c:v>416.40701256270927</c:v>
                </c:pt>
                <c:pt idx="6">
                  <c:v>419.65668451848734</c:v>
                </c:pt>
                <c:pt idx="7">
                  <c:v>445.38869643554239</c:v>
                </c:pt>
                <c:pt idx="8">
                  <c:v>445.54828498577757</c:v>
                </c:pt>
                <c:pt idx="9">
                  <c:v>454.46822369872791</c:v>
                </c:pt>
                <c:pt idx="10">
                  <c:v>459.59715712538849</c:v>
                </c:pt>
                <c:pt idx="11">
                  <c:v>464.07879191847201</c:v>
                </c:pt>
                <c:pt idx="12">
                  <c:v>473.68769988435673</c:v>
                </c:pt>
                <c:pt idx="13">
                  <c:v>480.53317880065754</c:v>
                </c:pt>
                <c:pt idx="14">
                  <c:v>488.00210854565239</c:v>
                </c:pt>
                <c:pt idx="15">
                  <c:v>495.77695759976814</c:v>
                </c:pt>
                <c:pt idx="16">
                  <c:v>503.04686983510675</c:v>
                </c:pt>
                <c:pt idx="17">
                  <c:v>514.38988640783487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306560"/>
        <c:axId val="106308352"/>
      </c:barChart>
      <c:catAx>
        <c:axId val="1063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308352"/>
        <c:crosses val="autoZero"/>
        <c:auto val="1"/>
        <c:lblAlgn val="ctr"/>
        <c:lblOffset val="100"/>
        <c:noMultiLvlLbl val="0"/>
      </c:catAx>
      <c:valAx>
        <c:axId val="10630835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306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20</xdr:row>
      <xdr:rowOff>119062</xdr:rowOff>
    </xdr:from>
    <xdr:to>
      <xdr:col>7</xdr:col>
      <xdr:colOff>161925</xdr:colOff>
      <xdr:row>38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476250</xdr:colOff>
      <xdr:row>39</xdr:row>
      <xdr:rowOff>28574</xdr:rowOff>
    </xdr:from>
    <xdr:to>
      <xdr:col>13</xdr:col>
      <xdr:colOff>209550</xdr:colOff>
      <xdr:row>58</xdr:row>
      <xdr:rowOff>38099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0.13352</cdr:x>
      <cdr:y>0.14159</cdr:y>
    </cdr:from>
    <cdr:to>
      <cdr:x>0.19211</cdr:x>
      <cdr:y>0.22114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908039" y="479429"/>
          <a:ext cx="398462" cy="26936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$M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0.17948</cdr:x>
      <cdr:y>0.12006</cdr:y>
    </cdr:from>
    <cdr:to>
      <cdr:x>0.23807</cdr:x>
      <cdr:y>0.19961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1224050" y="416277"/>
          <a:ext cx="399578" cy="2758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$M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3"/>
  <sheetViews>
    <sheetView tabSelected="1" topLeftCell="A39" workbookViewId="0">
      <selection activeCell="A60" sqref="A60"/>
    </sheetView>
  </sheetViews>
  <sheetFormatPr defaultColWidth="8.85546875" defaultRowHeight="15" x14ac:dyDescent="0.25"/>
  <cols>
    <col min="1" max="1" width="48" style="1" customWidth="1"/>
    <col min="2" max="10" width="8.85546875" style="1" customWidth="1"/>
    <col min="11" max="16384" width="8.85546875" style="1"/>
  </cols>
  <sheetData>
    <row r="1" spans="1:20" ht="15.75" x14ac:dyDescent="0.25">
      <c r="A1" s="2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 ht="15.6" customHeight="1" x14ac:dyDescent="0.25">
      <c r="A2" s="9"/>
      <c r="B2" s="10">
        <v>2018</v>
      </c>
      <c r="C2" s="10">
        <v>2019</v>
      </c>
      <c r="D2" s="10">
        <v>2020</v>
      </c>
      <c r="E2" s="10">
        <v>2021</v>
      </c>
      <c r="F2" s="10">
        <v>2022</v>
      </c>
      <c r="G2" s="10">
        <v>2023</v>
      </c>
      <c r="H2" s="10">
        <v>2024</v>
      </c>
      <c r="I2" s="10">
        <v>2025</v>
      </c>
      <c r="J2" s="10">
        <v>2026</v>
      </c>
      <c r="K2" s="10">
        <v>2027</v>
      </c>
      <c r="L2" s="10">
        <v>2028</v>
      </c>
      <c r="M2" s="10">
        <v>2029</v>
      </c>
      <c r="N2" s="10">
        <v>2030</v>
      </c>
      <c r="O2" s="10">
        <v>2031</v>
      </c>
      <c r="P2" s="10">
        <v>2032</v>
      </c>
      <c r="Q2" s="10">
        <v>2033</v>
      </c>
      <c r="R2" s="10">
        <v>2034</v>
      </c>
      <c r="S2" s="10">
        <v>2035</v>
      </c>
    </row>
    <row r="3" spans="1:20" ht="15.6" customHeight="1" x14ac:dyDescent="0.25">
      <c r="A3" s="8" t="s">
        <v>1</v>
      </c>
      <c r="B3" s="11">
        <v>13.274771419319171</v>
      </c>
      <c r="C3" s="11">
        <v>13.557675627329228</v>
      </c>
      <c r="D3" s="11">
        <v>13.693796375458691</v>
      </c>
      <c r="E3" s="11">
        <v>13.324280032548664</v>
      </c>
      <c r="F3" s="11">
        <v>13.361843848377198</v>
      </c>
      <c r="G3" s="11">
        <v>13.43027858315727</v>
      </c>
      <c r="H3" s="11">
        <v>13.722496569555846</v>
      </c>
      <c r="I3" s="11">
        <v>13.693252466320248</v>
      </c>
      <c r="J3" s="11">
        <v>13.753326242048196</v>
      </c>
      <c r="K3" s="11">
        <v>13.814883774765665</v>
      </c>
      <c r="L3" s="11">
        <v>13.753414059164996</v>
      </c>
      <c r="M3" s="11">
        <v>13.489824822252034</v>
      </c>
      <c r="N3" s="11">
        <v>13.305630904865634</v>
      </c>
      <c r="O3" s="11">
        <v>12.887087919742363</v>
      </c>
      <c r="P3" s="11">
        <v>12.839127156251092</v>
      </c>
      <c r="Q3" s="11">
        <v>12.54123167184736</v>
      </c>
      <c r="R3" s="11">
        <v>12.061661046198816</v>
      </c>
      <c r="S3" s="11">
        <v>11.738884104165448</v>
      </c>
    </row>
    <row r="4" spans="1:20" ht="15.6" customHeight="1" x14ac:dyDescent="0.25">
      <c r="A4" s="8" t="s">
        <v>2</v>
      </c>
      <c r="B4" s="11">
        <v>0.60924999999999996</v>
      </c>
      <c r="C4" s="11">
        <v>0.47766999999999998</v>
      </c>
      <c r="D4" s="11">
        <v>0.49704999999999999</v>
      </c>
      <c r="E4" s="11">
        <v>0.4027</v>
      </c>
      <c r="F4" s="11">
        <v>0.4027</v>
      </c>
      <c r="G4" s="11">
        <v>0.4027</v>
      </c>
      <c r="H4" s="11">
        <v>0.4027</v>
      </c>
      <c r="I4" s="11">
        <v>0.4027</v>
      </c>
      <c r="J4" s="11">
        <v>0.39269999999999999</v>
      </c>
      <c r="K4" s="11">
        <v>0.39269999999999999</v>
      </c>
      <c r="L4" s="11">
        <v>0.39269999999999999</v>
      </c>
      <c r="M4" s="11">
        <v>0.39269999999999999</v>
      </c>
      <c r="N4" s="11">
        <v>0.39269999999999999</v>
      </c>
      <c r="O4" s="11">
        <v>0.39269999999999999</v>
      </c>
      <c r="P4" s="11">
        <v>0.39269999999999999</v>
      </c>
      <c r="Q4" s="11">
        <v>0.39269999999999999</v>
      </c>
      <c r="R4" s="11">
        <v>0.39269999999999999</v>
      </c>
      <c r="S4" s="11">
        <v>0.39269999999999999</v>
      </c>
    </row>
    <row r="5" spans="1:20" x14ac:dyDescent="0.25">
      <c r="A5" s="8" t="s">
        <v>3</v>
      </c>
      <c r="B5" s="11">
        <v>1.638926306538919</v>
      </c>
      <c r="C5" s="11">
        <v>1.6388810455599248</v>
      </c>
      <c r="D5" s="11">
        <v>1.7142114171401184</v>
      </c>
      <c r="E5" s="11">
        <v>1.7242413795096778</v>
      </c>
      <c r="F5" s="11">
        <v>1.7247667845763512</v>
      </c>
      <c r="G5" s="11">
        <v>1.7252922017971795</v>
      </c>
      <c r="H5" s="11">
        <v>1.7744794540036872</v>
      </c>
      <c r="I5" s="11">
        <v>1.7742399730889653</v>
      </c>
      <c r="J5" s="11">
        <v>1.7740155020927395</v>
      </c>
      <c r="K5" s="11">
        <v>1.7738057467028823</v>
      </c>
      <c r="L5" s="11">
        <v>1.7736104183780923</v>
      </c>
      <c r="M5" s="11">
        <v>1.7734292342347406</v>
      </c>
      <c r="N5" s="11">
        <v>1.7732619169359367</v>
      </c>
      <c r="O5" s="11">
        <v>1.7731081945827676</v>
      </c>
      <c r="P5" s="11">
        <v>1.7738586585937461</v>
      </c>
      <c r="Q5" s="11">
        <v>1.7752314219382077</v>
      </c>
      <c r="R5" s="11">
        <v>1.7764913217709524</v>
      </c>
      <c r="S5" s="11">
        <v>1.7776483710887052</v>
      </c>
    </row>
    <row r="6" spans="1:20" x14ac:dyDescent="0.25">
      <c r="A6" s="8" t="s">
        <v>4</v>
      </c>
      <c r="B6" s="11">
        <v>3.8287627950780081</v>
      </c>
      <c r="C6" s="11">
        <v>3.8852153313280855</v>
      </c>
      <c r="D6" s="11">
        <v>3.9407863181637905</v>
      </c>
      <c r="E6" s="11">
        <v>3.9937142949211073</v>
      </c>
      <c r="F6" s="11">
        <v>4.0414014365178081</v>
      </c>
      <c r="G6" s="11">
        <v>4.0858428385381451</v>
      </c>
      <c r="H6" s="11">
        <v>4.1276126694952398</v>
      </c>
      <c r="I6" s="11">
        <v>4.167557535042425</v>
      </c>
      <c r="J6" s="11">
        <v>4.2060689901762647</v>
      </c>
      <c r="K6" s="11">
        <v>4.2437811797043725</v>
      </c>
      <c r="L6" s="11">
        <v>4.281363543128319</v>
      </c>
      <c r="M6" s="11">
        <v>4.3185065383945931</v>
      </c>
      <c r="N6" s="11">
        <v>4.3547604563446622</v>
      </c>
      <c r="O6" s="11">
        <v>4.3917072157791965</v>
      </c>
      <c r="P6" s="11">
        <v>4.4269108599251004</v>
      </c>
      <c r="Q6" s="11">
        <v>4.4606978196450831</v>
      </c>
      <c r="R6" s="11">
        <v>4.4925917338922154</v>
      </c>
      <c r="S6" s="11">
        <v>4.522393096243996</v>
      </c>
    </row>
    <row r="7" spans="1:20" x14ac:dyDescent="0.25">
      <c r="A7" s="8" t="s">
        <v>5</v>
      </c>
      <c r="B7" s="11">
        <v>0.67161013918311674</v>
      </c>
      <c r="C7" s="11">
        <v>0.68389338798858568</v>
      </c>
      <c r="D7" s="11">
        <v>0.68734352552278177</v>
      </c>
      <c r="E7" s="11">
        <v>0.67950537536471456</v>
      </c>
      <c r="F7" s="11">
        <v>0.68026939604324432</v>
      </c>
      <c r="G7" s="11">
        <v>0.68175540291521197</v>
      </c>
      <c r="H7" s="11">
        <v>0.68802463919084855</v>
      </c>
      <c r="I7" s="11">
        <v>0.68738195389127976</v>
      </c>
      <c r="J7" s="11">
        <v>0.68860440310003312</v>
      </c>
      <c r="K7" s="11">
        <v>0.68994598241430805</v>
      </c>
      <c r="L7" s="11">
        <v>0.68888759510117037</v>
      </c>
      <c r="M7" s="11">
        <v>0.68370796802800105</v>
      </c>
      <c r="N7" s="11">
        <v>0.68012177492005987</v>
      </c>
      <c r="O7" s="11">
        <v>0.67172582936887182</v>
      </c>
      <c r="P7" s="11">
        <v>0.67110899798384971</v>
      </c>
      <c r="Q7" s="11">
        <v>0.66523541818196186</v>
      </c>
      <c r="R7" s="11">
        <v>0.65587384327923992</v>
      </c>
      <c r="S7" s="11">
        <v>0.6326461126113756</v>
      </c>
    </row>
    <row r="8" spans="1:20" x14ac:dyDescent="0.25">
      <c r="A8" s="8" t="s">
        <v>6</v>
      </c>
      <c r="B8" s="11">
        <v>0.61005254119769659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5">
      <c r="A9" s="12" t="s">
        <v>7</v>
      </c>
      <c r="B9" s="13">
        <v>20.633373201316907</v>
      </c>
      <c r="C9" s="13">
        <v>20.243335392205825</v>
      </c>
      <c r="D9" s="13">
        <v>20.53318763628538</v>
      </c>
      <c r="E9" s="13">
        <v>20.124441082344166</v>
      </c>
      <c r="F9" s="13">
        <v>20.2109814655146</v>
      </c>
      <c r="G9" s="13">
        <v>20.325869026407805</v>
      </c>
      <c r="H9" s="13">
        <v>20.715313332245621</v>
      </c>
      <c r="I9" s="13">
        <v>20.725131928342915</v>
      </c>
      <c r="J9" s="13">
        <v>20.814715137417235</v>
      </c>
      <c r="K9" s="13">
        <v>20.915116683587229</v>
      </c>
      <c r="L9" s="13">
        <v>20.889975615772578</v>
      </c>
      <c r="M9" s="13">
        <v>20.658168562909371</v>
      </c>
      <c r="N9" s="13">
        <v>20.506475053066293</v>
      </c>
      <c r="O9" s="13">
        <v>20.116329159473199</v>
      </c>
      <c r="P9" s="13">
        <v>20.103705672753787</v>
      </c>
      <c r="Q9" s="13">
        <v>19.835096331612611</v>
      </c>
      <c r="R9" s="13">
        <v>19.379317945141224</v>
      </c>
      <c r="S9" s="13">
        <v>19.064271684109524</v>
      </c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20" x14ac:dyDescent="0.25">
      <c r="A11" s="15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"/>
    </row>
    <row r="12" spans="1:20" ht="17.25" x14ac:dyDescent="0.25">
      <c r="A12" s="17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0" ht="17.25" x14ac:dyDescent="0.25">
      <c r="A13" s="1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20" x14ac:dyDescent="0.25">
      <c r="A15" s="18" t="s">
        <v>11</v>
      </c>
      <c r="B15" s="19">
        <f>1.02</f>
        <v>1.02</v>
      </c>
      <c r="C15" s="20">
        <f>B15*1.02</f>
        <v>1.0404</v>
      </c>
      <c r="D15" s="20">
        <f t="shared" ref="D15:S15" si="0">C15*1.02</f>
        <v>1.0612079999999999</v>
      </c>
      <c r="E15" s="20">
        <f t="shared" si="0"/>
        <v>1.08243216</v>
      </c>
      <c r="F15" s="20">
        <f t="shared" si="0"/>
        <v>1.1040808032</v>
      </c>
      <c r="G15" s="20">
        <f t="shared" si="0"/>
        <v>1.1261624192640001</v>
      </c>
      <c r="H15" s="20">
        <f t="shared" si="0"/>
        <v>1.14868566764928</v>
      </c>
      <c r="I15" s="20">
        <f t="shared" si="0"/>
        <v>1.1716593810022657</v>
      </c>
      <c r="J15" s="20">
        <f t="shared" si="0"/>
        <v>1.1950925686223111</v>
      </c>
      <c r="K15" s="20">
        <f t="shared" si="0"/>
        <v>1.2189944199947573</v>
      </c>
      <c r="L15" s="20">
        <f t="shared" si="0"/>
        <v>1.2433743083946525</v>
      </c>
      <c r="M15" s="20">
        <f t="shared" si="0"/>
        <v>1.2682417945625455</v>
      </c>
      <c r="N15" s="20">
        <f t="shared" si="0"/>
        <v>1.2936066304537963</v>
      </c>
      <c r="O15" s="20">
        <f t="shared" si="0"/>
        <v>1.3194787630628724</v>
      </c>
      <c r="P15" s="20">
        <f t="shared" si="0"/>
        <v>1.3458683383241299</v>
      </c>
      <c r="Q15" s="20">
        <f t="shared" si="0"/>
        <v>1.3727857050906125</v>
      </c>
      <c r="R15" s="20">
        <f t="shared" si="0"/>
        <v>1.4002414191924248</v>
      </c>
      <c r="S15" s="20">
        <f t="shared" si="0"/>
        <v>1.4282462475762734</v>
      </c>
    </row>
    <row r="16" spans="1:20" x14ac:dyDescent="0.25">
      <c r="A16" s="14" t="s">
        <v>12</v>
      </c>
      <c r="B16" s="21">
        <f t="shared" ref="B16:S16" si="1">B9*B15</f>
        <v>21.046040665343245</v>
      </c>
      <c r="C16" s="21">
        <f t="shared" si="1"/>
        <v>21.06116614205094</v>
      </c>
      <c r="D16" s="21">
        <f t="shared" si="1"/>
        <v>21.789982985127136</v>
      </c>
      <c r="E16" s="21">
        <f t="shared" si="1"/>
        <v>21.783342229554535</v>
      </c>
      <c r="F16" s="21">
        <f t="shared" si="1"/>
        <v>22.314556649905672</v>
      </c>
      <c r="G16" s="21">
        <f t="shared" si="1"/>
        <v>22.89022983642262</v>
      </c>
      <c r="H16" s="21">
        <f t="shared" si="1"/>
        <v>23.795383525614593</v>
      </c>
      <c r="I16" s="21">
        <f t="shared" si="1"/>
        <v>24.282795246352553</v>
      </c>
      <c r="J16" s="21">
        <f t="shared" si="1"/>
        <v>24.875511378717665</v>
      </c>
      <c r="K16" s="21">
        <f t="shared" si="1"/>
        <v>25.495410530832086</v>
      </c>
      <c r="L16" s="21">
        <f t="shared" si="1"/>
        <v>25.974058983642383</v>
      </c>
      <c r="M16" s="21">
        <f t="shared" si="1"/>
        <v>26.199552770599741</v>
      </c>
      <c r="N16" s="21">
        <f t="shared" si="1"/>
        <v>26.527312095881921</v>
      </c>
      <c r="O16" s="21">
        <f t="shared" si="1"/>
        <v>26.543069116707287</v>
      </c>
      <c r="P16" s="21">
        <f t="shared" si="1"/>
        <v>27.056940947946522</v>
      </c>
      <c r="Q16" s="21">
        <f t="shared" si="1"/>
        <v>27.22933670313304</v>
      </c>
      <c r="R16" s="21">
        <f t="shared" si="1"/>
        <v>27.135723662485773</v>
      </c>
      <c r="S16" s="21">
        <f t="shared" si="1"/>
        <v>27.228474495604029</v>
      </c>
    </row>
    <row r="17" spans="1:22" x14ac:dyDescent="0.25">
      <c r="A17" s="8" t="s">
        <v>14</v>
      </c>
      <c r="B17" s="22">
        <v>-2189.04128655657</v>
      </c>
      <c r="C17" s="22">
        <v>-2295.5806394475098</v>
      </c>
      <c r="D17" s="22">
        <v>-2413.52495025796</v>
      </c>
      <c r="E17" s="22">
        <v>-2204.3543054525098</v>
      </c>
      <c r="F17" s="22">
        <v>-1620</v>
      </c>
      <c r="G17" s="22">
        <v>-1020</v>
      </c>
      <c r="H17" s="22">
        <v>-482</v>
      </c>
      <c r="I17" s="22">
        <v>-120.01957696721843</v>
      </c>
      <c r="J17" s="22">
        <v>23.04386259094565</v>
      </c>
      <c r="K17" s="22">
        <v>69.574738260319577</v>
      </c>
      <c r="L17" s="22">
        <v>296.21220294406567</v>
      </c>
      <c r="M17" s="22">
        <v>668.01354185370917</v>
      </c>
      <c r="N17" s="22">
        <v>1222.1629989696962</v>
      </c>
      <c r="O17" s="22">
        <v>1159.1948821924777</v>
      </c>
      <c r="P17" s="22">
        <v>1324.0741390415631</v>
      </c>
      <c r="Q17" s="22">
        <v>1398.9663782839546</v>
      </c>
      <c r="R17" s="22">
        <v>1893.0661740532239</v>
      </c>
      <c r="S17" s="22">
        <v>2085.8670374834824</v>
      </c>
    </row>
    <row r="18" spans="1:22" x14ac:dyDescent="0.25">
      <c r="A18" s="14" t="s">
        <v>13</v>
      </c>
      <c r="B18" s="21">
        <f t="shared" ref="B18:S18" si="2">B16+(B17/1000)</f>
        <v>18.856999378786675</v>
      </c>
      <c r="C18" s="21">
        <f t="shared" si="2"/>
        <v>18.765585502603429</v>
      </c>
      <c r="D18" s="21">
        <f t="shared" si="2"/>
        <v>19.376458034869174</v>
      </c>
      <c r="E18" s="21">
        <f t="shared" si="2"/>
        <v>19.578987924102023</v>
      </c>
      <c r="F18" s="21">
        <f t="shared" si="2"/>
        <v>20.694556649905671</v>
      </c>
      <c r="G18" s="21">
        <f t="shared" si="2"/>
        <v>21.87022983642262</v>
      </c>
      <c r="H18" s="21">
        <f t="shared" si="2"/>
        <v>23.313383525614594</v>
      </c>
      <c r="I18" s="21">
        <f t="shared" si="2"/>
        <v>24.162775669385333</v>
      </c>
      <c r="J18" s="21">
        <f t="shared" si="2"/>
        <v>24.89855524130861</v>
      </c>
      <c r="K18" s="21">
        <f t="shared" si="2"/>
        <v>25.564985269092404</v>
      </c>
      <c r="L18" s="21">
        <f t="shared" si="2"/>
        <v>26.270271186586449</v>
      </c>
      <c r="M18" s="21">
        <f t="shared" si="2"/>
        <v>26.867566312453452</v>
      </c>
      <c r="N18" s="21">
        <f t="shared" si="2"/>
        <v>27.749475094851618</v>
      </c>
      <c r="O18" s="21">
        <f t="shared" si="2"/>
        <v>27.702263998899763</v>
      </c>
      <c r="P18" s="21">
        <f t="shared" si="2"/>
        <v>28.381015086988086</v>
      </c>
      <c r="Q18" s="21">
        <f t="shared" si="2"/>
        <v>28.628303081416995</v>
      </c>
      <c r="R18" s="21">
        <f t="shared" si="2"/>
        <v>29.028789836538998</v>
      </c>
      <c r="S18" s="21">
        <f t="shared" si="2"/>
        <v>29.314341533087511</v>
      </c>
    </row>
    <row r="19" spans="1:22" x14ac:dyDescent="0.25">
      <c r="A19" s="8" t="s">
        <v>44</v>
      </c>
      <c r="B19" s="22">
        <f>0.1*B18*1000</f>
        <v>1885.6999378786677</v>
      </c>
      <c r="C19" s="22">
        <f t="shared" ref="C19:S19" si="3">0.1*C18*1000</f>
        <v>1876.5585502603431</v>
      </c>
      <c r="D19" s="22">
        <f t="shared" si="3"/>
        <v>1937.6458034869174</v>
      </c>
      <c r="E19" s="22">
        <f t="shared" si="3"/>
        <v>1957.8987924102025</v>
      </c>
      <c r="F19" s="22">
        <f t="shared" si="3"/>
        <v>2069.4556649905671</v>
      </c>
      <c r="G19" s="22">
        <f t="shared" si="3"/>
        <v>2187.0229836422623</v>
      </c>
      <c r="H19" s="22">
        <f t="shared" si="3"/>
        <v>2331.3383525614595</v>
      </c>
      <c r="I19" s="22">
        <f t="shared" si="3"/>
        <v>2416.2775669385333</v>
      </c>
      <c r="J19" s="22">
        <f t="shared" si="3"/>
        <v>2489.8555241308613</v>
      </c>
      <c r="K19" s="22">
        <f t="shared" si="3"/>
        <v>2556.4985269092408</v>
      </c>
      <c r="L19" s="22">
        <f t="shared" si="3"/>
        <v>2627.0271186586451</v>
      </c>
      <c r="M19" s="22">
        <f t="shared" si="3"/>
        <v>2686.756631245345</v>
      </c>
      <c r="N19" s="22">
        <f t="shared" si="3"/>
        <v>2774.9475094851623</v>
      </c>
      <c r="O19" s="22">
        <f t="shared" si="3"/>
        <v>2770.2263998899762</v>
      </c>
      <c r="P19" s="22">
        <f t="shared" si="3"/>
        <v>2838.1015086988086</v>
      </c>
      <c r="Q19" s="22">
        <f t="shared" si="3"/>
        <v>2862.8303081416993</v>
      </c>
      <c r="R19" s="22">
        <f t="shared" si="3"/>
        <v>2902.8789836538999</v>
      </c>
      <c r="S19" s="22">
        <f t="shared" si="3"/>
        <v>2931.4341533087513</v>
      </c>
    </row>
    <row r="20" spans="1:22" x14ac:dyDescent="0.25">
      <c r="A20" s="8" t="s">
        <v>15</v>
      </c>
      <c r="B20" s="24">
        <f>NPV(0.05,B19:S19)</f>
        <v>27566.843088027636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V21" s="7">
        <v>62</v>
      </c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V22" s="4">
        <v>49</v>
      </c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V23" s="4">
        <v>3</v>
      </c>
    </row>
    <row r="24" spans="1:2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V24" s="5">
        <f>0.13*(SUM(V21:V23))</f>
        <v>14.82</v>
      </c>
    </row>
    <row r="25" spans="1:2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V25" s="5">
        <f>-0.08*(SUM(V21:V23))</f>
        <v>-9.120000000000001</v>
      </c>
    </row>
    <row r="26" spans="1:2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V26" s="6">
        <f>SUM(V21:V25)</f>
        <v>119.69999999999999</v>
      </c>
    </row>
    <row r="27" spans="1:2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V27" s="5">
        <f>V26*-0.1</f>
        <v>-11.969999999999999</v>
      </c>
    </row>
    <row r="28" spans="1:2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V29" s="25">
        <f>V24+V25</f>
        <v>5.6999999999999993</v>
      </c>
    </row>
    <row r="30" spans="1:2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V31" s="1">
        <f>V29*1.33</f>
        <v>7.5809999999999995</v>
      </c>
    </row>
    <row r="32" spans="1:2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2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V33" s="1">
        <f>40*V31</f>
        <v>303.24</v>
      </c>
    </row>
    <row r="34" spans="1:2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2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2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2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2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2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2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2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2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2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22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2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2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</sheetData>
  <pageMargins left="0.7" right="0.7" top="0.75" bottom="0.75" header="0.3" footer="0.3"/>
  <pageSetup paperSize="5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opLeftCell="B1" workbookViewId="0">
      <selection activeCell="C21" sqref="C21:T21"/>
    </sheetView>
  </sheetViews>
  <sheetFormatPr defaultColWidth="8.85546875" defaultRowHeight="15" x14ac:dyDescent="0.25"/>
  <cols>
    <col min="1" max="1" width="37.28515625" style="3" customWidth="1"/>
    <col min="2" max="11" width="8.85546875" style="3" customWidth="1"/>
    <col min="12" max="14" width="9" style="3" bestFit="1" customWidth="1"/>
    <col min="15" max="20" width="10.5703125" style="3" bestFit="1" customWidth="1"/>
    <col min="21" max="16384" width="8.85546875" style="3"/>
  </cols>
  <sheetData>
    <row r="1" spans="1:23" x14ac:dyDescent="0.25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3" x14ac:dyDescent="0.25">
      <c r="A2" s="28"/>
      <c r="B2" s="29">
        <v>2017</v>
      </c>
      <c r="C2" s="29">
        <v>2018</v>
      </c>
      <c r="D2" s="30">
        <v>2019</v>
      </c>
      <c r="E2" s="29">
        <v>2020</v>
      </c>
      <c r="F2" s="30">
        <v>2021</v>
      </c>
      <c r="G2" s="29">
        <v>2022</v>
      </c>
      <c r="H2" s="30">
        <v>2023</v>
      </c>
      <c r="I2" s="29">
        <v>2024</v>
      </c>
      <c r="J2" s="30">
        <v>2025</v>
      </c>
      <c r="K2" s="29">
        <v>2026</v>
      </c>
      <c r="L2" s="30">
        <v>2027</v>
      </c>
      <c r="M2" s="29">
        <v>2028</v>
      </c>
      <c r="N2" s="30">
        <v>2029</v>
      </c>
      <c r="O2" s="29">
        <v>2030</v>
      </c>
      <c r="P2" s="30">
        <v>2031</v>
      </c>
      <c r="Q2" s="29">
        <v>2032</v>
      </c>
      <c r="R2" s="30">
        <v>2033</v>
      </c>
      <c r="S2" s="29">
        <v>2034</v>
      </c>
      <c r="T2" s="30">
        <v>2035</v>
      </c>
    </row>
    <row r="3" spans="1:23" ht="14.45" customHeight="1" x14ac:dyDescent="0.25">
      <c r="A3" s="31" t="s">
        <v>17</v>
      </c>
      <c r="B3" s="32">
        <v>26.357817351598694</v>
      </c>
      <c r="C3" s="32">
        <v>28.07722095890459</v>
      </c>
      <c r="D3" s="32">
        <v>26.659679917807392</v>
      </c>
      <c r="E3" s="32">
        <v>31.430906626968447</v>
      </c>
      <c r="F3" s="32">
        <v>36.488199942700454</v>
      </c>
      <c r="G3" s="32">
        <v>40.351578428785295</v>
      </c>
      <c r="H3" s="32">
        <v>48.309097287345857</v>
      </c>
      <c r="I3" s="32">
        <v>44.318300380881389</v>
      </c>
      <c r="J3" s="32">
        <v>53.407341623458855</v>
      </c>
      <c r="K3" s="32">
        <v>49.225150757349084</v>
      </c>
      <c r="L3" s="32">
        <v>50.114573599283233</v>
      </c>
      <c r="M3" s="32">
        <v>50.724840684464866</v>
      </c>
      <c r="N3" s="32">
        <v>52.817139865769079</v>
      </c>
      <c r="O3" s="32">
        <v>56.907149697244392</v>
      </c>
      <c r="P3" s="32">
        <v>62.142920433597212</v>
      </c>
      <c r="Q3" s="32">
        <v>64.293720926270169</v>
      </c>
      <c r="R3" s="32">
        <v>69.388572378179546</v>
      </c>
      <c r="S3" s="32">
        <v>74.176409720141024</v>
      </c>
      <c r="T3" s="32">
        <v>82.372396911640536</v>
      </c>
    </row>
    <row r="4" spans="1:23" x14ac:dyDescent="0.25">
      <c r="A4" s="31" t="s">
        <v>18</v>
      </c>
      <c r="B4" s="32">
        <v>36.187086307053924</v>
      </c>
      <c r="C4" s="32">
        <v>36.47981249495772</v>
      </c>
      <c r="D4" s="32">
        <v>38.953987669492342</v>
      </c>
      <c r="E4" s="32">
        <v>38.149039113766648</v>
      </c>
      <c r="F4" s="32">
        <v>35.00062129561433</v>
      </c>
      <c r="G4" s="32">
        <v>34.293296397604401</v>
      </c>
      <c r="H4" s="32">
        <v>31.625949774878961</v>
      </c>
      <c r="I4" s="32">
        <v>35.829050876650889</v>
      </c>
      <c r="J4" s="32">
        <v>32.253638425812632</v>
      </c>
      <c r="K4" s="32">
        <v>35.827785899374035</v>
      </c>
      <c r="L4" s="32">
        <v>36.642209645400946</v>
      </c>
      <c r="M4" s="32">
        <v>36.872705250616342</v>
      </c>
      <c r="N4" s="32">
        <v>35.550826766869989</v>
      </c>
      <c r="O4" s="32">
        <v>33.524974151074659</v>
      </c>
      <c r="P4" s="32">
        <v>29.712370208317768</v>
      </c>
      <c r="Q4" s="32">
        <v>29.084485984454577</v>
      </c>
      <c r="R4" s="32">
        <v>25.697554208257692</v>
      </c>
      <c r="S4" s="32">
        <v>21.307371839228232</v>
      </c>
      <c r="T4" s="32">
        <v>16.04614785544835</v>
      </c>
    </row>
    <row r="5" spans="1:23" x14ac:dyDescent="0.25">
      <c r="A5" s="33" t="s">
        <v>3</v>
      </c>
      <c r="B5" s="32">
        <v>11.114213275669977</v>
      </c>
      <c r="C5" s="32">
        <v>11.336497541183377</v>
      </c>
      <c r="D5" s="32">
        <v>11.941915544997581</v>
      </c>
      <c r="E5" s="32">
        <v>12.215908722080234</v>
      </c>
      <c r="F5" s="32">
        <v>13.034846853115893</v>
      </c>
      <c r="G5" s="32">
        <v>13.417668109621642</v>
      </c>
      <c r="H5" s="32">
        <v>13.696509541307808</v>
      </c>
      <c r="I5" s="32">
        <v>13.977610629517647</v>
      </c>
      <c r="J5" s="32">
        <v>14.628525811081625</v>
      </c>
      <c r="K5" s="32">
        <v>14.924559228869462</v>
      </c>
      <c r="L5" s="32">
        <v>15.228181407413404</v>
      </c>
      <c r="M5" s="32">
        <v>15.476434618948288</v>
      </c>
      <c r="N5" s="32">
        <v>15.682294294362022</v>
      </c>
      <c r="O5" s="32">
        <v>15.917696113678144</v>
      </c>
      <c r="P5" s="32">
        <v>16.12828351971288</v>
      </c>
      <c r="Q5" s="32">
        <v>16.343902627647818</v>
      </c>
      <c r="R5" s="32">
        <v>16.531183880220564</v>
      </c>
      <c r="S5" s="32">
        <v>17.413857163614523</v>
      </c>
      <c r="T5" s="32">
        <v>17.542583809818794</v>
      </c>
    </row>
    <row r="6" spans="1:23" x14ac:dyDescent="0.25">
      <c r="A6" s="33" t="s">
        <v>19</v>
      </c>
      <c r="B6" s="32">
        <v>5.3633709264486216</v>
      </c>
      <c r="C6" s="32">
        <v>4.8640475587306398</v>
      </c>
      <c r="D6" s="32">
        <v>5.0522428309937224</v>
      </c>
      <c r="E6" s="32">
        <v>5.1797560688976381</v>
      </c>
      <c r="F6" s="32">
        <v>5.2410661641435157</v>
      </c>
      <c r="G6" s="32">
        <v>5.3543026773609643</v>
      </c>
      <c r="H6" s="32">
        <v>5.4743309162141758</v>
      </c>
      <c r="I6" s="32">
        <v>5.6211201526296675</v>
      </c>
      <c r="J6" s="32">
        <v>5.7303471351488984</v>
      </c>
      <c r="K6" s="32">
        <v>5.8579517425680585</v>
      </c>
      <c r="L6" s="32">
        <v>5.9656291331066624</v>
      </c>
      <c r="M6" s="32">
        <v>6.0364718552777461</v>
      </c>
      <c r="N6" s="32">
        <v>6.0821303638086359</v>
      </c>
      <c r="O6" s="32">
        <v>6.131199192093729</v>
      </c>
      <c r="P6" s="32">
        <v>6.1378324124783648</v>
      </c>
      <c r="Q6" s="32">
        <v>6.1999022857375294</v>
      </c>
      <c r="R6" s="32">
        <v>6.2074840973318324</v>
      </c>
      <c r="S6" s="32">
        <v>6.16523405027925</v>
      </c>
      <c r="T6" s="32">
        <v>5.988300159535151</v>
      </c>
    </row>
    <row r="7" spans="1:23" x14ac:dyDescent="0.25">
      <c r="A7" s="33" t="s">
        <v>20</v>
      </c>
      <c r="B7" s="32">
        <v>7</v>
      </c>
      <c r="C7" s="32">
        <v>7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</row>
    <row r="8" spans="1:23" x14ac:dyDescent="0.25">
      <c r="A8" s="34" t="s">
        <v>21</v>
      </c>
      <c r="B8" s="35">
        <v>86.022487860771221</v>
      </c>
      <c r="C8" s="35">
        <v>87.757578553776341</v>
      </c>
      <c r="D8" s="35">
        <v>82.607825963291035</v>
      </c>
      <c r="E8" s="35">
        <v>86.97561053171296</v>
      </c>
      <c r="F8" s="35">
        <v>89.764734255574197</v>
      </c>
      <c r="G8" s="35">
        <v>93.416845613372303</v>
      </c>
      <c r="H8" s="35">
        <v>99.105887519746787</v>
      </c>
      <c r="I8" s="35">
        <v>99.746082039679592</v>
      </c>
      <c r="J8" s="35">
        <v>106.01985299550202</v>
      </c>
      <c r="K8" s="35">
        <v>105.83544762816065</v>
      </c>
      <c r="L8" s="35">
        <v>107.95059378520425</v>
      </c>
      <c r="M8" s="35">
        <v>109.11045240930724</v>
      </c>
      <c r="N8" s="35">
        <v>110.13239129080972</v>
      </c>
      <c r="O8" s="35">
        <v>112.48101915409093</v>
      </c>
      <c r="P8" s="35">
        <v>114.12140657410622</v>
      </c>
      <c r="Q8" s="35">
        <v>115.92201182411009</v>
      </c>
      <c r="R8" s="35">
        <v>117.82479456398964</v>
      </c>
      <c r="S8" s="35">
        <v>119.06287277326302</v>
      </c>
      <c r="T8" s="35">
        <v>121.94942873644284</v>
      </c>
      <c r="W8" s="3">
        <f>2000*7.4</f>
        <v>14800</v>
      </c>
    </row>
    <row r="9" spans="1:23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6"/>
      <c r="W9" s="3">
        <f>2*720*0.6</f>
        <v>864</v>
      </c>
    </row>
    <row r="10" spans="1:23" x14ac:dyDescent="0.25">
      <c r="A10" s="38" t="s">
        <v>22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6"/>
      <c r="W10" s="3">
        <f>W8/W9</f>
        <v>17.12962962962963</v>
      </c>
    </row>
    <row r="11" spans="1:23" x14ac:dyDescent="0.25">
      <c r="A11" s="38" t="s">
        <v>23</v>
      </c>
    </row>
    <row r="12" spans="1:23" x14ac:dyDescent="0.25">
      <c r="A12" s="3" t="s">
        <v>24</v>
      </c>
      <c r="W12" s="3">
        <f>W10/2</f>
        <v>8.5648148148148149</v>
      </c>
    </row>
    <row r="13" spans="1:23" x14ac:dyDescent="0.25">
      <c r="A13" s="3" t="s">
        <v>25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23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23" x14ac:dyDescent="0.25">
      <c r="A15" s="3" t="s">
        <v>26</v>
      </c>
      <c r="B15" s="40">
        <v>8.5</v>
      </c>
      <c r="C15" s="40">
        <f>B15*C5/B5</f>
        <v>8.67</v>
      </c>
      <c r="D15" s="40">
        <f t="shared" ref="D15:T15" si="0">C15*D5/C5</f>
        <v>9.1330155013927889</v>
      </c>
      <c r="E15" s="40">
        <f t="shared" si="0"/>
        <v>9.3425617776281769</v>
      </c>
      <c r="F15" s="40">
        <f t="shared" si="0"/>
        <v>9.9688745845851301</v>
      </c>
      <c r="G15" s="40">
        <f t="shared" si="0"/>
        <v>10.261651104127196</v>
      </c>
      <c r="H15" s="40">
        <f t="shared" si="0"/>
        <v>10.474905259913543</v>
      </c>
      <c r="I15" s="40">
        <f t="shared" si="0"/>
        <v>10.689887570448663</v>
      </c>
      <c r="J15" s="40">
        <f t="shared" si="0"/>
        <v>11.187698698061769</v>
      </c>
      <c r="K15" s="40">
        <f t="shared" si="0"/>
        <v>11.414101052307119</v>
      </c>
      <c r="L15" s="40">
        <f t="shared" si="0"/>
        <v>11.646307188145189</v>
      </c>
      <c r="M15" s="40">
        <f t="shared" si="0"/>
        <v>11.836167886847619</v>
      </c>
      <c r="N15" s="40">
        <f t="shared" si="0"/>
        <v>11.993606582472367</v>
      </c>
      <c r="O15" s="40">
        <f t="shared" si="0"/>
        <v>12.173638710213448</v>
      </c>
      <c r="P15" s="40">
        <f t="shared" si="0"/>
        <v>12.334693110277348</v>
      </c>
      <c r="Q15" s="40">
        <f t="shared" si="0"/>
        <v>12.499595687903696</v>
      </c>
      <c r="R15" s="40">
        <f t="shared" si="0"/>
        <v>12.642825857001956</v>
      </c>
      <c r="S15" s="40">
        <f t="shared" si="0"/>
        <v>13.317882446501889</v>
      </c>
      <c r="T15" s="40">
        <f t="shared" si="0"/>
        <v>13.416330844566334</v>
      </c>
    </row>
    <row r="16" spans="1:23" x14ac:dyDescent="0.25">
      <c r="A16" s="3" t="s">
        <v>27</v>
      </c>
      <c r="B16" s="39">
        <f>B8+B15</f>
        <v>94.522487860771221</v>
      </c>
      <c r="C16" s="39">
        <f t="shared" ref="C16:T16" si="1">C8+C15</f>
        <v>96.427578553776343</v>
      </c>
      <c r="D16" s="39">
        <f t="shared" si="1"/>
        <v>91.740841464683825</v>
      </c>
      <c r="E16" s="39">
        <f t="shared" si="1"/>
        <v>96.318172309341136</v>
      </c>
      <c r="F16" s="39">
        <f t="shared" si="1"/>
        <v>99.73360884015932</v>
      </c>
      <c r="G16" s="39">
        <f t="shared" si="1"/>
        <v>103.6784967174995</v>
      </c>
      <c r="H16" s="39">
        <f t="shared" si="1"/>
        <v>109.58079277966033</v>
      </c>
      <c r="I16" s="39">
        <f t="shared" si="1"/>
        <v>110.43596961012825</v>
      </c>
      <c r="J16" s="39">
        <f t="shared" si="1"/>
        <v>117.20755169356379</v>
      </c>
      <c r="K16" s="39">
        <f t="shared" si="1"/>
        <v>117.24954868046777</v>
      </c>
      <c r="L16" s="39">
        <f t="shared" si="1"/>
        <v>119.59690097334943</v>
      </c>
      <c r="M16" s="39">
        <f t="shared" si="1"/>
        <v>120.94662029615486</v>
      </c>
      <c r="N16" s="39">
        <f t="shared" si="1"/>
        <v>122.12599787328209</v>
      </c>
      <c r="O16" s="39">
        <f t="shared" si="1"/>
        <v>124.65465786430438</v>
      </c>
      <c r="P16" s="39">
        <f t="shared" si="1"/>
        <v>126.45609968438356</v>
      </c>
      <c r="Q16" s="39">
        <f t="shared" si="1"/>
        <v>128.42160751201379</v>
      </c>
      <c r="R16" s="39">
        <f t="shared" si="1"/>
        <v>130.46762042099161</v>
      </c>
      <c r="S16" s="39">
        <f t="shared" si="1"/>
        <v>132.38075521976492</v>
      </c>
      <c r="T16" s="39">
        <f t="shared" si="1"/>
        <v>135.36575958100917</v>
      </c>
    </row>
    <row r="17" spans="1:20" x14ac:dyDescent="0.25">
      <c r="A17" s="3" t="s">
        <v>28</v>
      </c>
      <c r="B17" s="39">
        <v>38</v>
      </c>
      <c r="C17" s="39">
        <v>38</v>
      </c>
      <c r="D17" s="39">
        <v>38</v>
      </c>
      <c r="E17" s="39">
        <v>38</v>
      </c>
      <c r="F17" s="39">
        <v>38</v>
      </c>
      <c r="G17" s="39">
        <v>38</v>
      </c>
      <c r="H17" s="39">
        <v>38</v>
      </c>
      <c r="I17" s="39">
        <v>38</v>
      </c>
      <c r="J17" s="39">
        <v>38</v>
      </c>
      <c r="K17" s="39">
        <v>38</v>
      </c>
      <c r="L17" s="39">
        <v>38</v>
      </c>
      <c r="M17" s="39">
        <v>38</v>
      </c>
      <c r="N17" s="39">
        <v>38</v>
      </c>
      <c r="O17" s="39">
        <v>38</v>
      </c>
      <c r="P17" s="39">
        <v>38</v>
      </c>
      <c r="Q17" s="39">
        <v>38</v>
      </c>
      <c r="R17" s="39">
        <v>38</v>
      </c>
      <c r="S17" s="39">
        <v>38</v>
      </c>
      <c r="T17" s="39">
        <v>38</v>
      </c>
    </row>
    <row r="18" spans="1:20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x14ac:dyDescent="0.25">
      <c r="A19" s="3" t="s">
        <v>29</v>
      </c>
      <c r="B19" s="57">
        <f>B17*B16*0.1</f>
        <v>359.18545387093064</v>
      </c>
      <c r="C19" s="57">
        <f t="shared" ref="C19:T19" si="2">C17*C16*0.1</f>
        <v>366.42479850435012</v>
      </c>
      <c r="D19" s="57">
        <f t="shared" si="2"/>
        <v>348.61519756579855</v>
      </c>
      <c r="E19" s="57">
        <f t="shared" si="2"/>
        <v>366.00905477549634</v>
      </c>
      <c r="F19" s="57">
        <f t="shared" si="2"/>
        <v>378.98771359260542</v>
      </c>
      <c r="G19" s="57">
        <f t="shared" si="2"/>
        <v>393.97828752649815</v>
      </c>
      <c r="H19" s="57">
        <f t="shared" si="2"/>
        <v>416.40701256270927</v>
      </c>
      <c r="I19" s="57">
        <f t="shared" si="2"/>
        <v>419.65668451848734</v>
      </c>
      <c r="J19" s="57">
        <f t="shared" si="2"/>
        <v>445.38869643554239</v>
      </c>
      <c r="K19" s="57">
        <f t="shared" si="2"/>
        <v>445.54828498577757</v>
      </c>
      <c r="L19" s="57">
        <f t="shared" si="2"/>
        <v>454.46822369872791</v>
      </c>
      <c r="M19" s="57">
        <f t="shared" si="2"/>
        <v>459.59715712538849</v>
      </c>
      <c r="N19" s="57">
        <f t="shared" si="2"/>
        <v>464.07879191847201</v>
      </c>
      <c r="O19" s="57">
        <f t="shared" si="2"/>
        <v>473.68769988435673</v>
      </c>
      <c r="P19" s="57">
        <f t="shared" si="2"/>
        <v>480.53317880065754</v>
      </c>
      <c r="Q19" s="57">
        <f t="shared" si="2"/>
        <v>488.00210854565239</v>
      </c>
      <c r="R19" s="57">
        <f t="shared" si="2"/>
        <v>495.77695759976814</v>
      </c>
      <c r="S19" s="57">
        <f t="shared" si="2"/>
        <v>503.04686983510675</v>
      </c>
      <c r="T19" s="57">
        <f t="shared" si="2"/>
        <v>514.38988640783487</v>
      </c>
    </row>
    <row r="21" spans="1:20" x14ac:dyDescent="0.25">
      <c r="A21" s="3" t="s">
        <v>42</v>
      </c>
      <c r="B21" s="42"/>
      <c r="C21" s="58">
        <f>'Residential Bill Forecast'!C20</f>
        <v>714.09587134434298</v>
      </c>
      <c r="D21" s="58">
        <f>'Residential Bill Forecast'!D20</f>
        <v>717.44193605524902</v>
      </c>
      <c r="E21" s="58">
        <f>'Residential Bill Forecast'!E20</f>
        <v>765.14750497420403</v>
      </c>
      <c r="F21" s="58">
        <f>'Residential Bill Forecast'!F20</f>
        <v>766.06456945474906</v>
      </c>
      <c r="G21" s="58">
        <f>'Residential Bill Forecast'!G20</f>
        <v>643.06239005309897</v>
      </c>
      <c r="H21" s="58">
        <f>'Residential Bill Forecast'!H20</f>
        <v>717.92823477374395</v>
      </c>
      <c r="I21" s="58">
        <f>'Residential Bill Forecast'!I20</f>
        <v>802.82350998066522</v>
      </c>
      <c r="J21" s="58">
        <f>'Residential Bill Forecast'!J20</f>
        <v>850.51260744665342</v>
      </c>
      <c r="K21" s="58">
        <f>'Residential Bill Forecast'!K20</f>
        <v>887.34077487633192</v>
      </c>
      <c r="L21" s="58">
        <f>'Residential Bill Forecast'!L20</f>
        <v>909.79159341378659</v>
      </c>
      <c r="M21" s="58">
        <f>'Residential Bill Forecast'!M20</f>
        <v>943.5461159821167</v>
      </c>
      <c r="N21" s="58">
        <f>'Residential Bill Forecast'!N20</f>
        <v>984.01237880445478</v>
      </c>
      <c r="O21" s="58">
        <f>'Residential Bill Forecast'!O20</f>
        <v>1044.3894726024023</v>
      </c>
      <c r="P21" s="58">
        <f>'Residential Bill Forecast'!P20</f>
        <v>1031.5604686062475</v>
      </c>
      <c r="Q21" s="58">
        <f>'Residential Bill Forecast'!Q20</f>
        <v>1057.879083524339</v>
      </c>
      <c r="R21" s="58">
        <f>'Residential Bill Forecast'!R20</f>
        <v>1066.6316141398549</v>
      </c>
      <c r="S21" s="58">
        <f>'Residential Bill Forecast'!S20</f>
        <v>1102.0659849298313</v>
      </c>
      <c r="T21" s="58">
        <f>'Residential Bill Forecast'!T20</f>
        <v>1112.7699561510385</v>
      </c>
    </row>
    <row r="23" spans="1:20" x14ac:dyDescent="0.25">
      <c r="A23" s="3" t="s">
        <v>43</v>
      </c>
      <c r="C23" s="55">
        <f>'Cost of Electricity Service'!B19-'Large Industrial Price Forecast'!C19-'Large Industrial Price Forecast'!C21</f>
        <v>805.17926802997465</v>
      </c>
      <c r="D23" s="55">
        <f>'Cost of Electricity Service'!C19-'Large Industrial Price Forecast'!D19-'Large Industrial Price Forecast'!D21</f>
        <v>810.50141663929548</v>
      </c>
      <c r="E23" s="55">
        <f>'Cost of Electricity Service'!D19-'Large Industrial Price Forecast'!E19-'Large Industrial Price Forecast'!E21</f>
        <v>806.48924373721718</v>
      </c>
      <c r="F23" s="55">
        <f>'Cost of Electricity Service'!E19-'Large Industrial Price Forecast'!F19-'Large Industrial Price Forecast'!F21</f>
        <v>812.84650936284811</v>
      </c>
      <c r="G23" s="55">
        <f>'Cost of Electricity Service'!F19-'Large Industrial Price Forecast'!G19-'Large Industrial Price Forecast'!G21</f>
        <v>1032.4149874109698</v>
      </c>
      <c r="H23" s="55">
        <f>'Cost of Electricity Service'!G19-'Large Industrial Price Forecast'!H19-'Large Industrial Price Forecast'!H21</f>
        <v>1052.687736305809</v>
      </c>
      <c r="I23" s="55">
        <f>'Cost of Electricity Service'!H19-'Large Industrial Price Forecast'!I19-'Large Industrial Price Forecast'!I21</f>
        <v>1108.858158062307</v>
      </c>
      <c r="J23" s="55">
        <f>'Cost of Electricity Service'!I19-'Large Industrial Price Forecast'!J19-'Large Industrial Price Forecast'!J21</f>
        <v>1120.3762630563374</v>
      </c>
      <c r="K23" s="55">
        <f>'Cost of Electricity Service'!J19-'Large Industrial Price Forecast'!K19-'Large Industrial Price Forecast'!K21</f>
        <v>1156.9664642687517</v>
      </c>
      <c r="L23" s="55">
        <f>'Cost of Electricity Service'!K19-'Large Industrial Price Forecast'!L19-'Large Industrial Price Forecast'!L21</f>
        <v>1192.2387097967264</v>
      </c>
      <c r="M23" s="55">
        <f>'Cost of Electricity Service'!L19-'Large Industrial Price Forecast'!M19-'Large Industrial Price Forecast'!M21</f>
        <v>1223.88384555114</v>
      </c>
      <c r="N23" s="55">
        <f>'Cost of Electricity Service'!M19-'Large Industrial Price Forecast'!N19-'Large Industrial Price Forecast'!N21</f>
        <v>1238.6654605224185</v>
      </c>
      <c r="O23" s="55">
        <f>'Cost of Electricity Service'!N19-'Large Industrial Price Forecast'!O19-'Large Industrial Price Forecast'!O21</f>
        <v>1256.8703369984032</v>
      </c>
      <c r="P23" s="55">
        <f>'Cost of Electricity Service'!O19-'Large Industrial Price Forecast'!P19-'Large Industrial Price Forecast'!P21</f>
        <v>1258.1327524830713</v>
      </c>
      <c r="Q23" s="55">
        <f>'Cost of Electricity Service'!P19-'Large Industrial Price Forecast'!Q19-'Large Industrial Price Forecast'!Q21</f>
        <v>1292.2203166288173</v>
      </c>
      <c r="R23" s="55">
        <f>'Cost of Electricity Service'!Q19-'Large Industrial Price Forecast'!R19-'Large Industrial Price Forecast'!R21</f>
        <v>1300.4217364020762</v>
      </c>
      <c r="S23" s="55">
        <f>'Cost of Electricity Service'!R19-'Large Industrial Price Forecast'!S19-'Large Industrial Price Forecast'!S21</f>
        <v>1297.7661288889617</v>
      </c>
      <c r="T23" s="55">
        <f>'Cost of Electricity Service'!S19-'Large Industrial Price Forecast'!T19-'Large Industrial Price Forecast'!T21</f>
        <v>1304.2743107498777</v>
      </c>
    </row>
  </sheetData>
  <pageMargins left="0.7" right="0.7" top="0.75" bottom="0.75" header="0.3" footer="0.3"/>
  <pageSetup paperSize="5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26"/>
  <sheetViews>
    <sheetView workbookViewId="0">
      <selection activeCell="F22" sqref="F22"/>
    </sheetView>
  </sheetViews>
  <sheetFormatPr defaultColWidth="8.85546875" defaultRowHeight="15" x14ac:dyDescent="0.25"/>
  <cols>
    <col min="1" max="1" width="40.140625" style="41" customWidth="1"/>
    <col min="2" max="11" width="8.85546875" style="41" customWidth="1"/>
    <col min="12" max="16384" width="8.85546875" style="41"/>
  </cols>
  <sheetData>
    <row r="1" spans="1:20" x14ac:dyDescent="0.25">
      <c r="A1" s="54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x14ac:dyDescent="0.25">
      <c r="A2" s="52" t="s">
        <v>40</v>
      </c>
    </row>
    <row r="3" spans="1:20" s="3" customFormat="1" x14ac:dyDescent="0.25">
      <c r="A3" s="51"/>
      <c r="B3" s="50">
        <v>2017</v>
      </c>
      <c r="C3" s="50">
        <v>2018</v>
      </c>
      <c r="D3" s="50">
        <v>2019</v>
      </c>
      <c r="E3" s="50">
        <v>2020</v>
      </c>
      <c r="F3" s="50">
        <v>2021</v>
      </c>
      <c r="G3" s="50">
        <v>2022</v>
      </c>
      <c r="H3" s="50">
        <v>2023</v>
      </c>
      <c r="I3" s="50">
        <v>2024</v>
      </c>
      <c r="J3" s="50">
        <v>2025</v>
      </c>
      <c r="K3" s="50">
        <v>2026</v>
      </c>
      <c r="L3" s="50">
        <v>2027</v>
      </c>
      <c r="M3" s="50">
        <v>2028</v>
      </c>
      <c r="N3" s="50">
        <v>2029</v>
      </c>
      <c r="O3" s="50">
        <v>2030</v>
      </c>
      <c r="P3" s="50">
        <v>2031</v>
      </c>
      <c r="Q3" s="50">
        <v>2032</v>
      </c>
      <c r="R3" s="50">
        <v>2033</v>
      </c>
      <c r="S3" s="50">
        <v>2034</v>
      </c>
      <c r="T3" s="50">
        <v>2035</v>
      </c>
    </row>
    <row r="4" spans="1:20" x14ac:dyDescent="0.25">
      <c r="A4" s="38" t="s">
        <v>39</v>
      </c>
      <c r="B4" s="44">
        <v>37.145126756953722</v>
      </c>
      <c r="C4" s="44">
        <v>38.721916014517603</v>
      </c>
      <c r="D4" s="44">
        <v>39.30407258467541</v>
      </c>
      <c r="E4" s="44">
        <v>40.090791662242331</v>
      </c>
      <c r="F4" s="44">
        <v>40.893210130964903</v>
      </c>
      <c r="G4" s="44">
        <v>41.711614383352313</v>
      </c>
      <c r="H4" s="44">
        <v>42.546348466211874</v>
      </c>
      <c r="I4" s="44">
        <v>43.397746461150497</v>
      </c>
      <c r="J4" s="44">
        <v>44.266151846117303</v>
      </c>
      <c r="K4" s="44">
        <v>45.15190960583265</v>
      </c>
      <c r="L4" s="44">
        <v>46.055374221543758</v>
      </c>
      <c r="M4" s="44">
        <v>46.976907545512404</v>
      </c>
      <c r="N4" s="44">
        <v>47.916867554287258</v>
      </c>
      <c r="O4" s="44">
        <v>48.875617828944392</v>
      </c>
      <c r="P4" s="44">
        <v>49.853552269436676</v>
      </c>
      <c r="Q4" s="44">
        <v>50.851026849500236</v>
      </c>
      <c r="R4" s="44">
        <v>51.868436323974088</v>
      </c>
      <c r="S4" s="44">
        <v>52.906174069506079</v>
      </c>
      <c r="T4" s="44">
        <v>53.964644461498118</v>
      </c>
    </row>
    <row r="5" spans="1:20" x14ac:dyDescent="0.25">
      <c r="A5" s="38" t="s">
        <v>38</v>
      </c>
      <c r="B5" s="44">
        <v>2.921705122384942</v>
      </c>
      <c r="C5" s="44">
        <v>2.9864285842349392</v>
      </c>
      <c r="D5" s="44">
        <v>3.0983575701794965</v>
      </c>
      <c r="E5" s="44">
        <v>3.1795212679816722</v>
      </c>
      <c r="F5" s="44">
        <v>3.1258450674356522</v>
      </c>
      <c r="G5" s="44">
        <v>3.1881847396405667</v>
      </c>
      <c r="H5" s="44">
        <v>3.2429093242588487</v>
      </c>
      <c r="I5" s="44">
        <v>3.3898768821533625</v>
      </c>
      <c r="J5" s="44">
        <v>3.4201968281193089</v>
      </c>
      <c r="K5" s="44">
        <v>3.5236595609322992</v>
      </c>
      <c r="L5" s="44">
        <v>3.5974960456267677</v>
      </c>
      <c r="M5" s="44">
        <v>3.6281741903824787</v>
      </c>
      <c r="N5" s="44">
        <v>3.6047914757308797</v>
      </c>
      <c r="O5" s="44">
        <v>3.5930566679586557</v>
      </c>
      <c r="P5" s="44">
        <v>3.5038212387693703</v>
      </c>
      <c r="Q5" s="44">
        <v>3.5242769524638651</v>
      </c>
      <c r="R5" s="44">
        <v>3.45710731813453</v>
      </c>
      <c r="S5" s="44">
        <v>3.320495766241375</v>
      </c>
      <c r="T5" s="44">
        <v>3.2238399575793584</v>
      </c>
    </row>
    <row r="6" spans="1:20" x14ac:dyDescent="0.25">
      <c r="A6" s="49" t="s">
        <v>3</v>
      </c>
      <c r="B6" s="44">
        <v>13.694601413448304</v>
      </c>
      <c r="C6" s="44">
        <v>14.425952363831485</v>
      </c>
      <c r="D6" s="44">
        <v>14.756938837962508</v>
      </c>
      <c r="E6" s="44">
        <v>15.746224218748372</v>
      </c>
      <c r="F6" s="44">
        <v>16.20867609168323</v>
      </c>
      <c r="G6" s="44">
        <v>16.545519305438184</v>
      </c>
      <c r="H6" s="44">
        <v>16.88509220667471</v>
      </c>
      <c r="I6" s="44">
        <v>17.671404198813189</v>
      </c>
      <c r="J6" s="44">
        <v>18.029015502210701</v>
      </c>
      <c r="K6" s="44">
        <v>18.395794103832316</v>
      </c>
      <c r="L6" s="44">
        <v>18.695686444410008</v>
      </c>
      <c r="M6" s="44">
        <v>18.944366973087522</v>
      </c>
      <c r="N6" s="44">
        <v>19.228734704463434</v>
      </c>
      <c r="O6" s="44">
        <v>19.483126378599202</v>
      </c>
      <c r="P6" s="44">
        <v>19.743596398511901</v>
      </c>
      <c r="Q6" s="44">
        <v>19.969834008221405</v>
      </c>
      <c r="R6" s="44">
        <v>21.036112084890767</v>
      </c>
      <c r="S6" s="44">
        <v>21.191615149629538</v>
      </c>
      <c r="T6" s="44">
        <v>21.332526967834507</v>
      </c>
    </row>
    <row r="7" spans="1:20" x14ac:dyDescent="0.25">
      <c r="A7" s="38" t="s">
        <v>37</v>
      </c>
      <c r="B7" s="44">
        <v>4.0225281948364664</v>
      </c>
      <c r="C7" s="44">
        <v>3.6480356690479803</v>
      </c>
      <c r="D7" s="44">
        <v>3.789182123245292</v>
      </c>
      <c r="E7" s="44">
        <v>3.8848170516732288</v>
      </c>
      <c r="F7" s="44">
        <v>3.9307996231076365</v>
      </c>
      <c r="G7" s="44">
        <v>4.0157270080207237</v>
      </c>
      <c r="H7" s="44">
        <v>4.1057481871606321</v>
      </c>
      <c r="I7" s="44">
        <v>4.2158401144722504</v>
      </c>
      <c r="J7" s="44">
        <v>4.2977603513616733</v>
      </c>
      <c r="K7" s="44">
        <v>4.3934638069260439</v>
      </c>
      <c r="L7" s="44">
        <v>4.4742218498299966</v>
      </c>
      <c r="M7" s="44">
        <v>4.5273538914583087</v>
      </c>
      <c r="N7" s="44">
        <v>4.5615977728564774</v>
      </c>
      <c r="O7" s="44">
        <v>4.598399394070297</v>
      </c>
      <c r="P7" s="44">
        <v>4.6033743093587738</v>
      </c>
      <c r="Q7" s="44">
        <v>4.6499267143031471</v>
      </c>
      <c r="R7" s="44">
        <v>4.6556130729988743</v>
      </c>
      <c r="S7" s="44">
        <v>4.6239255377094377</v>
      </c>
      <c r="T7" s="44">
        <v>4.4912251196513626</v>
      </c>
    </row>
    <row r="8" spans="1:20" x14ac:dyDescent="0.25">
      <c r="A8" s="38" t="s">
        <v>20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</row>
    <row r="9" spans="1:20" x14ac:dyDescent="0.25">
      <c r="A9" s="38" t="s">
        <v>36</v>
      </c>
      <c r="B9" s="44">
        <v>77.704923467684509</v>
      </c>
      <c r="C9" s="44">
        <v>79.426292133907836</v>
      </c>
      <c r="D9" s="44">
        <v>82.403126866475844</v>
      </c>
      <c r="E9" s="44">
        <v>84.561735850576255</v>
      </c>
      <c r="F9" s="44">
        <v>83.134177325416147</v>
      </c>
      <c r="G9" s="44">
        <v>84.792147330866001</v>
      </c>
      <c r="H9" s="44">
        <v>86.247588411139461</v>
      </c>
      <c r="I9" s="44">
        <v>90.156300057270144</v>
      </c>
      <c r="J9" s="44">
        <v>90.962681598917655</v>
      </c>
      <c r="K9" s="44">
        <v>93.714350024795053</v>
      </c>
      <c r="L9" s="44">
        <v>95.678086319860711</v>
      </c>
      <c r="M9" s="44">
        <v>96.493994425065793</v>
      </c>
      <c r="N9" s="44">
        <v>95.872113716246673</v>
      </c>
      <c r="O9" s="44">
        <v>95.560017764857747</v>
      </c>
      <c r="P9" s="44">
        <v>93.186735073653352</v>
      </c>
      <c r="Q9" s="44">
        <v>93.73077001233672</v>
      </c>
      <c r="R9" s="44">
        <v>91.944343567407586</v>
      </c>
      <c r="S9" s="44">
        <v>88.311057612802401</v>
      </c>
      <c r="T9" s="44">
        <v>85.740424403706214</v>
      </c>
    </row>
    <row r="10" spans="1:20" x14ac:dyDescent="0.25">
      <c r="A10" s="48" t="s">
        <v>35</v>
      </c>
      <c r="B10" s="47">
        <v>135.48888495530795</v>
      </c>
      <c r="C10" s="47">
        <v>139.20862476553984</v>
      </c>
      <c r="D10" s="47">
        <v>143.35167798253855</v>
      </c>
      <c r="E10" s="47">
        <v>147.46309005122185</v>
      </c>
      <c r="F10" s="47">
        <v>147.29270823860759</v>
      </c>
      <c r="G10" s="47">
        <v>150.25319276731778</v>
      </c>
      <c r="H10" s="47">
        <v>153.02768659544552</v>
      </c>
      <c r="I10" s="47">
        <v>158.83116771385943</v>
      </c>
      <c r="J10" s="47">
        <v>160.97580612672664</v>
      </c>
      <c r="K10" s="47">
        <v>165.17917710231836</v>
      </c>
      <c r="L10" s="47">
        <v>168.50086488127124</v>
      </c>
      <c r="M10" s="47">
        <v>170.57079702550652</v>
      </c>
      <c r="N10" s="47">
        <v>171.18410522358471</v>
      </c>
      <c r="O10" s="47">
        <v>172.11021803443029</v>
      </c>
      <c r="P10" s="47">
        <v>170.89107928973007</v>
      </c>
      <c r="Q10" s="47">
        <v>172.72583453682537</v>
      </c>
      <c r="R10" s="47">
        <v>172.96161236740585</v>
      </c>
      <c r="S10" s="47">
        <v>170.35326813588881</v>
      </c>
      <c r="T10" s="47">
        <v>168.75266091026955</v>
      </c>
    </row>
    <row r="11" spans="1:20" x14ac:dyDescent="0.25">
      <c r="A11" s="46" t="s">
        <v>34</v>
      </c>
      <c r="B11" s="45">
        <v>17.613555044190033</v>
      </c>
      <c r="C11" s="45">
        <v>18.097121219520179</v>
      </c>
      <c r="D11" s="45">
        <v>18.635718137730013</v>
      </c>
      <c r="E11" s="45">
        <v>19.17020170665884</v>
      </c>
      <c r="F11" s="45">
        <v>19.148052071018988</v>
      </c>
      <c r="G11" s="45">
        <v>19.532915059751314</v>
      </c>
      <c r="H11" s="45">
        <v>19.893599257407917</v>
      </c>
      <c r="I11" s="45">
        <v>20.648051802801728</v>
      </c>
      <c r="J11" s="45">
        <v>20.926854796474462</v>
      </c>
      <c r="K11" s="45">
        <v>21.473293023301387</v>
      </c>
      <c r="L11" s="45">
        <v>21.905112434565261</v>
      </c>
      <c r="M11" s="45">
        <v>22.17420361331585</v>
      </c>
      <c r="N11" s="45">
        <v>22.253933679066012</v>
      </c>
      <c r="O11" s="45">
        <v>22.374328344475938</v>
      </c>
      <c r="P11" s="45">
        <v>22.215840307664909</v>
      </c>
      <c r="Q11" s="45">
        <v>22.4543584897873</v>
      </c>
      <c r="R11" s="45">
        <v>22.485009607762763</v>
      </c>
      <c r="S11" s="45">
        <v>22.145924857665545</v>
      </c>
      <c r="T11" s="45">
        <v>21.937845918335043</v>
      </c>
    </row>
    <row r="12" spans="1:20" x14ac:dyDescent="0.25">
      <c r="A12" s="38" t="s">
        <v>33</v>
      </c>
      <c r="B12" s="44">
        <v>153.10243999949799</v>
      </c>
      <c r="C12" s="44">
        <v>157.30574598506001</v>
      </c>
      <c r="D12" s="44">
        <v>161.98739612026856</v>
      </c>
      <c r="E12" s="44">
        <v>166.6332917578807</v>
      </c>
      <c r="F12" s="44">
        <v>166.44076030962657</v>
      </c>
      <c r="G12" s="44">
        <v>169.78610782706909</v>
      </c>
      <c r="H12" s="44">
        <v>172.92128585285343</v>
      </c>
      <c r="I12" s="44">
        <v>179.47921951666115</v>
      </c>
      <c r="J12" s="44">
        <v>181.9026609232011</v>
      </c>
      <c r="K12" s="44">
        <v>186.65247012561974</v>
      </c>
      <c r="L12" s="44">
        <v>190.40597731583651</v>
      </c>
      <c r="M12" s="44">
        <v>192.74500063882238</v>
      </c>
      <c r="N12" s="44">
        <v>193.43803890265073</v>
      </c>
      <c r="O12" s="44">
        <v>194.48454637890623</v>
      </c>
      <c r="P12" s="44">
        <v>193.10691959739498</v>
      </c>
      <c r="Q12" s="44">
        <v>195.18019302661267</v>
      </c>
      <c r="R12" s="44">
        <v>195.44662197516863</v>
      </c>
      <c r="S12" s="44">
        <v>192.49919299355435</v>
      </c>
      <c r="T12" s="44">
        <v>190.69050682860461</v>
      </c>
    </row>
    <row r="13" spans="1:20" x14ac:dyDescent="0.25">
      <c r="B13" s="42">
        <f t="shared" ref="B13:T13" si="0">B10*0.08</f>
        <v>10.839110796424636</v>
      </c>
      <c r="C13" s="42">
        <f t="shared" si="0"/>
        <v>11.136689981243187</v>
      </c>
      <c r="D13" s="42">
        <f t="shared" si="0"/>
        <v>11.468134238603083</v>
      </c>
      <c r="E13" s="42">
        <f t="shared" si="0"/>
        <v>11.797047204097749</v>
      </c>
      <c r="F13" s="42">
        <f t="shared" si="0"/>
        <v>11.783416659088607</v>
      </c>
      <c r="G13" s="42">
        <f t="shared" si="0"/>
        <v>12.020255421385423</v>
      </c>
      <c r="H13" s="42">
        <f t="shared" si="0"/>
        <v>12.242214927635642</v>
      </c>
      <c r="I13" s="42">
        <f t="shared" si="0"/>
        <v>12.706493417108755</v>
      </c>
      <c r="J13" s="42">
        <f t="shared" si="0"/>
        <v>12.878064490138131</v>
      </c>
      <c r="K13" s="42">
        <f t="shared" si="0"/>
        <v>13.21433416818547</v>
      </c>
      <c r="L13" s="42">
        <f t="shared" si="0"/>
        <v>13.4800691905017</v>
      </c>
      <c r="M13" s="42">
        <f t="shared" si="0"/>
        <v>13.645663762040522</v>
      </c>
      <c r="N13" s="42">
        <f t="shared" si="0"/>
        <v>13.694728417886777</v>
      </c>
      <c r="O13" s="42">
        <f t="shared" si="0"/>
        <v>13.768817442754424</v>
      </c>
      <c r="P13" s="42">
        <f t="shared" si="0"/>
        <v>13.671286343178407</v>
      </c>
      <c r="Q13" s="42">
        <f t="shared" si="0"/>
        <v>13.81806676294603</v>
      </c>
      <c r="R13" s="42">
        <f t="shared" si="0"/>
        <v>13.836928989392469</v>
      </c>
      <c r="S13" s="42">
        <f t="shared" si="0"/>
        <v>13.628261450871106</v>
      </c>
      <c r="T13" s="42">
        <f t="shared" si="0"/>
        <v>13.500212872821564</v>
      </c>
    </row>
    <row r="14" spans="1:20" x14ac:dyDescent="0.25">
      <c r="A14" s="38" t="s">
        <v>32</v>
      </c>
    </row>
    <row r="15" spans="1:20" x14ac:dyDescent="0.25">
      <c r="A15" s="38" t="s">
        <v>31</v>
      </c>
    </row>
    <row r="16" spans="1:20" x14ac:dyDescent="0.25">
      <c r="A16" s="38" t="s">
        <v>30</v>
      </c>
    </row>
    <row r="17" spans="1:20" x14ac:dyDescent="0.25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spans="1:20" x14ac:dyDescent="0.25">
      <c r="A18" s="3" t="s">
        <v>42</v>
      </c>
      <c r="B18" s="42"/>
      <c r="C18" s="42">
        <f>746.4*1.25</f>
        <v>933</v>
      </c>
      <c r="D18" s="42">
        <f>757.6*1.25</f>
        <v>947</v>
      </c>
      <c r="E18" s="42">
        <f>805.2*1.25</f>
        <v>1006.5</v>
      </c>
      <c r="F18" s="42">
        <f>789.2*1.25</f>
        <v>986.5</v>
      </c>
      <c r="G18" s="42">
        <f>(789.2*G10/F10)</f>
        <v>805.06239005309897</v>
      </c>
      <c r="H18" s="56">
        <f>G18*H10/G10</f>
        <v>819.92823477374395</v>
      </c>
      <c r="I18" s="56">
        <f t="shared" ref="I18:T18" si="1">H18*I10/H10</f>
        <v>851.02350998066527</v>
      </c>
      <c r="J18" s="56">
        <f t="shared" si="1"/>
        <v>862.51456514337531</v>
      </c>
      <c r="K18" s="56">
        <f t="shared" si="1"/>
        <v>885.03638861723732</v>
      </c>
      <c r="L18" s="56">
        <f t="shared" si="1"/>
        <v>902.83411958775457</v>
      </c>
      <c r="M18" s="56">
        <f t="shared" si="1"/>
        <v>913.92489568771009</v>
      </c>
      <c r="N18" s="56">
        <f t="shared" si="1"/>
        <v>917.2110246190839</v>
      </c>
      <c r="O18" s="56">
        <f t="shared" si="1"/>
        <v>922.17317270543265</v>
      </c>
      <c r="P18" s="56">
        <f t="shared" si="1"/>
        <v>915.64098038699979</v>
      </c>
      <c r="Q18" s="56">
        <f t="shared" si="1"/>
        <v>925.47166962018264</v>
      </c>
      <c r="R18" s="56">
        <f t="shared" si="1"/>
        <v>926.73497631145949</v>
      </c>
      <c r="S18" s="56">
        <f t="shared" si="1"/>
        <v>912.75936752450878</v>
      </c>
      <c r="T18" s="56">
        <f t="shared" si="1"/>
        <v>904.1832524026903</v>
      </c>
    </row>
    <row r="19" spans="1:20" x14ac:dyDescent="0.25">
      <c r="B19" s="42"/>
      <c r="C19" s="42">
        <f>'Cost of Electricity Service'!B$17*0.1</f>
        <v>-218.90412865565702</v>
      </c>
      <c r="D19" s="42">
        <f>'Cost of Electricity Service'!C$17*0.1</f>
        <v>-229.55806394475098</v>
      </c>
      <c r="E19" s="42">
        <f>'Cost of Electricity Service'!D$17*0.1</f>
        <v>-241.352495025796</v>
      </c>
      <c r="F19" s="42">
        <f>'Cost of Electricity Service'!E$17*0.1</f>
        <v>-220.43543054525099</v>
      </c>
      <c r="G19" s="42">
        <f>'Cost of Electricity Service'!F$17*0.1</f>
        <v>-162</v>
      </c>
      <c r="H19" s="42">
        <f>'Cost of Electricity Service'!G$17*0.1</f>
        <v>-102</v>
      </c>
      <c r="I19" s="42">
        <f>'Cost of Electricity Service'!H$17*0.1</f>
        <v>-48.2</v>
      </c>
      <c r="J19" s="42">
        <f>'Cost of Electricity Service'!I$17*0.1</f>
        <v>-12.001957696721844</v>
      </c>
      <c r="K19" s="42">
        <f>'Cost of Electricity Service'!J$17*0.1</f>
        <v>2.304386259094565</v>
      </c>
      <c r="L19" s="42">
        <f>'Cost of Electricity Service'!K$17*0.1</f>
        <v>6.9574738260319577</v>
      </c>
      <c r="M19" s="42">
        <f>'Cost of Electricity Service'!L$17*0.1</f>
        <v>29.621220294406569</v>
      </c>
      <c r="N19" s="42">
        <f>'Cost of Electricity Service'!M$17*0.1</f>
        <v>66.801354185370926</v>
      </c>
      <c r="O19" s="42">
        <f>'Cost of Electricity Service'!N$17*0.1</f>
        <v>122.21629989696963</v>
      </c>
      <c r="P19" s="42">
        <f>'Cost of Electricity Service'!O$17*0.1</f>
        <v>115.91948821924778</v>
      </c>
      <c r="Q19" s="42">
        <f>'Cost of Electricity Service'!P$17*0.1</f>
        <v>132.4074139041563</v>
      </c>
      <c r="R19" s="42">
        <f>'Cost of Electricity Service'!Q$17*0.1</f>
        <v>139.89663782839546</v>
      </c>
      <c r="S19" s="42">
        <f>'Cost of Electricity Service'!R$17*0.1</f>
        <v>189.30661740532241</v>
      </c>
      <c r="T19" s="42">
        <f>'Cost of Electricity Service'!S$17*0.1</f>
        <v>208.58670374834824</v>
      </c>
    </row>
    <row r="20" spans="1:20" x14ac:dyDescent="0.25">
      <c r="B20" s="42"/>
      <c r="C20" s="42">
        <f>C18+C19</f>
        <v>714.09587134434298</v>
      </c>
      <c r="D20" s="42">
        <f t="shared" ref="D20:T20" si="2">D18+D19</f>
        <v>717.44193605524902</v>
      </c>
      <c r="E20" s="42">
        <f t="shared" si="2"/>
        <v>765.14750497420403</v>
      </c>
      <c r="F20" s="42">
        <f t="shared" si="2"/>
        <v>766.06456945474906</v>
      </c>
      <c r="G20" s="42">
        <f t="shared" si="2"/>
        <v>643.06239005309897</v>
      </c>
      <c r="H20" s="42">
        <f t="shared" si="2"/>
        <v>717.92823477374395</v>
      </c>
      <c r="I20" s="42">
        <f t="shared" si="2"/>
        <v>802.82350998066522</v>
      </c>
      <c r="J20" s="42">
        <f t="shared" si="2"/>
        <v>850.51260744665342</v>
      </c>
      <c r="K20" s="42">
        <f t="shared" si="2"/>
        <v>887.34077487633192</v>
      </c>
      <c r="L20" s="42">
        <f t="shared" si="2"/>
        <v>909.79159341378659</v>
      </c>
      <c r="M20" s="42">
        <f t="shared" si="2"/>
        <v>943.5461159821167</v>
      </c>
      <c r="N20" s="42">
        <f t="shared" si="2"/>
        <v>984.01237880445478</v>
      </c>
      <c r="O20" s="42">
        <f t="shared" si="2"/>
        <v>1044.3894726024023</v>
      </c>
      <c r="P20" s="42">
        <f t="shared" si="2"/>
        <v>1031.5604686062475</v>
      </c>
      <c r="Q20" s="42">
        <f t="shared" si="2"/>
        <v>1057.879083524339</v>
      </c>
      <c r="R20" s="42">
        <f t="shared" si="2"/>
        <v>1066.6316141398549</v>
      </c>
      <c r="S20" s="42">
        <f t="shared" si="2"/>
        <v>1102.0659849298313</v>
      </c>
      <c r="T20" s="42">
        <f t="shared" si="2"/>
        <v>1112.7699561510385</v>
      </c>
    </row>
    <row r="21" spans="1:20" x14ac:dyDescent="0.25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20" x14ac:dyDescent="0.25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x14ac:dyDescent="0.25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x14ac:dyDescent="0.2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pageMargins left="0.7" right="0.7" top="0.75" bottom="0.75" header="0.3" footer="0.3"/>
  <pageSetup paperSize="5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of Electricity Service</vt:lpstr>
      <vt:lpstr>Large Industrial Price Forecast</vt:lpstr>
      <vt:lpstr>Residential Bill Forecast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Mark (ENERGY)</dc:creator>
  <cp:lastModifiedBy>Christie, Tim (ENERGY)</cp:lastModifiedBy>
  <dcterms:created xsi:type="dcterms:W3CDTF">2017-12-13T13:10:51Z</dcterms:created>
  <dcterms:modified xsi:type="dcterms:W3CDTF">2017-12-14T01:35:33Z</dcterms:modified>
</cp:coreProperties>
</file>