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25" windowWidth="16830" windowHeight="1320" activeTab="1"/>
  </bookViews>
  <sheets>
    <sheet name="Ministry Inputs " sheetId="2" r:id="rId1"/>
    <sheet name="Residential Bill" sheetId="1" r:id="rId2"/>
    <sheet name="Industrial Rates" sheetId="3" r:id="rId3"/>
    <sheet name="OPO" sheetId="4" r:id="rId4"/>
    <sheet name="10-yr rate" sheetId="6" r:id="rId5"/>
    <sheet name="HOEP and GA" sheetId="7" r:id="rId6"/>
    <sheet name="Res Bills Comparison" sheetId="8" r:id="rId7"/>
    <sheet name="Renewables" sheetId="9" r:id="rId8"/>
  </sheets>
  <externalReferences>
    <externalReference r:id="rId9"/>
    <externalReference r:id="rId10"/>
    <externalReference r:id="rId11"/>
    <externalReference r:id="rId12"/>
  </externalReferences>
  <calcPr calcId="145621"/>
  <oleSize ref="A2:AI254"/>
</workbook>
</file>

<file path=xl/comments1.xml><?xml version="1.0" encoding="utf-8"?>
<comments xmlns="http://schemas.openxmlformats.org/spreadsheetml/2006/main">
  <authors>
    <author>Bergman, Mark (ENERGY)</author>
  </authors>
  <commentList>
    <comment ref="E7" authorId="0">
      <text>
        <r>
          <rPr>
            <b/>
            <sz val="9"/>
            <color indexed="81"/>
            <rFont val="Tahoma"/>
            <family val="2"/>
          </rPr>
          <t>Bergman, Mark (ENERGY):</t>
        </r>
        <r>
          <rPr>
            <sz val="9"/>
            <color indexed="81"/>
            <rFont val="Tahoma"/>
            <family val="2"/>
          </rPr>
          <t xml:space="preserve">
IESO had this as 7 but since it ends on April 1 the average for the year is 1.75.</t>
        </r>
      </text>
    </comment>
  </commentList>
</comments>
</file>

<file path=xl/sharedStrings.xml><?xml version="1.0" encoding="utf-8"?>
<sst xmlns="http://schemas.openxmlformats.org/spreadsheetml/2006/main" count="345" uniqueCount="229">
  <si>
    <t>Residential Bill assumes 750 kWh/Mth</t>
  </si>
  <si>
    <t>Typical Residential (750 kWh/month)</t>
  </si>
  <si>
    <t>Proceeds Recycling</t>
  </si>
  <si>
    <t>RRRP</t>
  </si>
  <si>
    <t>ICI Expansion</t>
  </si>
  <si>
    <t>Average Class A ($/MWh)</t>
  </si>
  <si>
    <t>ICI Expansion*</t>
  </si>
  <si>
    <t>* existing Class A</t>
  </si>
  <si>
    <t>Distribution</t>
  </si>
  <si>
    <t>Transmission</t>
  </si>
  <si>
    <t>DRC</t>
  </si>
  <si>
    <t xml:space="preserve"> Total Bill before Taxes</t>
  </si>
  <si>
    <t>HST</t>
  </si>
  <si>
    <t>Regulated Charges (Wholesale Uplift and increased RRRP)</t>
  </si>
  <si>
    <t>Commodity (includes MOE's ICI Expansion)</t>
  </si>
  <si>
    <t>OCEB</t>
  </si>
  <si>
    <t xml:space="preserve">Note: </t>
  </si>
  <si>
    <t>Above Residential Monthly Bill assumes 750 KWh/Mth</t>
  </si>
  <si>
    <t>OPO Case updated with the elimination of the LRP II (with extension) and EFW procurements</t>
  </si>
  <si>
    <t>Does not include the recent Hydro Quebec Deal</t>
  </si>
  <si>
    <t>ICI expansion and RRRP impact as per the Ministry of Energy Input</t>
  </si>
  <si>
    <t>Elimination of the PST (or 8% rebate) is included</t>
  </si>
  <si>
    <t>Increase from 2015 to 2020</t>
  </si>
  <si>
    <t>Electricity (Market Clearing Price)</t>
  </si>
  <si>
    <t>Global Adjustment</t>
  </si>
  <si>
    <t>$/MWh</t>
  </si>
  <si>
    <t>Regulatory (includes RRRP expansion)</t>
  </si>
  <si>
    <t>Total prior to Proceeds Recycling</t>
  </si>
  <si>
    <t>Proceed Recycling</t>
  </si>
  <si>
    <t>Total After Proceeds Recycling</t>
  </si>
  <si>
    <t>Industrial Rates</t>
  </si>
  <si>
    <t>8% Rebate</t>
  </si>
  <si>
    <t>Total Residential Bill before Rebate</t>
  </si>
  <si>
    <t>Total Residential Bill after Rebate</t>
  </si>
  <si>
    <t>Total Bill After Taxes</t>
  </si>
  <si>
    <t>Above Industrial Rate is assumes a large volume customer that is direct connect (no distribution rates)</t>
  </si>
  <si>
    <t>RRRP impact as per the Ministry of Energy Input</t>
  </si>
  <si>
    <t>Ministry of Energy indicates no impact from ICI expansion as it reflects an existing ICI customer</t>
  </si>
  <si>
    <t>Ministry of Energy Proceed Recycling</t>
  </si>
  <si>
    <t>ICI</t>
  </si>
  <si>
    <t>After Transition of RRRP to Taxbase</t>
  </si>
  <si>
    <t>After Transition of OESP to Taxbase</t>
  </si>
  <si>
    <t>Industrial Price</t>
  </si>
  <si>
    <t>After Elimination of ICI</t>
  </si>
  <si>
    <t>Conservation Spending (Incentives Only)</t>
  </si>
  <si>
    <t>Forecasted Spending ($2016 CAD million)</t>
  </si>
  <si>
    <t>Total</t>
  </si>
  <si>
    <t>2016-2020</t>
  </si>
  <si>
    <t>Forecast</t>
  </si>
  <si>
    <t>Incentives</t>
  </si>
  <si>
    <t>Admin</t>
  </si>
  <si>
    <r>
      <t xml:space="preserve">Legacy Framework funding </t>
    </r>
    <r>
      <rPr>
        <i/>
        <sz val="7"/>
        <color theme="1"/>
        <rFont val="Calibri"/>
        <family val="2"/>
      </rPr>
      <t>(not part of CFF funding)</t>
    </r>
  </si>
  <si>
    <t>-</t>
  </si>
  <si>
    <r>
      <t xml:space="preserve">CFF LDC CDM Plans </t>
    </r>
    <r>
      <rPr>
        <i/>
        <sz val="7"/>
        <color theme="1"/>
        <rFont val="Calibri"/>
        <family val="2"/>
      </rPr>
      <t>(As of Nov 2016)</t>
    </r>
  </si>
  <si>
    <r>
      <t xml:space="preserve">CFF IESO Central Services </t>
    </r>
    <r>
      <rPr>
        <i/>
        <sz val="7"/>
        <color theme="1"/>
        <rFont val="Calibri"/>
        <family val="2"/>
      </rPr>
      <t>(IESO Board approved 2016)</t>
    </r>
  </si>
  <si>
    <r>
      <t>Industrial Accelerator Program</t>
    </r>
    <r>
      <rPr>
        <sz val="12"/>
        <color theme="1"/>
        <rFont val="Calibri"/>
        <family val="2"/>
      </rPr>
      <t xml:space="preserve"> </t>
    </r>
    <r>
      <rPr>
        <i/>
        <sz val="7"/>
        <color theme="1"/>
        <rFont val="Calibri"/>
        <family val="2"/>
      </rPr>
      <t>(annual commitments)</t>
    </r>
  </si>
  <si>
    <r>
      <t xml:space="preserve">Demand Response </t>
    </r>
    <r>
      <rPr>
        <i/>
        <sz val="7"/>
        <color theme="1"/>
        <rFont val="Calibri"/>
        <family val="2"/>
      </rPr>
      <t>(peaksaverPLUS @ 1 year maintenance mode)</t>
    </r>
  </si>
  <si>
    <t>Ontario demand (OPO)</t>
  </si>
  <si>
    <t>Ontario Net Energy Demand across Demand Outlooks</t>
  </si>
  <si>
    <t>Energy (TWh)</t>
  </si>
  <si>
    <t>Outlook A</t>
  </si>
  <si>
    <t>Outlook B</t>
  </si>
  <si>
    <t>Outlook C</t>
  </si>
  <si>
    <t>Outlook D</t>
  </si>
  <si>
    <t>Conservation Bill Impact (Status Quo)</t>
  </si>
  <si>
    <t>Conservation Bill Impact (Amortization)</t>
  </si>
  <si>
    <t>2015-2020 Conservation First Framework</t>
  </si>
  <si>
    <t>Industrial Accelerator Program</t>
  </si>
  <si>
    <t>Budget in nominal $2016 (millions)</t>
  </si>
  <si>
    <t>EE cost includes both IAP and LDC EE programs</t>
  </si>
  <si>
    <t>Notes:</t>
  </si>
  <si>
    <r>
      <t xml:space="preserve">Conservation </t>
    </r>
    <r>
      <rPr>
        <sz val="11"/>
        <color theme="1"/>
        <rFont val="Calibri"/>
        <family val="2"/>
      </rPr>
      <t>Fund</t>
    </r>
  </si>
  <si>
    <t>DR cost estimate</t>
  </si>
  <si>
    <t>EE delivery cost</t>
  </si>
  <si>
    <t>Real $2016 (millions)</t>
  </si>
  <si>
    <t>Conservation cost estimates (Ontario Planning Outlook)</t>
  </si>
  <si>
    <t>Conservation Spending (Ex. Incentives)</t>
  </si>
  <si>
    <t>Interest</t>
  </si>
  <si>
    <t>Amortizing Energy Efficiency Costs</t>
  </si>
  <si>
    <t>Includes Program and Incentive Costs - 10-year weighted average amortization</t>
  </si>
  <si>
    <t>Expenditures ($2012M)</t>
  </si>
  <si>
    <t xml:space="preserve">   Rate Impact - Current approach ($/month)</t>
  </si>
  <si>
    <t>Amortized expenditure (2014)</t>
  </si>
  <si>
    <t>Amortized expenditure (2015)</t>
  </si>
  <si>
    <t>Amortized expenditure (2016)</t>
  </si>
  <si>
    <t>Amortized expenditure (2017)</t>
  </si>
  <si>
    <t>Amortized expenditure (2018)</t>
  </si>
  <si>
    <t>Amortized expenditure (2019)</t>
  </si>
  <si>
    <t>Amortized expenditure (2020)</t>
  </si>
  <si>
    <t>Amortized expenditure (2021)</t>
  </si>
  <si>
    <t>Amortized expenditure (2022)</t>
  </si>
  <si>
    <t>Amortized expenditure (2023)</t>
  </si>
  <si>
    <t>Amortized expenditure (2024)</t>
  </si>
  <si>
    <t>Amortized expenditure (2025)</t>
  </si>
  <si>
    <t>Amortized expenditure (2026)</t>
  </si>
  <si>
    <t>Amortized expenditure (2027)</t>
  </si>
  <si>
    <t>Amortized expenditure (2028)</t>
  </si>
  <si>
    <t>Amortized expenditure (2029)</t>
  </si>
  <si>
    <t>Amortized expenditure (2030)</t>
  </si>
  <si>
    <t>Amortized expenditure (2031)</t>
  </si>
  <si>
    <t>Amortized expenditure (2032)</t>
  </si>
  <si>
    <t>Amortized expenditure ($2012M)</t>
  </si>
  <si>
    <t>Interest rate (%)</t>
  </si>
  <si>
    <t>Carrying charges ($2012M)</t>
  </si>
  <si>
    <t xml:space="preserve">   Rate Impact - Amortization approach ($/month)</t>
  </si>
  <si>
    <t>Savings relative to current approach ($/month)</t>
  </si>
  <si>
    <t>Cost deferral relative to current approach ($/month)</t>
  </si>
  <si>
    <t>Amortized Expenditure</t>
  </si>
  <si>
    <t>Amortized Expenditure (2017)</t>
  </si>
  <si>
    <t>Amortized Expenditure (2018)</t>
  </si>
  <si>
    <t>Amortized Expenditure (2019)</t>
  </si>
  <si>
    <t>Amortized Expenditure (2020)</t>
  </si>
  <si>
    <t>Amortized Expenditure (2021)</t>
  </si>
  <si>
    <t>Amortized Expenditure (2022)</t>
  </si>
  <si>
    <t>Amortized Expenditure (2023)</t>
  </si>
  <si>
    <t>Amortized Expenditure (2024)</t>
  </si>
  <si>
    <t>Amortized Expenditure (2025)</t>
  </si>
  <si>
    <t>Amortized Expenditure (2026)</t>
  </si>
  <si>
    <t>Amortized Expenditure (2027)</t>
  </si>
  <si>
    <t>Amortized Expenditure (2028)</t>
  </si>
  <si>
    <t>Amortized Expenditure (2029)</t>
  </si>
  <si>
    <t>Amortized Expenditure (2030)</t>
  </si>
  <si>
    <t>Amortized Expenditure (2031)</t>
  </si>
  <si>
    <t>Amortized Expenditure (2032)</t>
  </si>
  <si>
    <t>Amortized Expenditure (2033)</t>
  </si>
  <si>
    <t>Amortized Expenditure (2034)</t>
  </si>
  <si>
    <t>Amortized Expenditure (2035)</t>
  </si>
  <si>
    <t>OESP</t>
  </si>
  <si>
    <t>Estimate of Cost with the elimination of the LRP II (with extension) and EFW procurements (2016/11/24)</t>
  </si>
  <si>
    <t>(2016$/MWh)</t>
  </si>
  <si>
    <t>HOEP</t>
  </si>
  <si>
    <t xml:space="preserve">GA Rate Class A </t>
  </si>
  <si>
    <t>GA Rate Class B</t>
  </si>
  <si>
    <t>Note:</t>
  </si>
  <si>
    <t>Estimate of Cost with the elimination of the LRP II (with extension) and EFW procurements</t>
  </si>
  <si>
    <t>GA rates for Class A and Class B do not reflect the migration of (less than 3 MW to 1MW) from Class B to Class A</t>
  </si>
  <si>
    <t xml:space="preserve">Does not include the recent Hydro Quebec Deal </t>
  </si>
  <si>
    <t>A</t>
  </si>
  <si>
    <t>B</t>
  </si>
  <si>
    <t>Total GA</t>
  </si>
  <si>
    <t>750 kWh</t>
  </si>
  <si>
    <t>Difference</t>
  </si>
  <si>
    <t>New Per Unit</t>
  </si>
  <si>
    <t>2013 LTEP (800 kWh/month)</t>
  </si>
  <si>
    <t>2013 LTEP (750 kWh/month)</t>
  </si>
  <si>
    <t>2013 LTEP</t>
  </si>
  <si>
    <t>Ind status quo</t>
  </si>
  <si>
    <t>Ind conservation amortization</t>
  </si>
  <si>
    <t>Updated OPO</t>
  </si>
  <si>
    <t>Actual (ENERGY)</t>
  </si>
  <si>
    <t>Market Renewal</t>
  </si>
  <si>
    <t>DRC removal</t>
  </si>
  <si>
    <t>Full DRC Removal</t>
  </si>
  <si>
    <t>1/2 DRC Removal</t>
  </si>
  <si>
    <t>OPO Update</t>
  </si>
  <si>
    <t>With Market Renewal</t>
  </si>
  <si>
    <t>$/month</t>
  </si>
  <si>
    <t>Toronto Hydro</t>
  </si>
  <si>
    <t>kWh</t>
  </si>
  <si>
    <t>Hydro One R2</t>
  </si>
  <si>
    <t>Electricity</t>
  </si>
  <si>
    <t>Dx</t>
  </si>
  <si>
    <t>Tx</t>
  </si>
  <si>
    <t>Reg</t>
  </si>
  <si>
    <t>Sub-Total</t>
  </si>
  <si>
    <t>Typical Residential 
(750 kWh/month)</t>
  </si>
  <si>
    <t>Rural with RRRP 
(1,300 kWh/month)</t>
  </si>
  <si>
    <t>Electric Heating 
(2,500 kWh/month)</t>
  </si>
  <si>
    <t>Residential</t>
  </si>
  <si>
    <t>Industrial</t>
  </si>
  <si>
    <t>2016$/month</t>
  </si>
  <si>
    <t>Installed Capacity  (MW)</t>
  </si>
  <si>
    <t>Filler</t>
  </si>
  <si>
    <t>FIT 5</t>
  </si>
  <si>
    <t>FIT 5 Extension</t>
  </si>
  <si>
    <t>FIT 6</t>
  </si>
  <si>
    <t>LRP I</t>
  </si>
  <si>
    <t>microFIT 5</t>
  </si>
  <si>
    <t>microFIT 6</t>
  </si>
  <si>
    <t>Cost (2016$ Real Millions)</t>
  </si>
  <si>
    <t>FILLER</t>
  </si>
  <si>
    <t>FIT 5 Ext</t>
  </si>
  <si>
    <t>Micro FIT 5</t>
  </si>
  <si>
    <t>Micro FIT 6</t>
  </si>
  <si>
    <t>$nominal</t>
  </si>
  <si>
    <t>Residential Impact ($/750month)</t>
  </si>
  <si>
    <t>2013 LTEP basis (rebased)</t>
  </si>
  <si>
    <t>Social Programs</t>
  </si>
  <si>
    <t>*M. Beare email Dec 9  3:09pm</t>
  </si>
  <si>
    <t>Residential impact</t>
  </si>
  <si>
    <t>Moving OESP and RRRP off bills</t>
  </si>
  <si>
    <t>Industrial impact</t>
  </si>
  <si>
    <t>Conservation</t>
  </si>
  <si>
    <t>OPG borrowing</t>
  </si>
  <si>
    <t>Trillium</t>
  </si>
  <si>
    <t>ESP's numbers</t>
  </si>
  <si>
    <t>Increase OESP by 50%</t>
  </si>
  <si>
    <t>2017-18</t>
  </si>
  <si>
    <t>2018-19</t>
  </si>
  <si>
    <t>2019-20</t>
  </si>
  <si>
    <t>2020-21</t>
  </si>
  <si>
    <t>2021-22</t>
  </si>
  <si>
    <t>Conservation spend (fiscal year)</t>
  </si>
  <si>
    <t>Total change in system cost (nominal $ million)</t>
  </si>
  <si>
    <t>OPG Efficiencies</t>
  </si>
  <si>
    <t>Provided by Justin Dec 13 12:05pm email (based on Scott's $3/MWh)</t>
  </si>
  <si>
    <t>Residential impact ($/month)</t>
  </si>
  <si>
    <t>Industrial impact ($/MWh)</t>
  </si>
  <si>
    <t>Conservation Fund</t>
  </si>
  <si>
    <t>Total Real $2016 (million)</t>
  </si>
  <si>
    <t>Total Nominal $2016 (million)</t>
  </si>
  <si>
    <t>Fiscal Year Impact</t>
  </si>
  <si>
    <t>2016/2017</t>
  </si>
  <si>
    <t>2017/2018</t>
  </si>
  <si>
    <t>2018/2019</t>
  </si>
  <si>
    <t>2019/2020</t>
  </si>
  <si>
    <t>2020/2021</t>
  </si>
  <si>
    <t>2016/2017 FY impacts do not include spending from 2016 programs</t>
  </si>
  <si>
    <t>provided by CRED (E. Thompson email Dec 13 5:49pm)</t>
  </si>
  <si>
    <t>Actual</t>
  </si>
  <si>
    <t>OPO Demand</t>
  </si>
  <si>
    <t>Change in GA Cost (nominal $ millions)</t>
  </si>
  <si>
    <t>Residential Bill Impact ($/750 kWh)</t>
  </si>
  <si>
    <t>Calendar year</t>
  </si>
  <si>
    <t>Fiscal year</t>
  </si>
  <si>
    <t>17-18</t>
  </si>
  <si>
    <t>18-19</t>
  </si>
  <si>
    <t>19-20</t>
  </si>
  <si>
    <t>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</si>
</sst>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&quot;$&quot;* #,##0_-;\-&quot;$&quot;* #,##0_-;_-&quot;$&quot;* &quot;-&quot;??_-;_-@_-"/>
    <numFmt numFmtId="167" formatCode="0.0%"/>
    <numFmt numFmtId="168" formatCode="_(&quot;$&quot;* #,##0.00_);_(&quot;$&quot;* \(#,##0.00\);_(&quot;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7"/>
      <color theme="1"/>
      <name val="Calibri"/>
      <family val="2"/>
    </font>
    <font>
      <sz val="11"/>
      <color rgb="FF008000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 tint="0.49998474074526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6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44" fontId="0" fillId="0" borderId="0" xfId="1" applyFont="1"/>
    <xf numFmtId="44" fontId="2" fillId="0" borderId="0" xfId="1" applyFont="1"/>
    <xf numFmtId="0" fontId="3" fillId="0" borderId="5" xfId="0" applyFont="1" applyBorder="1"/>
    <xf numFmtId="9" fontId="3" fillId="0" borderId="0" xfId="2" applyFont="1"/>
    <xf numFmtId="0" fontId="0" fillId="0" borderId="0" xfId="0" applyAlignment="1">
      <alignment wrapText="1"/>
    </xf>
    <xf numFmtId="44" fontId="0" fillId="0" borderId="0" xfId="0" applyNumberFormat="1"/>
    <xf numFmtId="0" fontId="0" fillId="0" borderId="6" xfId="0" applyBorder="1"/>
    <xf numFmtId="44" fontId="0" fillId="0" borderId="6" xfId="1" applyFont="1" applyBorder="1"/>
    <xf numFmtId="44" fontId="3" fillId="0" borderId="5" xfId="0" applyNumberFormat="1" applyFont="1" applyBorder="1"/>
    <xf numFmtId="9" fontId="3" fillId="0" borderId="5" xfId="2" applyFont="1" applyBorder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3" fillId="4" borderId="4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ont="1" applyBorder="1"/>
    <xf numFmtId="0" fontId="0" fillId="0" borderId="19" xfId="0" applyFont="1" applyBorder="1"/>
    <xf numFmtId="0" fontId="3" fillId="0" borderId="20" xfId="0" applyFont="1" applyBorder="1"/>
    <xf numFmtId="0" fontId="3" fillId="0" borderId="20" xfId="0" applyFont="1" applyBorder="1" applyAlignment="1">
      <alignment horizontal="right"/>
    </xf>
    <xf numFmtId="0" fontId="0" fillId="0" borderId="20" xfId="0" applyFont="1" applyBorder="1"/>
    <xf numFmtId="165" fontId="0" fillId="0" borderId="20" xfId="0" applyNumberFormat="1" applyFont="1" applyBorder="1" applyAlignment="1">
      <alignment horizontal="right"/>
    </xf>
    <xf numFmtId="165" fontId="0" fillId="0" borderId="0" xfId="0" applyNumberFormat="1" applyFont="1" applyBorder="1" applyAlignment="1">
      <alignment horizontal="right"/>
    </xf>
    <xf numFmtId="165" fontId="0" fillId="0" borderId="19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16" fillId="0" borderId="0" xfId="0" applyFont="1"/>
    <xf numFmtId="0" fontId="17" fillId="0" borderId="0" xfId="0" applyFont="1"/>
    <xf numFmtId="2" fontId="16" fillId="0" borderId="0" xfId="0" applyNumberFormat="1" applyFont="1"/>
    <xf numFmtId="165" fontId="16" fillId="0" borderId="0" xfId="0" applyNumberFormat="1" applyFont="1"/>
    <xf numFmtId="1" fontId="16" fillId="0" borderId="0" xfId="0" applyNumberFormat="1" applyFont="1"/>
    <xf numFmtId="0" fontId="1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Border="1" applyAlignment="1">
      <alignment vertical="center"/>
    </xf>
    <xf numFmtId="1" fontId="0" fillId="0" borderId="0" xfId="0" applyNumberForma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0" fontId="15" fillId="0" borderId="0" xfId="6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" fontId="0" fillId="0" borderId="0" xfId="0" applyNumberFormat="1"/>
    <xf numFmtId="0" fontId="18" fillId="5" borderId="0" xfId="0" applyFont="1" applyFill="1"/>
    <xf numFmtId="0" fontId="0" fillId="5" borderId="0" xfId="0" applyFill="1"/>
    <xf numFmtId="0" fontId="19" fillId="5" borderId="0" xfId="0" applyFont="1" applyFill="1"/>
    <xf numFmtId="0" fontId="16" fillId="6" borderId="1" xfId="0" applyFont="1" applyFill="1" applyBorder="1"/>
    <xf numFmtId="0" fontId="17" fillId="6" borderId="21" xfId="0" applyFont="1" applyFill="1" applyBorder="1" applyAlignment="1">
      <alignment horizontal="center"/>
    </xf>
    <xf numFmtId="0" fontId="17" fillId="6" borderId="2" xfId="0" applyFont="1" applyFill="1" applyBorder="1" applyAlignment="1">
      <alignment horizontal="center"/>
    </xf>
    <xf numFmtId="0" fontId="16" fillId="7" borderId="22" xfId="0" applyFont="1" applyFill="1" applyBorder="1"/>
    <xf numFmtId="0" fontId="17" fillId="7" borderId="21" xfId="0" applyFont="1" applyFill="1" applyBorder="1" applyAlignment="1">
      <alignment horizontal="center"/>
    </xf>
    <xf numFmtId="0" fontId="17" fillId="7" borderId="2" xfId="0" applyFont="1" applyFill="1" applyBorder="1" applyAlignment="1">
      <alignment horizontal="center"/>
    </xf>
    <xf numFmtId="0" fontId="16" fillId="5" borderId="8" xfId="0" applyFont="1" applyFill="1" applyBorder="1"/>
    <xf numFmtId="1" fontId="16" fillId="5" borderId="0" xfId="0" applyNumberFormat="1" applyFont="1" applyFill="1" applyBorder="1" applyAlignment="1">
      <alignment horizontal="center"/>
    </xf>
    <xf numFmtId="0" fontId="16" fillId="5" borderId="0" xfId="0" applyFont="1" applyFill="1" applyBorder="1" applyAlignment="1">
      <alignment horizontal="center"/>
    </xf>
    <xf numFmtId="0" fontId="16" fillId="5" borderId="14" xfId="0" applyFont="1" applyFill="1" applyBorder="1" applyAlignment="1">
      <alignment horizontal="center"/>
    </xf>
    <xf numFmtId="0" fontId="16" fillId="5" borderId="23" xfId="0" applyFont="1" applyFill="1" applyBorder="1"/>
    <xf numFmtId="1" fontId="16" fillId="5" borderId="14" xfId="0" applyNumberFormat="1" applyFont="1" applyFill="1" applyBorder="1" applyAlignment="1">
      <alignment horizontal="center"/>
    </xf>
    <xf numFmtId="4" fontId="16" fillId="5" borderId="0" xfId="0" applyNumberFormat="1" applyFont="1" applyFill="1" applyBorder="1" applyAlignment="1">
      <alignment horizontal="center"/>
    </xf>
    <xf numFmtId="4" fontId="16" fillId="5" borderId="14" xfId="0" applyNumberFormat="1" applyFont="1" applyFill="1" applyBorder="1" applyAlignment="1">
      <alignment horizontal="center"/>
    </xf>
    <xf numFmtId="3" fontId="16" fillId="5" borderId="0" xfId="0" applyNumberFormat="1" applyFont="1" applyFill="1" applyBorder="1" applyAlignment="1">
      <alignment horizontal="center"/>
    </xf>
    <xf numFmtId="3" fontId="16" fillId="5" borderId="14" xfId="0" applyNumberFormat="1" applyFont="1" applyFill="1" applyBorder="1" applyAlignment="1">
      <alignment horizontal="center"/>
    </xf>
    <xf numFmtId="0" fontId="16" fillId="5" borderId="3" xfId="0" applyFont="1" applyFill="1" applyBorder="1"/>
    <xf numFmtId="4" fontId="16" fillId="5" borderId="11" xfId="0" applyNumberFormat="1" applyFont="1" applyFill="1" applyBorder="1" applyAlignment="1">
      <alignment horizontal="center"/>
    </xf>
    <xf numFmtId="4" fontId="16" fillId="5" borderId="4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2" fontId="16" fillId="5" borderId="0" xfId="0" applyNumberFormat="1" applyFont="1" applyFill="1" applyBorder="1" applyAlignment="1">
      <alignment horizontal="center"/>
    </xf>
    <xf numFmtId="2" fontId="16" fillId="5" borderId="14" xfId="0" applyNumberFormat="1" applyFont="1" applyFill="1" applyBorder="1" applyAlignment="1">
      <alignment horizontal="center"/>
    </xf>
    <xf numFmtId="0" fontId="16" fillId="5" borderId="16" xfId="0" applyFont="1" applyFill="1" applyBorder="1"/>
    <xf numFmtId="4" fontId="16" fillId="0" borderId="0" xfId="0" applyNumberFormat="1" applyFont="1"/>
    <xf numFmtId="0" fontId="20" fillId="0" borderId="0" xfId="0" applyFont="1"/>
    <xf numFmtId="0" fontId="21" fillId="0" borderId="0" xfId="0" applyFont="1"/>
    <xf numFmtId="0" fontId="22" fillId="7" borderId="0" xfId="3" applyFont="1" applyFill="1"/>
    <xf numFmtId="44" fontId="21" fillId="7" borderId="0" xfId="1" applyFont="1" applyFill="1" applyAlignment="1">
      <alignment horizontal="center"/>
    </xf>
    <xf numFmtId="0" fontId="21" fillId="5" borderId="0" xfId="0" applyFont="1" applyFill="1"/>
    <xf numFmtId="0" fontId="20" fillId="5" borderId="0" xfId="0" applyFont="1" applyFill="1" applyAlignment="1">
      <alignment horizontal="center"/>
    </xf>
    <xf numFmtId="0" fontId="22" fillId="5" borderId="0" xfId="3" applyFont="1" applyFill="1"/>
    <xf numFmtId="44" fontId="21" fillId="5" borderId="0" xfId="1" applyFont="1" applyFill="1" applyAlignment="1">
      <alignment horizontal="center"/>
    </xf>
    <xf numFmtId="0" fontId="22" fillId="5" borderId="0" xfId="3" applyFont="1" applyFill="1" applyAlignment="1">
      <alignment wrapText="1"/>
    </xf>
    <xf numFmtId="44" fontId="22" fillId="5" borderId="0" xfId="1" applyFont="1" applyFill="1" applyAlignment="1">
      <alignment horizontal="center"/>
    </xf>
    <xf numFmtId="44" fontId="23" fillId="5" borderId="0" xfId="1" applyFont="1" applyFill="1" applyAlignment="1">
      <alignment horizontal="center"/>
    </xf>
    <xf numFmtId="0" fontId="20" fillId="5" borderId="5" xfId="0" applyFont="1" applyFill="1" applyBorder="1"/>
    <xf numFmtId="44" fontId="20" fillId="5" borderId="5" xfId="1" applyFont="1" applyFill="1" applyBorder="1" applyAlignment="1">
      <alignment horizontal="center"/>
    </xf>
    <xf numFmtId="0" fontId="21" fillId="5" borderId="0" xfId="0" applyFont="1" applyFill="1" applyAlignment="1">
      <alignment horizontal="center"/>
    </xf>
    <xf numFmtId="44" fontId="23" fillId="5" borderId="0" xfId="0" applyNumberFormat="1" applyFont="1" applyFill="1" applyAlignment="1">
      <alignment horizontal="center"/>
    </xf>
    <xf numFmtId="44" fontId="20" fillId="5" borderId="5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 vertical="center"/>
    </xf>
    <xf numFmtId="0" fontId="24" fillId="0" borderId="0" xfId="0" applyFont="1"/>
    <xf numFmtId="0" fontId="25" fillId="0" borderId="0" xfId="0" applyFont="1"/>
    <xf numFmtId="166" fontId="0" fillId="0" borderId="0" xfId="0" applyNumberFormat="1"/>
    <xf numFmtId="167" fontId="26" fillId="0" borderId="0" xfId="2" applyNumberFormat="1" applyFont="1" applyAlignment="1">
      <alignment horizontal="center"/>
    </xf>
    <xf numFmtId="0" fontId="0" fillId="0" borderId="0" xfId="0" quotePrefix="1"/>
    <xf numFmtId="0" fontId="0" fillId="2" borderId="0" xfId="0" applyFill="1"/>
    <xf numFmtId="0" fontId="8" fillId="0" borderId="0" xfId="0" applyFont="1" applyFill="1" applyBorder="1" applyAlignment="1">
      <alignment vertical="center"/>
    </xf>
    <xf numFmtId="44" fontId="0" fillId="8" borderId="0" xfId="1" applyFont="1" applyFill="1"/>
    <xf numFmtId="0" fontId="0" fillId="5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1" fontId="0" fillId="5" borderId="0" xfId="0" applyNumberFormat="1" applyFill="1"/>
    <xf numFmtId="0" fontId="0" fillId="5" borderId="0" xfId="0" applyFill="1" applyAlignment="1">
      <alignment wrapText="1"/>
    </xf>
    <xf numFmtId="0" fontId="0" fillId="0" borderId="0" xfId="0" applyAlignment="1">
      <alignment horizontal="right"/>
    </xf>
    <xf numFmtId="165" fontId="0" fillId="0" borderId="0" xfId="0" applyNumberFormat="1"/>
    <xf numFmtId="165" fontId="0" fillId="2" borderId="0" xfId="0" applyNumberFormat="1" applyFill="1"/>
    <xf numFmtId="0" fontId="0" fillId="0" borderId="0" xfId="0" applyFill="1"/>
    <xf numFmtId="165" fontId="0" fillId="0" borderId="0" xfId="0" applyNumberFormat="1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43" fontId="0" fillId="0" borderId="0" xfId="8" applyFont="1"/>
    <xf numFmtId="0" fontId="10" fillId="12" borderId="0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10" fillId="0" borderId="0" xfId="0" applyFont="1" applyFill="1" applyBorder="1" applyAlignment="1">
      <alignment vertical="center"/>
    </xf>
    <xf numFmtId="1" fontId="3" fillId="0" borderId="0" xfId="0" applyNumberFormat="1" applyFont="1" applyAlignment="1">
      <alignment horizontal="center"/>
    </xf>
    <xf numFmtId="0" fontId="3" fillId="12" borderId="0" xfId="0" applyFont="1" applyFill="1" applyAlignment="1">
      <alignment horizontal="center"/>
    </xf>
    <xf numFmtId="0" fontId="3" fillId="13" borderId="0" xfId="0" applyFont="1" applyFill="1" applyAlignment="1">
      <alignment horizontal="left" vertical="center"/>
    </xf>
    <xf numFmtId="0" fontId="10" fillId="13" borderId="0" xfId="0" applyFont="1" applyFill="1" applyAlignment="1">
      <alignment vertical="center"/>
    </xf>
    <xf numFmtId="44" fontId="0" fillId="13" borderId="0" xfId="0" applyNumberFormat="1" applyFill="1"/>
    <xf numFmtId="2" fontId="0" fillId="0" borderId="0" xfId="0" applyNumberFormat="1" applyFill="1"/>
    <xf numFmtId="0" fontId="11" fillId="0" borderId="24" xfId="0" applyFont="1" applyBorder="1" applyAlignment="1">
      <alignment vertical="center"/>
    </xf>
    <xf numFmtId="0" fontId="11" fillId="0" borderId="24" xfId="0" applyFont="1" applyBorder="1" applyAlignment="1">
      <alignment horizontal="right" vertical="center"/>
    </xf>
    <xf numFmtId="0" fontId="16" fillId="0" borderId="24" xfId="0" applyFont="1" applyBorder="1"/>
    <xf numFmtId="1" fontId="16" fillId="0" borderId="24" xfId="0" applyNumberFormat="1" applyFont="1" applyBorder="1"/>
    <xf numFmtId="0" fontId="29" fillId="0" borderId="24" xfId="0" applyFont="1" applyBorder="1"/>
    <xf numFmtId="2" fontId="16" fillId="0" borderId="24" xfId="0" applyNumberFormat="1" applyFont="1" applyBorder="1"/>
    <xf numFmtId="0" fontId="8" fillId="0" borderId="24" xfId="0" applyFont="1" applyBorder="1" applyAlignment="1">
      <alignment horizontal="right" vertical="center"/>
    </xf>
    <xf numFmtId="0" fontId="26" fillId="0" borderId="0" xfId="0" applyFont="1" applyAlignment="1">
      <alignment horizontal="center"/>
    </xf>
    <xf numFmtId="0" fontId="10" fillId="3" borderId="17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</cellXfs>
  <cellStyles count="9">
    <cellStyle name="Comma" xfId="8" builtinId="3"/>
    <cellStyle name="Comma 2" xfId="5"/>
    <cellStyle name="Currency" xfId="1" builtinId="4"/>
    <cellStyle name="Currency 2 10" xfId="7"/>
    <cellStyle name="Hyperlink" xfId="6" builtinId="8"/>
    <cellStyle name="Normal" xfId="0" builtinId="0"/>
    <cellStyle name="Normal 10 10" xfId="3"/>
    <cellStyle name="Normal 2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Residential Electricity Bills</a:t>
            </a:r>
          </a:p>
          <a:p>
            <a:pPr algn="l">
              <a:defRPr/>
            </a:pPr>
            <a:r>
              <a:rPr lang="en-CA" sz="1500" b="0" i="1" baseline="0"/>
              <a:t>Impact of OESP and RRRP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'Residential Bill'!$A$28</c:f>
              <c:strCache>
                <c:ptCount val="1"/>
                <c:pt idx="0">
                  <c:v>Total Residential Bill after Rebate</c:v>
                </c:pt>
              </c:strCache>
            </c:strRef>
          </c:tx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'Residential Bill'!$B$28:$E$28</c:f>
              <c:numCache>
                <c:formatCode>_("$"* #,##0.00_);_("$"* \(#,##0.00\);_("$"* "-"??_);_(@_)</c:formatCode>
                <c:ptCount val="4"/>
                <c:pt idx="0">
                  <c:v>148.96578285060065</c:v>
                </c:pt>
                <c:pt idx="1">
                  <c:v>151.65659685586326</c:v>
                </c:pt>
                <c:pt idx="2">
                  <c:v>154.50803532737919</c:v>
                </c:pt>
                <c:pt idx="3">
                  <c:v>164.32464784393983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'Residential Bill'!$A$29</c:f>
              <c:strCache>
                <c:ptCount val="1"/>
                <c:pt idx="0">
                  <c:v>After Transition of OESP to Taxbase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'Residential Bill'!$B$29:$E$29</c:f>
              <c:numCache>
                <c:formatCode>0.00</c:formatCode>
                <c:ptCount val="4"/>
                <c:pt idx="0">
                  <c:v>-0.63663400979706086</c:v>
                </c:pt>
                <c:pt idx="1">
                  <c:v>-0.73475823405746332</c:v>
                </c:pt>
                <c:pt idx="2">
                  <c:v>-0.80696202531645578</c:v>
                </c:pt>
                <c:pt idx="3">
                  <c:v>-0.83491561181434615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'Residential Bill'!$A$30</c:f>
              <c:strCache>
                <c:ptCount val="1"/>
                <c:pt idx="0">
                  <c:v>After Transition of RRRP to Taxbase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'Residential Bill'!$B$30:$E$30</c:f>
              <c:numCache>
                <c:formatCode>0.00</c:formatCode>
                <c:ptCount val="4"/>
                <c:pt idx="0">
                  <c:v>-1.5325402379286215</c:v>
                </c:pt>
                <c:pt idx="1">
                  <c:v>-1.573918824352694</c:v>
                </c:pt>
                <c:pt idx="2">
                  <c:v>-1.6085450384884534</c:v>
                </c:pt>
                <c:pt idx="3">
                  <c:v>-1.6535842995661301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083520"/>
        <c:axId val="93109248"/>
      </c:lineChart>
      <c:catAx>
        <c:axId val="9308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93109248"/>
        <c:crosses val="autoZero"/>
        <c:auto val="1"/>
        <c:lblAlgn val="ctr"/>
        <c:lblOffset val="100"/>
        <c:noMultiLvlLbl val="0"/>
      </c:catAx>
      <c:valAx>
        <c:axId val="931092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9308352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700" i="0">
                <a:latin typeface="Arial" pitchFamily="34" charset="0"/>
                <a:cs typeface="Arial" pitchFamily="34" charset="0"/>
              </a:rPr>
              <a:t>Typical Industrial Electricity Prices</a:t>
            </a:r>
          </a:p>
          <a:p>
            <a:pPr algn="l">
              <a:defRPr/>
            </a:pPr>
            <a:r>
              <a:rPr lang="en-US" sz="1500" b="0" i="1" baseline="0">
                <a:latin typeface="Arial" pitchFamily="34" charset="0"/>
                <a:cs typeface="Arial" pitchFamily="34" charset="0"/>
              </a:rPr>
              <a:t>Historical and Forecast</a:t>
            </a:r>
          </a:p>
        </c:rich>
      </c:tx>
      <c:layout>
        <c:manualLayout>
          <c:xMode val="edge"/>
          <c:yMode val="edge"/>
          <c:x val="2.1355628482792384E-2"/>
          <c:y val="1.1379850832212591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'Industrial Rates'!$A$27</c:f>
              <c:strCache>
                <c:ptCount val="1"/>
                <c:pt idx="0">
                  <c:v>Actual (ENERGY)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</c:spPr>
          </c:marker>
          <c:dPt>
            <c:idx val="5"/>
            <c:bubble3D val="0"/>
            <c:spPr>
              <a:ln>
                <a:solidFill>
                  <a:schemeClr val="bg1">
                    <a:lumMod val="50000"/>
                  </a:schemeClr>
                </a:solidFill>
                <a:prstDash val="sysDash"/>
              </a:ln>
            </c:spPr>
          </c:dPt>
          <c:dPt>
            <c:idx val="6"/>
            <c:bubble3D val="0"/>
            <c:spPr>
              <a:ln>
                <a:solidFill>
                  <a:schemeClr val="bg1">
                    <a:lumMod val="50000"/>
                  </a:schemeClr>
                </a:solidFill>
                <a:prstDash val="sysDash"/>
              </a:ln>
            </c:spPr>
          </c:dPt>
          <c:dPt>
            <c:idx val="7"/>
            <c:bubble3D val="0"/>
            <c:spPr>
              <a:ln>
                <a:solidFill>
                  <a:schemeClr val="bg1">
                    <a:lumMod val="50000"/>
                  </a:schemeClr>
                </a:solidFill>
                <a:prstDash val="sysDash"/>
              </a:ln>
            </c:spPr>
          </c:dPt>
          <c:dLbls>
            <c:dLbl>
              <c:idx val="0"/>
              <c:layout>
                <c:manualLayout>
                  <c:x val="-1.7179669431897041E-2"/>
                  <c:y val="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906225909196054E-2"/>
                  <c:y val="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906225909196054E-2"/>
                  <c:y val="3.699032717507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2450486704694408E-2"/>
                  <c:y val="4.3715841206906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8632782386495068E-2"/>
                  <c:y val="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815078068295724E-2"/>
                  <c:y val="4.3715841206906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997373750096381E-2"/>
                  <c:y val="3.699032717507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997373750096381E-2"/>
                  <c:y val="4.3715576422889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4815078068295724E-2"/>
                  <c:y val="-4.7078863006839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8177043181993421E-2"/>
                  <c:y val="-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9630156136591448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'Industrial Rates'!$E$26:$L$26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'Industrial Rates'!$E$27:$H$27</c:f>
              <c:numCache>
                <c:formatCode>General</c:formatCode>
                <c:ptCount val="4"/>
                <c:pt idx="0">
                  <c:v>79.87</c:v>
                </c:pt>
                <c:pt idx="1">
                  <c:v>83.35</c:v>
                </c:pt>
                <c:pt idx="2">
                  <c:v>84.289999999999992</c:v>
                </c:pt>
                <c:pt idx="3">
                  <c:v>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'Industrial Rates'!$A$28</c:f>
              <c:strCache>
                <c:ptCount val="1"/>
                <c:pt idx="0">
                  <c:v>2013 LTEP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diamond"/>
            <c:size val="8"/>
            <c:spPr>
              <a:solidFill>
                <a:schemeClr val="bg1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3.2450486704694408E-2"/>
                  <c:y val="-5.0441355238738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1994747500192761E-2"/>
                  <c:y val="-6.0529626286486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903599659292435E-2"/>
                  <c:y val="-5.38041122546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3903599659292435E-2"/>
                  <c:y val="-6.0529626286486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630156136591379E-2"/>
                  <c:y val="-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0085895341093095E-2"/>
                  <c:y val="-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2450486704694408E-2"/>
                  <c:y val="-5.044135523873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0085895341093095E-2"/>
                  <c:y val="-5.0441355238738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'Industrial Rates'!$E$26:$L$26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'Industrial Rates'!$E$28:$L$28</c:f>
              <c:numCache>
                <c:formatCode>General</c:formatCode>
                <c:ptCount val="8"/>
                <c:pt idx="0">
                  <c:v>79</c:v>
                </c:pt>
                <c:pt idx="1">
                  <c:v>87</c:v>
                </c:pt>
                <c:pt idx="2">
                  <c:v>92</c:v>
                </c:pt>
                <c:pt idx="3">
                  <c:v>96</c:v>
                </c:pt>
                <c:pt idx="4">
                  <c:v>100</c:v>
                </c:pt>
                <c:pt idx="5">
                  <c:v>105</c:v>
                </c:pt>
                <c:pt idx="6">
                  <c:v>102</c:v>
                </c:pt>
                <c:pt idx="7">
                  <c:v>104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'Industrial Rates'!$A$29</c:f>
              <c:strCache>
                <c:ptCount val="1"/>
                <c:pt idx="0">
                  <c:v>Updated OPO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layout>
                <c:manualLayout>
                  <c:x val="-1.7179669431896971E-2"/>
                  <c:y val="5.0441355238738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0997373750096381E-2"/>
                  <c:y val="5.0441355238738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6354086363986844E-3"/>
                  <c:y val="4.03530841909907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2906225909196054E-2"/>
                  <c:y val="3.3627570159159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'Industrial Rates'!$E$26:$L$26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'Industrial Rates'!$E$29:$L$29</c:f>
              <c:numCache>
                <c:formatCode>General</c:formatCode>
                <c:ptCount val="8"/>
                <c:pt idx="0">
                  <c:v>79.87</c:v>
                </c:pt>
                <c:pt idx="1">
                  <c:v>83.35</c:v>
                </c:pt>
                <c:pt idx="2">
                  <c:v>84.289999999999992</c:v>
                </c:pt>
                <c:pt idx="3">
                  <c:v>85</c:v>
                </c:pt>
                <c:pt idx="4" formatCode="0.00">
                  <c:v>94.577951024590931</c:v>
                </c:pt>
                <c:pt idx="5" formatCode="0.00">
                  <c:v>91.291573338515207</c:v>
                </c:pt>
                <c:pt idx="6" formatCode="0.00">
                  <c:v>91.343629985573486</c:v>
                </c:pt>
                <c:pt idx="7" formatCode="0.00">
                  <c:v>99.123134308406861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27616"/>
        <c:axId val="37733504"/>
      </c:lineChart>
      <c:catAx>
        <c:axId val="37727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7733504"/>
        <c:crosses val="autoZero"/>
        <c:auto val="1"/>
        <c:lblAlgn val="ctr"/>
        <c:lblOffset val="100"/>
        <c:noMultiLvlLbl val="0"/>
      </c:catAx>
      <c:valAx>
        <c:axId val="37733504"/>
        <c:scaling>
          <c:orientation val="minMax"/>
          <c:min val="60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772761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Industrial Electricity Prices</a:t>
            </a:r>
          </a:p>
          <a:p>
            <a:pPr algn="l">
              <a:defRPr/>
            </a:pPr>
            <a:r>
              <a:rPr lang="en-CA" sz="1500" b="0" i="1" baseline="0"/>
              <a:t>Impact of DRC Removal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'Industrial Rates'!$A$82</c:f>
              <c:strCache>
                <c:ptCount val="1"/>
                <c:pt idx="0">
                  <c:v>Updated OPO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2.3970035568135456E-2"/>
                  <c:y val="-4.0557662537360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972532604124167E-2"/>
                  <c:y val="-4.7317272960254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9975029640113611E-3"/>
                  <c:y val="2.0278831268680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'Industrial Rates'!$B$49:$E$49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Rates'!$B$82:$E$82</c:f>
              <c:numCache>
                <c:formatCode>_("$"* #,##0.00_);_("$"* \(#,##0.00\);_("$"* "-"??_);_(@_)</c:formatCode>
                <c:ptCount val="4"/>
                <c:pt idx="0">
                  <c:v>94.577951024590931</c:v>
                </c:pt>
                <c:pt idx="1">
                  <c:v>91.291573338515207</c:v>
                </c:pt>
                <c:pt idx="2">
                  <c:v>91.343629985573486</c:v>
                </c:pt>
                <c:pt idx="3">
                  <c:v>99.123134308406861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'Industrial Rates'!$A$83</c:f>
              <c:strCache>
                <c:ptCount val="1"/>
                <c:pt idx="0">
                  <c:v>Full DRC Removal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960047424180606E-2"/>
                  <c:y val="-4.055766253736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972532604124167E-2"/>
                  <c:y val="5.4076883383147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delete val="1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'Industrial Rates'!$B$49:$E$49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Rates'!$B$83:$E$83</c:f>
              <c:numCache>
                <c:formatCode>_("$"* #,##0.00_);_("$"* \(#,##0.00\);_("$"* "-"??_);_(@_)</c:formatCode>
                <c:ptCount val="4"/>
                <c:pt idx="0">
                  <c:v>87.577951024590931</c:v>
                </c:pt>
                <c:pt idx="1">
                  <c:v>89.541573338515207</c:v>
                </c:pt>
                <c:pt idx="2">
                  <c:v>91.343629985573486</c:v>
                </c:pt>
                <c:pt idx="3">
                  <c:v>99.123134308406861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'Industrial Rates'!$A$84</c:f>
              <c:strCache>
                <c:ptCount val="1"/>
                <c:pt idx="0">
                  <c:v>1/2 DRC Removal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Pt>
            <c:idx val="3"/>
            <c:bubble3D val="0"/>
            <c:spPr>
              <a:ln>
                <a:solidFill>
                  <a:schemeClr val="accent1"/>
                </a:solidFill>
              </a:ln>
            </c:spPr>
          </c:dPt>
          <c:dLbls>
            <c:dLbl>
              <c:idx val="0"/>
              <c:layout>
                <c:manualLayout>
                  <c:x val="-2.3970035568135456E-2"/>
                  <c:y val="-4.3937467748807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189762152446281E-2"/>
                  <c:y val="2.3658636480127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delete val="1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'Industrial Rates'!$B$49:$E$49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Rates'!$B$84:$E$84</c:f>
              <c:numCache>
                <c:formatCode>_("$"* #,##0.00_);_("$"* \(#,##0.00\);_("$"* "-"??_);_(@_)</c:formatCode>
                <c:ptCount val="4"/>
                <c:pt idx="0">
                  <c:v>91.077951024590931</c:v>
                </c:pt>
                <c:pt idx="1">
                  <c:v>90.416573338515207</c:v>
                </c:pt>
                <c:pt idx="2">
                  <c:v>91.343629985573486</c:v>
                </c:pt>
                <c:pt idx="3">
                  <c:v>99.123134308406861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921344"/>
        <c:axId val="38922880"/>
      </c:lineChart>
      <c:catAx>
        <c:axId val="3892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8922880"/>
        <c:crosses val="autoZero"/>
        <c:auto val="1"/>
        <c:lblAlgn val="ctr"/>
        <c:lblOffset val="100"/>
        <c:noMultiLvlLbl val="0"/>
      </c:catAx>
      <c:valAx>
        <c:axId val="389228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8921344"/>
        <c:crosses val="autoZero"/>
        <c:crossBetween val="between"/>
        <c:majorUnit val="5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Industrial Electricity Prices</a:t>
            </a:r>
          </a:p>
          <a:p>
            <a:pPr algn="l">
              <a:defRPr/>
            </a:pPr>
            <a:r>
              <a:rPr lang="en-CA" sz="1500" b="0" i="1"/>
              <a:t>Highlighting</a:t>
            </a:r>
            <a:r>
              <a:rPr lang="en-CA" sz="1500" b="0" i="1" baseline="0"/>
              <a:t> Impact of Market Renewal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'Industrial Rates'!$A$105</c:f>
              <c:strCache>
                <c:ptCount val="1"/>
                <c:pt idx="0">
                  <c:v>With Market Renewal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Rates'!$B$106:$E$106</c:f>
              <c:numCache>
                <c:formatCode>_("$"* #,##0.00_);_("$"* \(#,##0.00\);_("$"* "-"??_);_(@_)</c:formatCode>
                <c:ptCount val="4"/>
                <c:pt idx="0">
                  <c:v>94.577951024590931</c:v>
                </c:pt>
                <c:pt idx="1">
                  <c:v>91.291573338515207</c:v>
                </c:pt>
                <c:pt idx="2">
                  <c:v>91.343629985573486</c:v>
                </c:pt>
                <c:pt idx="3">
                  <c:v>97.013429667056656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'Industrial Rates'!$A$104</c:f>
              <c:strCache>
                <c:ptCount val="1"/>
                <c:pt idx="0">
                  <c:v>OPO Update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Rates'!$B$104:$E$104</c:f>
              <c:numCache>
                <c:formatCode>_("$"* #,##0.00_);_("$"* \(#,##0.00\);_("$"* "-"??_);_(@_)</c:formatCode>
                <c:ptCount val="4"/>
                <c:pt idx="0">
                  <c:v>94.577951024590931</c:v>
                </c:pt>
                <c:pt idx="1">
                  <c:v>91.291573338515207</c:v>
                </c:pt>
                <c:pt idx="2">
                  <c:v>91.343629985573486</c:v>
                </c:pt>
                <c:pt idx="3">
                  <c:v>99.123134308406861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63712"/>
        <c:axId val="46565248"/>
      </c:lineChart>
      <c:catAx>
        <c:axId val="4656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6565248"/>
        <c:crosses val="autoZero"/>
        <c:auto val="1"/>
        <c:lblAlgn val="ctr"/>
        <c:lblOffset val="100"/>
        <c:noMultiLvlLbl val="0"/>
      </c:catAx>
      <c:valAx>
        <c:axId val="465652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65637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Industrial Electricity Prices</a:t>
            </a:r>
          </a:p>
          <a:p>
            <a:pPr algn="l">
              <a:defRPr/>
            </a:pPr>
            <a:r>
              <a:rPr lang="en-CA" sz="1500" b="0" i="1"/>
              <a:t>Highlighting</a:t>
            </a:r>
            <a:r>
              <a:rPr lang="en-CA" sz="1500" b="0" i="1" baseline="0"/>
              <a:t> Impact of ICI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'Industrial Rates'!$A$45</c:f>
              <c:strCache>
                <c:ptCount val="1"/>
                <c:pt idx="0">
                  <c:v>Industrial Price</c:v>
                </c:pt>
              </c:strCache>
            </c:strRef>
          </c:tx>
          <c:invertIfNegative val="0"/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Rates'!$B$45:$E$45</c:f>
              <c:numCache>
                <c:formatCode>_("$"* #,##0.00_);_("$"* \(#,##0.00\);_("$"* "-"??_);_(@_)</c:formatCode>
                <c:ptCount val="4"/>
                <c:pt idx="0">
                  <c:v>94.577951024590931</c:v>
                </c:pt>
                <c:pt idx="1">
                  <c:v>91.291573338515207</c:v>
                </c:pt>
                <c:pt idx="2">
                  <c:v>91.343629985573486</c:v>
                </c:pt>
                <c:pt idx="3">
                  <c:v>99.123134308406861</c:v>
                </c:pt>
              </c:numCache>
            </c:numRef>
          </c:val>
        </c:ser>
        <c:ser>
          <c:idx val="1"/>
          <c:order val="1"/>
          <c:tx>
            <c:strRef>
              <c:f>'Residential Bill'!$A$34</c:f>
              <c:strCache>
                <c:ptCount val="1"/>
                <c:pt idx="0">
                  <c:v>After Elimination of ICI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Rates'!$B$47:$E$47</c:f>
              <c:numCache>
                <c:formatCode>_("$"* #,##0.00_);_("$"* \(#,##0.00\);_("$"* "-"??_);_(@_)</c:formatCode>
                <c:ptCount val="4"/>
                <c:pt idx="0">
                  <c:v>118.70009303534837</c:v>
                </c:pt>
                <c:pt idx="1">
                  <c:v>114.4993528749105</c:v>
                </c:pt>
                <c:pt idx="2">
                  <c:v>113.79104222580577</c:v>
                </c:pt>
                <c:pt idx="3">
                  <c:v>122.35579385021549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579072"/>
        <c:axId val="46580864"/>
      </c:barChart>
      <c:catAx>
        <c:axId val="4657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6580864"/>
        <c:crosses val="autoZero"/>
        <c:auto val="1"/>
        <c:lblAlgn val="ctr"/>
        <c:lblOffset val="100"/>
        <c:noMultiLvlLbl val="0"/>
      </c:catAx>
      <c:valAx>
        <c:axId val="465808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657907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18285214348207"/>
          <c:y val="0.19954870224555263"/>
          <c:w val="0.84726159230096243"/>
          <c:h val="0.627966608340624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 Bills Comparison'!$D$2</c:f>
              <c:strCache>
                <c:ptCount val="1"/>
                <c:pt idx="0">
                  <c:v>$/month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Bills Comparison'!$B$3:$B$5</c:f>
              <c:strCache>
                <c:ptCount val="3"/>
                <c:pt idx="0">
                  <c:v>Typical Residential 
(750 kWh/month)</c:v>
                </c:pt>
                <c:pt idx="1">
                  <c:v>Rural with RRRP 
(1,300 kWh/month)</c:v>
                </c:pt>
                <c:pt idx="2">
                  <c:v>Electric Heating 
(2,500 kWh/month)</c:v>
                </c:pt>
              </c:strCache>
            </c:strRef>
          </c:cat>
          <c:val>
            <c:numRef>
              <c:f>'Res Bills Comparison'!$D$3:$D$5</c:f>
              <c:numCache>
                <c:formatCode>0</c:formatCode>
                <c:ptCount val="3"/>
                <c:pt idx="0" formatCode="General">
                  <c:v>156</c:v>
                </c:pt>
                <c:pt idx="1">
                  <c:v>291.18405000000001</c:v>
                </c:pt>
                <c:pt idx="2">
                  <c:v>455.99454999999995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826112"/>
        <c:axId val="96827648"/>
      </c:barChart>
      <c:lineChart>
        <c:grouping val="standard"/>
        <c:varyColors val="0"/>
        <c:ser>
          <c:idx val="1"/>
          <c:order val="1"/>
          <c:tx>
            <c:v>2013 LTEP</c:v>
          </c:tx>
          <c:spPr>
            <a:ln w="6350">
              <a:noFill/>
            </a:ln>
          </c:spPr>
          <c:marker>
            <c:symbol val="dash"/>
            <c:size val="2"/>
            <c:spPr>
              <a:solidFill>
                <a:schemeClr val="accent3"/>
              </a:solidFill>
              <a:ln w="6350">
                <a:noFill/>
              </a:ln>
            </c:spPr>
          </c:marker>
          <c:dLbls>
            <c:dLbl>
              <c:idx val="0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'Res Bills Comparison'!$E$3:$E$5</c:f>
              <c:numCache>
                <c:formatCode>General</c:formatCode>
                <c:ptCount val="3"/>
                <c:pt idx="0" formatCode="0">
                  <c:v>158.51626977553067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26112"/>
        <c:axId val="96827648"/>
      </c:lineChart>
      <c:catAx>
        <c:axId val="968261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96827648"/>
        <c:crosses val="autoZero"/>
        <c:auto val="1"/>
        <c:lblAlgn val="ctr"/>
        <c:lblOffset val="100"/>
        <c:noMultiLvlLbl val="0"/>
      </c:catAx>
      <c:valAx>
        <c:axId val="9682764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968261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/>
            </a:pPr>
            <a:r>
              <a:rPr lang="en-US" sz="1400" i="0">
                <a:latin typeface="Arial" pitchFamily="34" charset="0"/>
                <a:cs typeface="Arial" pitchFamily="34" charset="0"/>
              </a:rPr>
              <a:t>Typical Residential Electricity Bills</a:t>
            </a:r>
          </a:p>
          <a:p>
            <a:pPr algn="l">
              <a:defRPr sz="1200"/>
            </a:pPr>
            <a:r>
              <a:rPr lang="en-US" sz="1200" b="0" i="1" baseline="0">
                <a:latin typeface="Arial" pitchFamily="34" charset="0"/>
                <a:cs typeface="Arial" pitchFamily="34" charset="0"/>
              </a:rPr>
              <a:t>Historical and Forecast</a:t>
            </a:r>
          </a:p>
        </c:rich>
      </c:tx>
      <c:layout>
        <c:manualLayout>
          <c:xMode val="edge"/>
          <c:yMode val="edge"/>
          <c:x val="1.5659080559145659E-3"/>
          <c:y val="1.2916164349321085E-3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'Residential Bill'!$A$50</c:f>
              <c:strCache>
                <c:ptCount val="1"/>
                <c:pt idx="0">
                  <c:v>Actual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</c:spPr>
          </c:marker>
          <c:dPt>
            <c:idx val="7"/>
            <c:marker>
              <c:spPr>
                <a:solidFill>
                  <a:schemeClr val="bg1"/>
                </a:solidFill>
                <a:ln>
                  <a:prstDash val="dashDot"/>
                </a:ln>
              </c:spPr>
            </c:marker>
            <c:bubble3D val="0"/>
            <c:spPr>
              <a:ln>
                <a:solidFill>
                  <a:schemeClr val="bg2">
                    <a:lumMod val="50000"/>
                  </a:schemeClr>
                </a:solidFill>
                <a:prstDash val="dashDot"/>
              </a:ln>
            </c:spPr>
          </c:dPt>
          <c:dPt>
            <c:idx val="8"/>
            <c:marker>
              <c:spPr>
                <a:solidFill>
                  <a:schemeClr val="bg1"/>
                </a:solidFill>
                <a:ln>
                  <a:prstDash val="dash"/>
                </a:ln>
              </c:spPr>
            </c:marker>
            <c:bubble3D val="0"/>
            <c:spPr>
              <a:ln>
                <a:solidFill>
                  <a:schemeClr val="bg2">
                    <a:lumMod val="50000"/>
                  </a:schemeClr>
                </a:solidFill>
                <a:prstDash val="dash"/>
              </a:ln>
            </c:spPr>
          </c:dPt>
          <c:dPt>
            <c:idx val="9"/>
            <c:marker>
              <c:spPr>
                <a:solidFill>
                  <a:schemeClr val="bg1"/>
                </a:solidFill>
                <a:ln>
                  <a:prstDash val="dash"/>
                </a:ln>
              </c:spPr>
            </c:marker>
            <c:bubble3D val="0"/>
            <c:spPr>
              <a:ln>
                <a:solidFill>
                  <a:schemeClr val="bg2">
                    <a:lumMod val="50000"/>
                  </a:schemeClr>
                </a:solidFill>
                <a:prstDash val="dash"/>
              </a:ln>
            </c:spPr>
          </c:dPt>
          <c:dPt>
            <c:idx val="10"/>
            <c:marker>
              <c:spPr>
                <a:solidFill>
                  <a:schemeClr val="bg1"/>
                </a:solidFill>
                <a:ln>
                  <a:prstDash val="dash"/>
                </a:ln>
              </c:spPr>
            </c:marker>
            <c:bubble3D val="0"/>
            <c:spPr>
              <a:ln>
                <a:solidFill>
                  <a:schemeClr val="bg2">
                    <a:lumMod val="50000"/>
                  </a:schemeClr>
                </a:solidFill>
                <a:prstDash val="dash"/>
              </a:ln>
            </c:spPr>
          </c:dPt>
          <c:dLbls>
            <c:dLbl>
              <c:idx val="0"/>
              <c:layout>
                <c:manualLayout>
                  <c:x val="-7.6354086363987017E-3"/>
                  <c:y val="3.3627570159158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1453112954598027E-2"/>
                  <c:y val="3.3627570159159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3361965113697697E-2"/>
                  <c:y val="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906225909196054E-2"/>
                  <c:y val="3.3627570159159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3361965113697697E-2"/>
                  <c:y val="3.0264813143243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6354086363986844E-3"/>
                  <c:y val="1.6813785079579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6723930227395394E-2"/>
                  <c:y val="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997373750096381E-2"/>
                  <c:y val="-4.7078863006839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4815078068295724E-2"/>
                  <c:y val="-4.7078863006839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8177043181993421E-2"/>
                  <c:y val="-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9630156136591448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'Residential Bill'!$B$49:$M$49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'Residential Bill'!$B$50:$M$50</c:f>
              <c:numCache>
                <c:formatCode>0.00</c:formatCode>
                <c:ptCount val="12"/>
                <c:pt idx="0">
                  <c:v>104.31513750000001</c:v>
                </c:pt>
                <c:pt idx="1">
                  <c:v>104.57556749999998</c:v>
                </c:pt>
                <c:pt idx="2">
                  <c:v>111.63503062499998</c:v>
                </c:pt>
                <c:pt idx="3">
                  <c:v>116.4185325</c:v>
                </c:pt>
                <c:pt idx="4">
                  <c:v>123.50956500000001</c:v>
                </c:pt>
                <c:pt idx="5">
                  <c:v>135.64915500000004</c:v>
                </c:pt>
                <c:pt idx="6">
                  <c:v>155.58000000000001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'Residential Bill'!$A$51</c:f>
              <c:strCache>
                <c:ptCount val="1"/>
                <c:pt idx="0">
                  <c:v>Updated OPO</c:v>
                </c:pt>
              </c:strCache>
            </c:strRef>
          </c:tx>
          <c:spPr>
            <a:ln>
              <a:solidFill>
                <a:schemeClr val="accent1"/>
              </a:solidFill>
              <a:prstDash val="dash"/>
            </a:ln>
          </c:spPr>
          <c:marker>
            <c:symbol val="none"/>
          </c:marker>
          <c:dLbls>
            <c:dLbl>
              <c:idx val="6"/>
              <c:delete val="1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'Residential Bill'!$B$49:$M$49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'Residential Bill'!$B$51:$M$51</c:f>
              <c:numCache>
                <c:formatCode>0.00</c:formatCode>
                <c:ptCount val="12"/>
                <c:pt idx="6">
                  <c:v>155.58000000000001</c:v>
                </c:pt>
                <c:pt idx="7" formatCode="_(&quot;$&quot;* #,##0.00_);_(&quot;$&quot;* \(#,##0.00\);_(&quot;$&quot;* &quot;-&quot;??_);_(@_)">
                  <c:v>152.70563809980166</c:v>
                </c:pt>
                <c:pt idx="8" formatCode="_(&quot;$&quot;* #,##0.00_);_(&quot;$&quot;* \(#,##0.00\);_(&quot;$&quot;* &quot;-&quot;??_);_(@_)">
                  <c:v>155.25080956850243</c:v>
                </c:pt>
                <c:pt idx="9" formatCode="_(&quot;$&quot;* #,##0.00_);_(&quot;$&quot;* \(#,##0.00\);_(&quot;$&quot;* &quot;-&quot;??_);_(@_)">
                  <c:v>157.88132089866929</c:v>
                </c:pt>
                <c:pt idx="10" formatCode="_(&quot;$&quot;* #,##0.00_);_(&quot;$&quot;* \(#,##0.00\);_(&quot;$&quot;* &quot;-&quot;??_);_(@_)">
                  <c:v>167.81430136892874</c:v>
                </c:pt>
                <c:pt idx="11" formatCode="General">
                  <c:v>165.86232478214305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'Residential Bill'!$A$53</c:f>
              <c:strCache>
                <c:ptCount val="1"/>
                <c:pt idx="0">
                  <c:v>2013 LTEP (750 kWh/month)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'Residential Bill'!$B$49:$M$49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'Residential Bill'!$B$53:$M$53</c:f>
              <c:numCache>
                <c:formatCode>General</c:formatCode>
                <c:ptCount val="12"/>
                <c:pt idx="3" formatCode="0">
                  <c:v>119.012</c:v>
                </c:pt>
                <c:pt idx="4" formatCode="0">
                  <c:v>130.437152</c:v>
                </c:pt>
                <c:pt idx="5" formatCode="0">
                  <c:v>138.05392000000001</c:v>
                </c:pt>
                <c:pt idx="6" formatCode="0">
                  <c:v>159.000032</c:v>
                </c:pt>
                <c:pt idx="7" formatCode="0">
                  <c:v>161.85632000000001</c:v>
                </c:pt>
                <c:pt idx="8" formatCode="0">
                  <c:v>169.47308800000002</c:v>
                </c:pt>
                <c:pt idx="9" formatCode="0">
                  <c:v>168.52099200000001</c:v>
                </c:pt>
                <c:pt idx="10" formatCode="0">
                  <c:v>172.329376</c:v>
                </c:pt>
                <c:pt idx="11" formatCode="0">
                  <c:v>178.04195200000001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81664"/>
        <c:axId val="111751936"/>
      </c:lineChart>
      <c:catAx>
        <c:axId val="10048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11751936"/>
        <c:crosses val="autoZero"/>
        <c:auto val="1"/>
        <c:lblAlgn val="ctr"/>
        <c:lblOffset val="100"/>
        <c:noMultiLvlLbl val="0"/>
      </c:catAx>
      <c:valAx>
        <c:axId val="11175193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00481664"/>
        <c:crosses val="autoZero"/>
        <c:crossBetween val="between"/>
      </c:valAx>
    </c:plotArea>
    <c:legend>
      <c:legendPos val="r"/>
      <c:layout/>
      <c:overlay val="1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Residential Electricity Bills</a:t>
            </a:r>
          </a:p>
          <a:p>
            <a:pPr algn="l">
              <a:defRPr/>
            </a:pPr>
            <a:r>
              <a:rPr lang="en-CA" sz="1500" b="0" i="1"/>
              <a:t>Highlighting</a:t>
            </a:r>
            <a:r>
              <a:rPr lang="en-CA" sz="1500" b="0" i="1" baseline="0"/>
              <a:t> Impact of ICI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'Residential Bill'!$A$33</c:f>
              <c:strCache>
                <c:ptCount val="1"/>
                <c:pt idx="0">
                  <c:v>Total Residential Bill after Rebate</c:v>
                </c:pt>
              </c:strCache>
            </c:strRef>
          </c:tx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'Residential Bill'!$B$33:$E$33</c:f>
              <c:numCache>
                <c:formatCode>_("$"* #,##0.00_);_("$"* \(#,##0.00\);_("$"* "-"??_);_(@_)</c:formatCode>
                <c:ptCount val="4"/>
                <c:pt idx="0">
                  <c:v>148.96578285060065</c:v>
                </c:pt>
                <c:pt idx="1">
                  <c:v>151.65659685586326</c:v>
                </c:pt>
                <c:pt idx="2">
                  <c:v>154.50803532737919</c:v>
                </c:pt>
                <c:pt idx="3">
                  <c:v>164.32464784393983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'Residential Bill'!$A$34</c:f>
              <c:strCache>
                <c:ptCount val="1"/>
                <c:pt idx="0">
                  <c:v>After Elimination of ICI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'Residential Bill'!$B$34:$E$34</c:f>
              <c:numCache>
                <c:formatCode>_("$"* #,##0.00_);_("$"* \(#,##0.00\);_("$"* "-"??_);_(@_)</c:formatCode>
                <c:ptCount val="4"/>
                <c:pt idx="0">
                  <c:v>4.4049128889209257</c:v>
                </c:pt>
                <c:pt idx="1">
                  <c:v>4.2379423501243636</c:v>
                </c:pt>
                <c:pt idx="2">
                  <c:v>4.0990926699554535</c:v>
                </c:pt>
                <c:pt idx="3">
                  <c:v>4.2424856554607047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6576"/>
        <c:axId val="117158272"/>
      </c:lineChart>
      <c:catAx>
        <c:axId val="11461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17158272"/>
        <c:crosses val="autoZero"/>
        <c:auto val="1"/>
        <c:lblAlgn val="ctr"/>
        <c:lblOffset val="100"/>
        <c:noMultiLvlLbl val="0"/>
      </c:catAx>
      <c:valAx>
        <c:axId val="1171582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146165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700" i="0">
                <a:latin typeface="Arial" pitchFamily="34" charset="0"/>
                <a:cs typeface="Arial" pitchFamily="34" charset="0"/>
              </a:rPr>
              <a:t>Conservation Residential</a:t>
            </a:r>
            <a:r>
              <a:rPr lang="en-US" sz="1700" i="0" baseline="0">
                <a:latin typeface="Arial" pitchFamily="34" charset="0"/>
                <a:cs typeface="Arial" pitchFamily="34" charset="0"/>
              </a:rPr>
              <a:t> Bill Impact</a:t>
            </a:r>
            <a:endParaRPr lang="en-US" sz="1700" i="0">
              <a:latin typeface="Arial" pitchFamily="34" charset="0"/>
              <a:cs typeface="Arial" pitchFamily="34" charset="0"/>
            </a:endParaRPr>
          </a:p>
          <a:p>
            <a:pPr algn="l">
              <a:defRPr/>
            </a:pPr>
            <a:r>
              <a:rPr lang="en-US" sz="1500" b="0" i="1" baseline="0">
                <a:latin typeface="Arial" pitchFamily="34" charset="0"/>
                <a:cs typeface="Arial" pitchFamily="34" charset="0"/>
              </a:rPr>
              <a:t>Status Quo and 10-Year Amortization</a:t>
            </a:r>
          </a:p>
        </c:rich>
      </c:tx>
      <c:layout>
        <c:manualLayout>
          <c:xMode val="edge"/>
          <c:yMode val="edge"/>
          <c:x val="1.7132889745187022E-2"/>
          <c:y val="2.17561042831087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067838296642797E-2"/>
          <c:y val="0.20103766753297825"/>
          <c:w val="0.92670704213222888"/>
          <c:h val="0.59740994349230059"/>
        </c:manualLayout>
      </c:layout>
      <c:lineChart>
        <c:grouping val="standard"/>
        <c:varyColors val="0"/>
        <c:ser>
          <c:idx val="0"/>
          <c:order val="0"/>
          <c:tx>
            <c:strRef>
              <c:f>'Residential Bill'!$A$81</c:f>
              <c:strCache>
                <c:ptCount val="1"/>
                <c:pt idx="0">
                  <c:v>Conservation Bill Impact (Status Quo)</c:v>
                </c:pt>
              </c:strCache>
            </c:strRef>
          </c:tx>
          <c:spPr>
            <a:ln w="47625">
              <a:solidFill>
                <a:srgbClr val="00B050"/>
              </a:solidFill>
              <a:prstDash val="sysDot"/>
            </a:ln>
          </c:spPr>
          <c:marker>
            <c:symbol val="none"/>
          </c:marker>
          <c:cat>
            <c:numRef>
              <c:f>'Residential Bill'!$B$76:$T$76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'Residential Bill'!$B$81:$T$81</c:f>
              <c:numCache>
                <c:formatCode>0.00</c:formatCode>
                <c:ptCount val="19"/>
                <c:pt idx="0">
                  <c:v>3.4048200174094116</c:v>
                </c:pt>
                <c:pt idx="1">
                  <c:v>3.6831490249030034</c:v>
                </c:pt>
                <c:pt idx="2">
                  <c:v>2.98291653802614</c:v>
                </c:pt>
                <c:pt idx="3">
                  <c:v>3.0904600185242357</c:v>
                </c:pt>
                <c:pt idx="4">
                  <c:v>2.5759505654336716</c:v>
                </c:pt>
                <c:pt idx="5">
                  <c:v>2.5777697395618029</c:v>
                </c:pt>
                <c:pt idx="6">
                  <c:v>2.6762906144962511</c:v>
                </c:pt>
                <c:pt idx="7">
                  <c:v>2.7690758558961739</c:v>
                </c:pt>
                <c:pt idx="8">
                  <c:v>2.8696888735671808</c:v>
                </c:pt>
                <c:pt idx="9">
                  <c:v>2.8757859462447319</c:v>
                </c:pt>
                <c:pt idx="10">
                  <c:v>2.8696888735671808</c:v>
                </c:pt>
                <c:pt idx="11">
                  <c:v>2.8575719606597891</c:v>
                </c:pt>
                <c:pt idx="12">
                  <c:v>2.8515517950123321</c:v>
                </c:pt>
                <c:pt idx="13">
                  <c:v>2.8435642549702806</c:v>
                </c:pt>
                <c:pt idx="14">
                  <c:v>2.8336425374023455</c:v>
                </c:pt>
                <c:pt idx="15">
                  <c:v>2.8198678861788613</c:v>
                </c:pt>
                <c:pt idx="16">
                  <c:v>2.8004205214465943</c:v>
                </c:pt>
                <c:pt idx="17">
                  <c:v>2.7755364019805611</c:v>
                </c:pt>
                <c:pt idx="18">
                  <c:v>2.7473678999306901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'Residential Bill'!$A$103</c:f>
              <c:strCache>
                <c:ptCount val="1"/>
                <c:pt idx="0">
                  <c:v>Conservation Bill Impact (Amortization)</c:v>
                </c:pt>
              </c:strCache>
            </c:strRef>
          </c:tx>
          <c:spPr>
            <a:ln w="50800">
              <a:solidFill>
                <a:srgbClr val="92D050"/>
              </a:solidFill>
              <a:prstDash val="sysDot"/>
            </a:ln>
          </c:spPr>
          <c:marker>
            <c:symbol val="none"/>
          </c:marker>
          <c:cat>
            <c:numRef>
              <c:f>'Residential Bill'!$B$76:$T$76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'Residential Bill'!$B$103:$T$103</c:f>
              <c:numCache>
                <c:formatCode>0.00</c:formatCode>
                <c:ptCount val="19"/>
                <c:pt idx="0">
                  <c:v>1.7344693884517568</c:v>
                </c:pt>
                <c:pt idx="1">
                  <c:v>2.1207312629258039</c:v>
                </c:pt>
                <c:pt idx="2">
                  <c:v>1.7686108366779871</c:v>
                </c:pt>
                <c:pt idx="3">
                  <c:v>2.2847204898631266</c:v>
                </c:pt>
                <c:pt idx="4">
                  <c:v>2.0360662598757253</c:v>
                </c:pt>
                <c:pt idx="5">
                  <c:v>2.2222097457627119</c:v>
                </c:pt>
                <c:pt idx="6">
                  <c:v>2.4453819098509011</c:v>
                </c:pt>
                <c:pt idx="7">
                  <c:v>2.6659486548358782</c:v>
                </c:pt>
                <c:pt idx="8">
                  <c:v>2.8965971128156509</c:v>
                </c:pt>
                <c:pt idx="9">
                  <c:v>3.0905880605264979</c:v>
                </c:pt>
                <c:pt idx="10">
                  <c:v>3.0784460829095925</c:v>
                </c:pt>
                <c:pt idx="11">
                  <c:v>3.0456307821698907</c:v>
                </c:pt>
                <c:pt idx="12">
                  <c:v>3.031706846053714</c:v>
                </c:pt>
                <c:pt idx="13">
                  <c:v>3.0355851608936257</c:v>
                </c:pt>
                <c:pt idx="14">
                  <c:v>3.0446281466478302</c:v>
                </c:pt>
                <c:pt idx="15">
                  <c:v>3.0488137703252041</c:v>
                </c:pt>
                <c:pt idx="16">
                  <c:v>3.0401701009251476</c:v>
                </c:pt>
                <c:pt idx="17">
                  <c:v>3.0191949385659274</c:v>
                </c:pt>
                <c:pt idx="18">
                  <c:v>2.988541329746857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029824"/>
        <c:axId val="357114240"/>
      </c:lineChart>
      <c:catAx>
        <c:axId val="34402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 sz="1050"/>
            </a:pPr>
            <a:endParaRPr lang="en-US"/>
          </a:p>
        </c:txPr>
        <c:crossAx val="357114240"/>
        <c:crosses val="autoZero"/>
        <c:auto val="1"/>
        <c:lblAlgn val="ctr"/>
        <c:lblOffset val="100"/>
        <c:tickLblSkip val="1"/>
        <c:noMultiLvlLbl val="0"/>
      </c:catAx>
      <c:valAx>
        <c:axId val="357114240"/>
        <c:scaling>
          <c:orientation val="minMax"/>
          <c:max val="5"/>
          <c:min val="0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44029824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"/>
          <c:y val="0.88756740740256579"/>
          <c:w val="0.98107310692416128"/>
          <c:h val="9.168033129541768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700" i="0">
                <a:latin typeface="Arial" pitchFamily="34" charset="0"/>
                <a:cs typeface="Arial" pitchFamily="34" charset="0"/>
              </a:rPr>
              <a:t>Typical Residential Electricity Bills</a:t>
            </a:r>
          </a:p>
          <a:p>
            <a:pPr algn="l">
              <a:defRPr/>
            </a:pPr>
            <a:r>
              <a:rPr lang="en-US" sz="1500" b="0" i="1" baseline="0">
                <a:latin typeface="Arial" pitchFamily="34" charset="0"/>
                <a:cs typeface="Arial" pitchFamily="34" charset="0"/>
              </a:rPr>
              <a:t>Historical and Forecast</a:t>
            </a:r>
          </a:p>
        </c:rich>
      </c:tx>
      <c:layout>
        <c:manualLayout>
          <c:xMode val="edge"/>
          <c:yMode val="edge"/>
          <c:x val="2.1355628482792384E-2"/>
          <c:y val="1.137985083221259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476989989648615E-2"/>
          <c:y val="0.19546038394212034"/>
          <c:w val="0.91052563626025496"/>
          <c:h val="0.57495122016446798"/>
        </c:manualLayout>
      </c:layout>
      <c:lineChart>
        <c:grouping val="standard"/>
        <c:varyColors val="0"/>
        <c:ser>
          <c:idx val="0"/>
          <c:order val="0"/>
          <c:tx>
            <c:strRef>
              <c:f>'Residential Bill'!$A$50</c:f>
              <c:strCache>
                <c:ptCount val="1"/>
                <c:pt idx="0">
                  <c:v>Actual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Pt>
            <c:idx val="5"/>
            <c:bubble3D val="0"/>
            <c:spPr>
              <a:ln>
                <a:solidFill>
                  <a:schemeClr val="bg2">
                    <a:lumMod val="50000"/>
                  </a:schemeClr>
                </a:solidFill>
                <a:prstDash val="sysDash"/>
              </a:ln>
            </c:spPr>
          </c:dPt>
          <c:dPt>
            <c:idx val="6"/>
            <c:bubble3D val="0"/>
            <c:spPr>
              <a:ln>
                <a:solidFill>
                  <a:schemeClr val="bg2">
                    <a:lumMod val="50000"/>
                  </a:schemeClr>
                </a:solidFill>
                <a:prstDash val="sysDash"/>
              </a:ln>
            </c:spPr>
          </c:dPt>
          <c:dPt>
            <c:idx val="7"/>
            <c:bubble3D val="0"/>
            <c:spPr>
              <a:ln>
                <a:solidFill>
                  <a:schemeClr val="bg2">
                    <a:lumMod val="50000"/>
                  </a:schemeClr>
                </a:solidFill>
                <a:prstDash val="sysDash"/>
              </a:ln>
            </c:spPr>
          </c:dPt>
          <c:dLbls>
            <c:dLbl>
              <c:idx val="0"/>
              <c:layout>
                <c:manualLayout>
                  <c:x val="-1.3361965113697697E-2"/>
                  <c:y val="2.6902056127327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1453112954598027E-2"/>
                  <c:y val="3.3627570159159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6723930227395394E-2"/>
                  <c:y val="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6723930227395394E-2"/>
                  <c:y val="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088521590996641E-2"/>
                  <c:y val="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3361965113697697E-2"/>
                  <c:y val="3.699032717507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4815078068295724E-2"/>
                  <c:y val="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2450486704694408E-2"/>
                  <c:y val="4.70783334388056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4815078068295724E-2"/>
                  <c:y val="-4.7078863006839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8177043181993421E-2"/>
                  <c:y val="-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9630156136591448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'Residential Bill'!$E$49:$L$49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'Residential Bill'!$E$50:$H$50</c:f>
              <c:numCache>
                <c:formatCode>0.00</c:formatCode>
                <c:ptCount val="4"/>
                <c:pt idx="0">
                  <c:v>116.4185325</c:v>
                </c:pt>
                <c:pt idx="1">
                  <c:v>123.50956500000001</c:v>
                </c:pt>
                <c:pt idx="2">
                  <c:v>135.64915500000004</c:v>
                </c:pt>
                <c:pt idx="3">
                  <c:v>155.58000000000001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'Residential Bill'!$A$52</c:f>
              <c:strCache>
                <c:ptCount val="1"/>
                <c:pt idx="0">
                  <c:v>2013 LTEP (800 kWh/month)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diamond"/>
            <c:size val="8"/>
            <c:spPr>
              <a:solidFill>
                <a:schemeClr val="bg1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3.6268191022893748E-2"/>
                  <c:y val="-5.0441355238738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5812451818392108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5356712613890427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1083269091189475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3447860454790719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9630156136591448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359338863794081E-2"/>
                  <c:y val="-5.0441355238738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0085895341093095E-2"/>
                  <c:y val="-4.371584120690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'Residential Bill'!$E$49:$L$49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'Residential Bill'!$E$52:$L$52</c:f>
              <c:numCache>
                <c:formatCode>General</c:formatCode>
                <c:ptCount val="8"/>
                <c:pt idx="0">
                  <c:v>125</c:v>
                </c:pt>
                <c:pt idx="1">
                  <c:v>137</c:v>
                </c:pt>
                <c:pt idx="2">
                  <c:v>145</c:v>
                </c:pt>
                <c:pt idx="3">
                  <c:v>167</c:v>
                </c:pt>
                <c:pt idx="4">
                  <c:v>170</c:v>
                </c:pt>
                <c:pt idx="5">
                  <c:v>178</c:v>
                </c:pt>
                <c:pt idx="6">
                  <c:v>177</c:v>
                </c:pt>
                <c:pt idx="7">
                  <c:v>181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'Residential Bill'!$A$53</c:f>
              <c:strCache>
                <c:ptCount val="1"/>
                <c:pt idx="0">
                  <c:v>2013 LTEP (750 kWh/month)</c:v>
                </c:pt>
              </c:strCache>
            </c:strRef>
          </c:tx>
          <c:spPr>
            <a:ln w="47625">
              <a:solidFill>
                <a:srgbClr val="00B050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718677727588162E-2"/>
                  <c:y val="1.34510280636636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268191022893748E-2"/>
                  <c:y val="6.7255140318318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6.8718677727588121E-2"/>
                  <c:y val="-1.0088271047747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1453112954598027E-2"/>
                  <c:y val="1.6813785079579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8177043181992724E-3"/>
                  <c:y val="2.6902056127327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1453112954598027E-2"/>
                  <c:y val="3.699032717507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179669431897041E-2"/>
                  <c:y val="3.0264813143243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9088521590996711E-2"/>
                  <c:y val="-6.7255140318318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'Residential Bill'!$E$49:$L$49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'Residential Bill'!$E$53:$L$53</c:f>
              <c:numCache>
                <c:formatCode>0</c:formatCode>
                <c:ptCount val="8"/>
                <c:pt idx="0">
                  <c:v>119.012</c:v>
                </c:pt>
                <c:pt idx="1">
                  <c:v>130.437152</c:v>
                </c:pt>
                <c:pt idx="2">
                  <c:v>138.05392000000001</c:v>
                </c:pt>
                <c:pt idx="3">
                  <c:v>159.000032</c:v>
                </c:pt>
                <c:pt idx="4">
                  <c:v>161.85632000000001</c:v>
                </c:pt>
                <c:pt idx="5">
                  <c:v>169.47308800000002</c:v>
                </c:pt>
                <c:pt idx="6">
                  <c:v>168.52099200000001</c:v>
                </c:pt>
                <c:pt idx="7">
                  <c:v>172.329376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'Residential Bill'!$A$54</c:f>
              <c:strCache>
                <c:ptCount val="1"/>
                <c:pt idx="0">
                  <c:v>Updated OPO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layout>
                <c:manualLayout>
                  <c:x val="-5.7265564772989433E-3"/>
                  <c:y val="3.3627570159159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3.3627570159159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9088521590996711E-3"/>
                  <c:y val="2.0176542095495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179669431897041E-2"/>
                  <c:y val="2.3539299111411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'Residential Bill'!$E$49:$L$49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'Residential Bill'!$E$54:$L$54</c:f>
              <c:numCache>
                <c:formatCode>0.00</c:formatCode>
                <c:ptCount val="8"/>
                <c:pt idx="0">
                  <c:v>116.4185325</c:v>
                </c:pt>
                <c:pt idx="1">
                  <c:v>123.50956500000001</c:v>
                </c:pt>
                <c:pt idx="2">
                  <c:v>135.64915500000004</c:v>
                </c:pt>
                <c:pt idx="3">
                  <c:v>155.57557500000001</c:v>
                </c:pt>
                <c:pt idx="4">
                  <c:v>148.96578285060065</c:v>
                </c:pt>
                <c:pt idx="5">
                  <c:v>151.65659685586326</c:v>
                </c:pt>
                <c:pt idx="6">
                  <c:v>154.50803532737919</c:v>
                </c:pt>
                <c:pt idx="7">
                  <c:v>164.32464784393983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13696"/>
        <c:axId val="37215232"/>
      </c:lineChart>
      <c:catAx>
        <c:axId val="3721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7215232"/>
        <c:crosses val="autoZero"/>
        <c:auto val="1"/>
        <c:lblAlgn val="ctr"/>
        <c:lblOffset val="100"/>
        <c:noMultiLvlLbl val="0"/>
      </c:catAx>
      <c:valAx>
        <c:axId val="37215232"/>
        <c:scaling>
          <c:orientation val="minMax"/>
          <c:min val="100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72136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453112954598027"/>
          <c:y val="0.86714726730979186"/>
          <c:w val="0.79957052329453449"/>
          <c:h val="0.12276446164246053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Residential Electricity Bills</a:t>
            </a:r>
          </a:p>
          <a:p>
            <a:pPr algn="l">
              <a:defRPr/>
            </a:pPr>
            <a:r>
              <a:rPr lang="en-CA" sz="1500" b="0" i="1"/>
              <a:t>Highlighting</a:t>
            </a:r>
            <a:r>
              <a:rPr lang="en-CA" sz="1500" b="0" i="1" baseline="0"/>
              <a:t> Impact of Market Renewal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'Residential Bill'!$A$42</c:f>
              <c:strCache>
                <c:ptCount val="1"/>
                <c:pt idx="0">
                  <c:v>With Market Renewal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'Residential Bill'!$B$43:$E$43</c:f>
              <c:numCache>
                <c:formatCode>_("$"* #,##0.00_);_("$"* \(#,##0.00\);_("$"* "-"??_);_(@_)</c:formatCode>
                <c:ptCount val="4"/>
                <c:pt idx="0">
                  <c:v>148.96578285060065</c:v>
                </c:pt>
                <c:pt idx="1">
                  <c:v>151.65659685586326</c:v>
                </c:pt>
                <c:pt idx="2">
                  <c:v>154.50803532737919</c:v>
                </c:pt>
                <c:pt idx="3">
                  <c:v>162.74236936292718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'Residential Bill'!$A$41</c:f>
              <c:strCache>
                <c:ptCount val="1"/>
                <c:pt idx="0">
                  <c:v>OPO Update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'Residential Bill'!$B$41:$E$41</c:f>
              <c:numCache>
                <c:formatCode>_("$"* #,##0.00_);_("$"* \(#,##0.00\);_("$"* "-"??_);_(@_)</c:formatCode>
                <c:ptCount val="4"/>
                <c:pt idx="0">
                  <c:v>148.96578285060065</c:v>
                </c:pt>
                <c:pt idx="1">
                  <c:v>151.65659685586326</c:v>
                </c:pt>
                <c:pt idx="2">
                  <c:v>154.50803532737919</c:v>
                </c:pt>
                <c:pt idx="3">
                  <c:v>164.32464784393983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72672"/>
        <c:axId val="37374208"/>
      </c:lineChart>
      <c:catAx>
        <c:axId val="3737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7374208"/>
        <c:crosses val="autoZero"/>
        <c:auto val="1"/>
        <c:lblAlgn val="ctr"/>
        <c:lblOffset val="100"/>
        <c:noMultiLvlLbl val="0"/>
      </c:catAx>
      <c:valAx>
        <c:axId val="373742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737267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700" i="0">
                <a:latin typeface="Arial" pitchFamily="34" charset="0"/>
                <a:cs typeface="Arial" pitchFamily="34" charset="0"/>
              </a:rPr>
              <a:t>Typical Industrial Electricity Prices</a:t>
            </a:r>
          </a:p>
          <a:p>
            <a:pPr algn="l">
              <a:defRPr/>
            </a:pPr>
            <a:r>
              <a:rPr lang="en-US" sz="1500" b="0" i="1" baseline="0">
                <a:latin typeface="Arial" pitchFamily="34" charset="0"/>
                <a:cs typeface="Arial" pitchFamily="34" charset="0"/>
              </a:rPr>
              <a:t>Historical and Forecast</a:t>
            </a:r>
          </a:p>
        </c:rich>
      </c:tx>
      <c:layout>
        <c:manualLayout>
          <c:xMode val="edge"/>
          <c:yMode val="edge"/>
          <c:x val="2.1355628482792384E-2"/>
          <c:y val="1.1379850832212591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'Industrial Rates'!$A$27</c:f>
              <c:strCache>
                <c:ptCount val="1"/>
                <c:pt idx="0">
                  <c:v>Actual (ENERGY)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</c:spPr>
          </c:marker>
          <c:dLbls>
            <c:dLbl>
              <c:idx val="0"/>
              <c:layout>
                <c:manualLayout>
                  <c:x val="-1.7179669431897041E-2"/>
                  <c:y val="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906225909196054E-2"/>
                  <c:y val="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906225909196054E-2"/>
                  <c:y val="3.699032717507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2450486704694408E-2"/>
                  <c:y val="4.3715841206906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8632782386495068E-2"/>
                  <c:y val="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815078068295724E-2"/>
                  <c:y val="4.3715841206906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997373750096381E-2"/>
                  <c:y val="3.699032717507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997373750096381E-2"/>
                  <c:y val="-4.7078863006839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4815078068295724E-2"/>
                  <c:y val="-4.7078863006839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8177043181993421E-2"/>
                  <c:y val="-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9630156136591448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'Industrial Rates'!$B$26:$L$26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'Industrial Rates'!$B$27:$L$27</c:f>
              <c:numCache>
                <c:formatCode>General</c:formatCode>
                <c:ptCount val="11"/>
                <c:pt idx="0">
                  <c:v>84.13000000000001</c:v>
                </c:pt>
                <c:pt idx="1">
                  <c:v>75.949999999999989</c:v>
                </c:pt>
                <c:pt idx="2">
                  <c:v>72.47</c:v>
                </c:pt>
                <c:pt idx="3">
                  <c:v>79.87</c:v>
                </c:pt>
                <c:pt idx="4">
                  <c:v>83.35</c:v>
                </c:pt>
                <c:pt idx="5">
                  <c:v>84.289999999999992</c:v>
                </c:pt>
                <c:pt idx="6">
                  <c:v>85</c:v>
                </c:pt>
                <c:pt idx="7" formatCode="_(&quot;$&quot;* #,##0.00_);_(&quot;$&quot;* \(#,##0.00\);_(&quot;$&quot;* &quot;-&quot;??_);_(@_)">
                  <c:v>94.577951024590931</c:v>
                </c:pt>
                <c:pt idx="8" formatCode="_(&quot;$&quot;* #,##0.00_);_(&quot;$&quot;* \(#,##0.00\);_(&quot;$&quot;* &quot;-&quot;??_);_(@_)">
                  <c:v>91.291573338515207</c:v>
                </c:pt>
                <c:pt idx="9" formatCode="_(&quot;$&quot;* #,##0.00_);_(&quot;$&quot;* \(#,##0.00\);_(&quot;$&quot;* &quot;-&quot;??_);_(@_)">
                  <c:v>91.343629985573486</c:v>
                </c:pt>
                <c:pt idx="10" formatCode="_(&quot;$&quot;* #,##0.00_);_(&quot;$&quot;* \(#,##0.00\);_(&quot;$&quot;* &quot;-&quot;??_);_(@_)">
                  <c:v>99.123134308406861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667200"/>
        <c:axId val="37668736"/>
      </c:lineChart>
      <c:catAx>
        <c:axId val="3766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7668736"/>
        <c:crosses val="autoZero"/>
        <c:auto val="1"/>
        <c:lblAlgn val="ctr"/>
        <c:lblOffset val="100"/>
        <c:noMultiLvlLbl val="0"/>
      </c:catAx>
      <c:valAx>
        <c:axId val="3766873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76672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Industrial Electricity Prices</a:t>
            </a:r>
          </a:p>
          <a:p>
            <a:pPr algn="l">
              <a:defRPr/>
            </a:pPr>
            <a:r>
              <a:rPr lang="en-CA" sz="1500" b="0" i="1"/>
              <a:t>Highlighting</a:t>
            </a:r>
            <a:r>
              <a:rPr lang="en-CA" sz="1500" b="0" i="1" baseline="0"/>
              <a:t> Impact of ICI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'Industrial Rates'!$A$45</c:f>
              <c:strCache>
                <c:ptCount val="1"/>
                <c:pt idx="0">
                  <c:v>Industrial Price</c:v>
                </c:pt>
              </c:strCache>
            </c:strRef>
          </c:tx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Rates'!$B$45:$E$45</c:f>
              <c:numCache>
                <c:formatCode>_("$"* #,##0.00_);_("$"* \(#,##0.00\);_("$"* "-"??_);_(@_)</c:formatCode>
                <c:ptCount val="4"/>
                <c:pt idx="0">
                  <c:v>94.577951024590931</c:v>
                </c:pt>
                <c:pt idx="1">
                  <c:v>91.291573338515207</c:v>
                </c:pt>
                <c:pt idx="2">
                  <c:v>91.343629985573486</c:v>
                </c:pt>
                <c:pt idx="3">
                  <c:v>99.123134308406861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'Residential Bill'!$A$34</c:f>
              <c:strCache>
                <c:ptCount val="1"/>
                <c:pt idx="0">
                  <c:v>After Elimination of ICI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Rates'!$B$46:$E$46</c:f>
              <c:numCache>
                <c:formatCode>_("$"* #,##0.00_);_("$"* \(#,##0.00\);_("$"* "-"??_);_(@_)</c:formatCode>
                <c:ptCount val="4"/>
                <c:pt idx="0">
                  <c:v>24.12214201075745</c:v>
                </c:pt>
                <c:pt idx="1">
                  <c:v>23.2077795363953</c:v>
                </c:pt>
                <c:pt idx="2">
                  <c:v>22.447412240232289</c:v>
                </c:pt>
                <c:pt idx="3">
                  <c:v>23.23265954180863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680256"/>
        <c:axId val="37681792"/>
      </c:lineChart>
      <c:catAx>
        <c:axId val="3768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7681792"/>
        <c:crosses val="autoZero"/>
        <c:auto val="1"/>
        <c:lblAlgn val="ctr"/>
        <c:lblOffset val="100"/>
        <c:noMultiLvlLbl val="0"/>
      </c:catAx>
      <c:valAx>
        <c:axId val="376817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768025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Industrial Electricity Prices</a:t>
            </a:r>
          </a:p>
          <a:p>
            <a:pPr algn="l">
              <a:defRPr/>
            </a:pPr>
            <a:r>
              <a:rPr lang="en-CA" sz="1500" b="0" i="1" baseline="0"/>
              <a:t>Impact of OESP and RRRP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'Industrial Rates'!$A$50</c:f>
              <c:strCache>
                <c:ptCount val="1"/>
                <c:pt idx="0">
                  <c:v>Industrial Price</c:v>
                </c:pt>
              </c:strCache>
            </c:strRef>
          </c:tx>
          <c:marker>
            <c:symbol val="none"/>
          </c:marker>
          <c:cat>
            <c:numRef>
              <c:f>'Industrial Rates'!$B$49:$E$49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Rates'!$B$50:$E$50</c:f>
              <c:numCache>
                <c:formatCode>_("$"* #,##0.00_);_("$"* \(#,##0.00\);_("$"* "-"??_);_(@_)</c:formatCode>
                <c:ptCount val="4"/>
                <c:pt idx="0">
                  <c:v>94.577951024590931</c:v>
                </c:pt>
                <c:pt idx="1">
                  <c:v>91.291573338515207</c:v>
                </c:pt>
                <c:pt idx="2">
                  <c:v>91.343629985573486</c:v>
                </c:pt>
                <c:pt idx="3">
                  <c:v>99.123134308406861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'Industrial Rates'!$A$51</c:f>
              <c:strCache>
                <c:ptCount val="1"/>
                <c:pt idx="0">
                  <c:v>After Transition of OESP to Taxbase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'Industrial Rates'!$B$49:$E$49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Rates'!$B$51:$E$51</c:f>
              <c:numCache>
                <c:formatCode>General</c:formatCode>
                <c:ptCount val="4"/>
                <c:pt idx="0">
                  <c:v>-0.84825174825174821</c:v>
                </c:pt>
                <c:pt idx="1">
                  <c:v>-0.97762237762237769</c:v>
                </c:pt>
                <c:pt idx="2">
                  <c:v>-1.06993006993007</c:v>
                </c:pt>
                <c:pt idx="3">
                  <c:v>-1.1069930069930072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'Industrial Rates'!$A$52</c:f>
              <c:strCache>
                <c:ptCount val="1"/>
                <c:pt idx="0">
                  <c:v>After Transition of RRRP to Taxbase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'Industrial Rates'!$B$49:$E$49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Rates'!$B$52:$E$52</c:f>
              <c:numCache>
                <c:formatCode>0.00</c:formatCode>
                <c:ptCount val="4"/>
                <c:pt idx="0" formatCode="General">
                  <c:v>-1.3613053613053614</c:v>
                </c:pt>
                <c:pt idx="1">
                  <c:v>-1.398060606060606</c:v>
                </c:pt>
                <c:pt idx="2">
                  <c:v>-1.4288179393939393</c:v>
                </c:pt>
                <c:pt idx="3">
                  <c:v>-1.4688248416969696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692544"/>
        <c:axId val="37694080"/>
      </c:lineChart>
      <c:catAx>
        <c:axId val="3769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7694080"/>
        <c:crosses val="autoZero"/>
        <c:auto val="1"/>
        <c:lblAlgn val="ctr"/>
        <c:lblOffset val="100"/>
        <c:noMultiLvlLbl val="0"/>
      </c:catAx>
      <c:valAx>
        <c:axId val="376940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76925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233362</xdr:colOff>
      <xdr:row>24</xdr:row>
      <xdr:rowOff>166686</xdr:rowOff>
    </xdr:from>
    <xdr:to>
      <xdr:col>18</xdr:col>
      <xdr:colOff>495300</xdr:colOff>
      <xdr:row>44</xdr:row>
      <xdr:rowOff>114299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557211</xdr:colOff>
      <xdr:row>54</xdr:row>
      <xdr:rowOff>52386</xdr:rowOff>
    </xdr:from>
    <xdr:to>
      <xdr:col>18</xdr:col>
      <xdr:colOff>504824</xdr:colOff>
      <xdr:row>74</xdr:row>
      <xdr:rowOff>19049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25</xdr:row>
      <xdr:rowOff>0</xdr:rowOff>
    </xdr:from>
    <xdr:to>
      <xdr:col>30</xdr:col>
      <xdr:colOff>261938</xdr:colOff>
      <xdr:row>44</xdr:row>
      <xdr:rowOff>138113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147636</xdr:colOff>
      <xdr:row>103</xdr:row>
      <xdr:rowOff>166686</xdr:rowOff>
    </xdr:from>
    <xdr:to>
      <xdr:col>21</xdr:col>
      <xdr:colOff>428625</xdr:colOff>
      <xdr:row>122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114300</xdr:colOff>
      <xdr:row>52</xdr:row>
      <xdr:rowOff>114300</xdr:rowOff>
    </xdr:from>
    <xdr:to>
      <xdr:col>30</xdr:col>
      <xdr:colOff>61913</xdr:colOff>
      <xdr:row>72</xdr:row>
      <xdr:rowOff>80963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266700</xdr:colOff>
      <xdr:row>6</xdr:row>
      <xdr:rowOff>161925</xdr:rowOff>
    </xdr:from>
    <xdr:to>
      <xdr:col>23</xdr:col>
      <xdr:colOff>528638</xdr:colOff>
      <xdr:row>24</xdr:row>
      <xdr:rowOff>90488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171450</xdr:colOff>
      <xdr:row>54</xdr:row>
      <xdr:rowOff>85726</xdr:rowOff>
    </xdr:from>
    <xdr:to>
      <xdr:col>4</xdr:col>
      <xdr:colOff>352425</xdr:colOff>
      <xdr:row>73</xdr:row>
      <xdr:rowOff>105142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1450" y="10582276"/>
          <a:ext cx="4914900" cy="363891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242</xdr:row>
      <xdr:rowOff>0</xdr:rowOff>
    </xdr:from>
    <xdr:to>
      <xdr:col>18</xdr:col>
      <xdr:colOff>665786</xdr:colOff>
      <xdr:row>251</xdr:row>
      <xdr:rowOff>66442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67625" y="46482000"/>
          <a:ext cx="7714286" cy="1866667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0.07391</cdr:x>
      <cdr:y>0.20363</cdr:y>
    </cdr:from>
    <cdr:to>
      <cdr:x>0.18916</cdr:x>
      <cdr:y>0.2782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9900" y="765175"/>
          <a:ext cx="732765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  <cdr:relSizeAnchor xmlns:cdr="http://schemas.openxmlformats.org/drawingml/2006/chartDrawing">
    <cdr:from>
      <cdr:x>0.07391</cdr:x>
      <cdr:y>0.74103</cdr:y>
    </cdr:from>
    <cdr:to>
      <cdr:x>0.41922</cdr:x>
      <cdr:y>0.8156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9915" y="2784489"/>
          <a:ext cx="2195460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0.07541</cdr:x>
      <cdr:y>0.19856</cdr:y>
    </cdr:from>
    <cdr:to>
      <cdr:x>0.19066</cdr:x>
      <cdr:y>0.27313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79440" y="746113"/>
          <a:ext cx="732753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  <cdr:relSizeAnchor xmlns:cdr="http://schemas.openxmlformats.org/drawingml/2006/chartDrawing">
    <cdr:from>
      <cdr:x>0.07391</cdr:x>
      <cdr:y>0.67005</cdr:y>
    </cdr:from>
    <cdr:to>
      <cdr:x>0.41922</cdr:x>
      <cdr:y>0.74462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9900" y="2517775"/>
          <a:ext cx="2195473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0.64762</cdr:x>
      <cdr:y>0.74909</cdr:y>
    </cdr:from>
    <cdr:to>
      <cdr:x>0.97608</cdr:x>
      <cdr:y>0.82328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308745" y="2829045"/>
          <a:ext cx="2185342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  <cdr:relSizeAnchor xmlns:cdr="http://schemas.openxmlformats.org/drawingml/2006/chartDrawing">
    <cdr:from>
      <cdr:x>0.0685</cdr:x>
      <cdr:y>0.19757</cdr:y>
    </cdr:from>
    <cdr:to>
      <cdr:x>0.16919</cdr:x>
      <cdr:y>0.27176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55745" y="746155"/>
          <a:ext cx="669927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$/MWh</a:t>
          </a:r>
          <a:endParaRPr lang="en-CA" sz="12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0.07541</cdr:x>
      <cdr:y>0.19856</cdr:y>
    </cdr:from>
    <cdr:to>
      <cdr:x>0.19066</cdr:x>
      <cdr:y>0.27313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79440" y="746113"/>
          <a:ext cx="732753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  <cdr:relSizeAnchor xmlns:cdr="http://schemas.openxmlformats.org/drawingml/2006/chartDrawing">
    <cdr:from>
      <cdr:x>0.07391</cdr:x>
      <cdr:y>0.73089</cdr:y>
    </cdr:from>
    <cdr:to>
      <cdr:x>0.41922</cdr:x>
      <cdr:y>0.80546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9915" y="2746389"/>
          <a:ext cx="2195460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0.07391</cdr:x>
      <cdr:y>0.20363</cdr:y>
    </cdr:from>
    <cdr:to>
      <cdr:x>0.18916</cdr:x>
      <cdr:y>0.2782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9900" y="765175"/>
          <a:ext cx="732765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  <cdr:relSizeAnchor xmlns:cdr="http://schemas.openxmlformats.org/drawingml/2006/chartDrawing">
    <cdr:from>
      <cdr:x>0.07391</cdr:x>
      <cdr:y>0.74103</cdr:y>
    </cdr:from>
    <cdr:to>
      <cdr:x>0.41922</cdr:x>
      <cdr:y>0.8156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9915" y="2784489"/>
          <a:ext cx="2195460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0.07391</cdr:x>
      <cdr:y>0.20363</cdr:y>
    </cdr:from>
    <cdr:to>
      <cdr:x>0.18916</cdr:x>
      <cdr:y>0.2782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9900" y="765175"/>
          <a:ext cx="732765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8</xdr:row>
      <xdr:rowOff>14287</xdr:rowOff>
    </xdr:from>
    <xdr:to>
      <xdr:col>7</xdr:col>
      <xdr:colOff>47625</xdr:colOff>
      <xdr:row>22</xdr:row>
      <xdr:rowOff>90487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0.96042</cdr:x>
      <cdr:y>0.20833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43910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1200" b="1" i="0">
              <a:latin typeface="Arial" panose="020B0604020202020204" pitchFamily="34" charset="0"/>
              <a:cs typeface="Arial" panose="020B0604020202020204" pitchFamily="34" charset="0"/>
            </a:rPr>
            <a:t>Residential Electricity Bills</a:t>
          </a:r>
          <a:br>
            <a:rPr lang="en-CA" sz="1200" b="1" i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CA" sz="1200" i="1">
              <a:latin typeface="Arial" panose="020B0604020202020204" pitchFamily="34" charset="0"/>
              <a:cs typeface="Arial" panose="020B0604020202020204" pitchFamily="34" charset="0"/>
            </a:rPr>
            <a:t>in $/month</a:t>
          </a:r>
        </a:p>
      </cdr:txBody>
    </cdr:sp>
  </cdr:relSizeAnchor>
  <cdr:relSizeAnchor xmlns:cdr="http://schemas.openxmlformats.org/drawingml/2006/chartDrawing">
    <cdr:from>
      <cdr:x>0.26042</cdr:x>
      <cdr:y>0.38715</cdr:y>
    </cdr:from>
    <cdr:to>
      <cdr:x>0.30417</cdr:x>
      <cdr:y>0.60243</cdr:y>
    </cdr:to>
    <cdr:cxnSp macro="">
      <cdr:nvCxnSpPr>
        <cdr:cNvPr id="4" name="Straight Arrow Connector 3"/>
        <cdr:cNvCxnSpPr/>
      </cdr:nvCxnSpPr>
      <cdr:spPr>
        <a:xfrm xmlns:a="http://schemas.openxmlformats.org/drawingml/2006/main" flipH="1">
          <a:off x="1190625" y="1062038"/>
          <a:ext cx="200025" cy="5905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3">
              <a:lumMod val="75000"/>
            </a:schemeClr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0.16875</cdr:x>
      <cdr:y>0.25868</cdr:y>
    </cdr:from>
    <cdr:to>
      <cdr:x>0.44792</cdr:x>
      <cdr:y>0.42187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71525" y="709612"/>
          <a:ext cx="1276350" cy="447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CA" sz="1000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2013 LTEP-basis:</a:t>
          </a:r>
          <a:br>
            <a:rPr lang="en-CA" sz="1000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CA" sz="1000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$159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427658</xdr:colOff>
      <xdr:row>31</xdr:row>
      <xdr:rowOff>142143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7742858" cy="5857143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0.07391</cdr:x>
      <cdr:y>0.20363</cdr:y>
    </cdr:from>
    <cdr:to>
      <cdr:x>0.18916</cdr:x>
      <cdr:y>0.2782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9900" y="765175"/>
          <a:ext cx="732765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  <cdr:relSizeAnchor xmlns:cdr="http://schemas.openxmlformats.org/drawingml/2006/chartDrawing">
    <cdr:from>
      <cdr:x>0.07391</cdr:x>
      <cdr:y>0.67005</cdr:y>
    </cdr:from>
    <cdr:to>
      <cdr:x>0.41922</cdr:x>
      <cdr:y>0.74462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9900" y="2517775"/>
          <a:ext cx="2195473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0.06993</cdr:x>
      <cdr:y>0.82727</cdr:y>
    </cdr:from>
    <cdr:to>
      <cdr:x>0.43206</cdr:x>
      <cdr:y>0.90541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5237" y="3124307"/>
          <a:ext cx="2409328" cy="29510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  <cdr:relSizeAnchor xmlns:cdr="http://schemas.openxmlformats.org/drawingml/2006/chartDrawing">
    <cdr:from>
      <cdr:x>0.0685</cdr:x>
      <cdr:y>0.19757</cdr:y>
    </cdr:from>
    <cdr:to>
      <cdr:x>0.18937</cdr:x>
      <cdr:y>0.2757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55712" y="746147"/>
          <a:ext cx="804174" cy="29507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0.07391</cdr:x>
      <cdr:y>0.20363</cdr:y>
    </cdr:from>
    <cdr:to>
      <cdr:x>0.18916</cdr:x>
      <cdr:y>0.2782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9900" y="765175"/>
          <a:ext cx="732765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  <cdr:relSizeAnchor xmlns:cdr="http://schemas.openxmlformats.org/drawingml/2006/chartDrawing">
    <cdr:from>
      <cdr:x>0.07391</cdr:x>
      <cdr:y>0.74103</cdr:y>
    </cdr:from>
    <cdr:to>
      <cdr:x>0.41922</cdr:x>
      <cdr:y>0.8156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9915" y="2784489"/>
          <a:ext cx="2195460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0.05568</cdr:x>
      <cdr:y>0.70535</cdr:y>
    </cdr:from>
    <cdr:to>
      <cdr:x>0.41781</cdr:x>
      <cdr:y>0.78349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334907" y="2589969"/>
          <a:ext cx="2178226" cy="28692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  <cdr:relSizeAnchor xmlns:cdr="http://schemas.openxmlformats.org/drawingml/2006/chartDrawing">
    <cdr:from>
      <cdr:x>0.05108</cdr:x>
      <cdr:y>0.22351</cdr:y>
    </cdr:from>
    <cdr:to>
      <cdr:x>0.17195</cdr:x>
      <cdr:y>0.30164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307255" y="820705"/>
          <a:ext cx="727038" cy="28688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0.65219</cdr:x>
      <cdr:y>0.70259</cdr:y>
    </cdr:from>
    <cdr:to>
      <cdr:x>0.98065</cdr:x>
      <cdr:y>0.77678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339135" y="2653448"/>
          <a:ext cx="2185342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  <cdr:relSizeAnchor xmlns:cdr="http://schemas.openxmlformats.org/drawingml/2006/chartDrawing">
    <cdr:from>
      <cdr:x>0.06993</cdr:x>
      <cdr:y>0.19253</cdr:y>
    </cdr:from>
    <cdr:to>
      <cdr:x>0.1908</cdr:x>
      <cdr:y>0.27066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5270" y="727105"/>
          <a:ext cx="804174" cy="29507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0.07241</cdr:x>
      <cdr:y>0.2163</cdr:y>
    </cdr:from>
    <cdr:to>
      <cdr:x>0.18766</cdr:x>
      <cdr:y>0.29087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0390" y="812788"/>
          <a:ext cx="732753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  <cdr:relSizeAnchor xmlns:cdr="http://schemas.openxmlformats.org/drawingml/2006/chartDrawing">
    <cdr:from>
      <cdr:x>0.07391</cdr:x>
      <cdr:y>0.74103</cdr:y>
    </cdr:from>
    <cdr:to>
      <cdr:x>0.41922</cdr:x>
      <cdr:y>0.8156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9915" y="2784489"/>
          <a:ext cx="2195460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26</xdr:row>
      <xdr:rowOff>76200</xdr:rowOff>
    </xdr:from>
    <xdr:to>
      <xdr:col>23</xdr:col>
      <xdr:colOff>14288</xdr:colOff>
      <xdr:row>46</xdr:row>
      <xdr:rowOff>42863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49</xdr:row>
      <xdr:rowOff>0</xdr:rowOff>
    </xdr:from>
    <xdr:to>
      <xdr:col>22</xdr:col>
      <xdr:colOff>261938</xdr:colOff>
      <xdr:row>68</xdr:row>
      <xdr:rowOff>138113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171450</xdr:colOff>
      <xdr:row>56</xdr:row>
      <xdr:rowOff>95250</xdr:rowOff>
    </xdr:from>
    <xdr:to>
      <xdr:col>11</xdr:col>
      <xdr:colOff>433388</xdr:colOff>
      <xdr:row>76</xdr:row>
      <xdr:rowOff>42863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57150</xdr:colOff>
      <xdr:row>26</xdr:row>
      <xdr:rowOff>66675</xdr:rowOff>
    </xdr:from>
    <xdr:to>
      <xdr:col>34</xdr:col>
      <xdr:colOff>4763</xdr:colOff>
      <xdr:row>46</xdr:row>
      <xdr:rowOff>33338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79</xdr:row>
      <xdr:rowOff>0</xdr:rowOff>
    </xdr:from>
    <xdr:to>
      <xdr:col>17</xdr:col>
      <xdr:colOff>261938</xdr:colOff>
      <xdr:row>98</xdr:row>
      <xdr:rowOff>138113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219075</xdr:colOff>
      <xdr:row>100</xdr:row>
      <xdr:rowOff>104775</xdr:rowOff>
    </xdr:from>
    <xdr:to>
      <xdr:col>16</xdr:col>
      <xdr:colOff>481013</xdr:colOff>
      <xdr:row>120</xdr:row>
      <xdr:rowOff>52388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0</xdr:colOff>
      <xdr:row>50</xdr:row>
      <xdr:rowOff>0</xdr:rowOff>
    </xdr:from>
    <xdr:to>
      <xdr:col>17</xdr:col>
      <xdr:colOff>261938</xdr:colOff>
      <xdr:row>69</xdr:row>
      <xdr:rowOff>138113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0.06993</cdr:x>
      <cdr:y>0.82727</cdr:y>
    </cdr:from>
    <cdr:to>
      <cdr:x>0.43206</cdr:x>
      <cdr:y>0.90541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5237" y="3124307"/>
          <a:ext cx="2409328" cy="29510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  <cdr:relSizeAnchor xmlns:cdr="http://schemas.openxmlformats.org/drawingml/2006/chartDrawing">
    <cdr:from>
      <cdr:x>0.0685</cdr:x>
      <cdr:y>0.19757</cdr:y>
    </cdr:from>
    <cdr:to>
      <cdr:x>0.16919</cdr:x>
      <cdr:y>0.27176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55745" y="746155"/>
          <a:ext cx="669927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$/MWh</a:t>
          </a:r>
          <a:endParaRPr lang="en-CA" sz="1200"/>
        </a:p>
      </cdr:txBody>
    </cdr:sp>
  </cdr:relSizeAnchor>
  <cdr:relSizeAnchor xmlns:cdr="http://schemas.openxmlformats.org/drawingml/2006/chartDrawing">
    <cdr:from>
      <cdr:x>0.65927</cdr:x>
      <cdr:y>0.21311</cdr:y>
    </cdr:from>
    <cdr:to>
      <cdr:x>0.71797</cdr:x>
      <cdr:y>0.21311</cdr:y>
    </cdr:to>
    <cdr:cxnSp macro="">
      <cdr:nvCxnSpPr>
        <cdr:cNvPr id="4" name="Straight Arrow Connector 3"/>
        <cdr:cNvCxnSpPr/>
      </cdr:nvCxnSpPr>
      <cdr:spPr>
        <a:xfrm xmlns:a="http://schemas.openxmlformats.org/drawingml/2006/main">
          <a:off x="4386263" y="804863"/>
          <a:ext cx="390525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75000"/>
              <a:lumOff val="25000"/>
            </a:schemeClr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0.5791</cdr:x>
      <cdr:y>0.21311</cdr:y>
    </cdr:from>
    <cdr:to>
      <cdr:x>0.63636</cdr:x>
      <cdr:y>0.21312</cdr:y>
    </cdr:to>
    <cdr:cxnSp macro="">
      <cdr:nvCxnSpPr>
        <cdr:cNvPr id="5" name="Straight Arrow Connector 4"/>
        <cdr:cNvCxnSpPr/>
      </cdr:nvCxnSpPr>
      <cdr:spPr>
        <a:xfrm xmlns:a="http://schemas.openxmlformats.org/drawingml/2006/main" flipH="1">
          <a:off x="3852864" y="804863"/>
          <a:ext cx="380999" cy="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75000"/>
              <a:lumOff val="25000"/>
            </a:schemeClr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0.55738</cdr:x>
      <cdr:y>0.1219</cdr:y>
    </cdr:from>
    <cdr:to>
      <cdr:x>0.64678</cdr:x>
      <cdr:y>0.19609</cdr:y>
    </cdr:to>
    <cdr:sp macro="" textlink="">
      <cdr:nvSpPr>
        <cdr:cNvPr id="7" name="TextBox 4"/>
        <cdr:cNvSpPr txBox="1"/>
      </cdr:nvSpPr>
      <cdr:spPr>
        <a:xfrm xmlns:a="http://schemas.openxmlformats.org/drawingml/2006/main">
          <a:off x="3708400" y="460375"/>
          <a:ext cx="594778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b="1" i="1"/>
            <a:t>Actual</a:t>
          </a:r>
          <a:endParaRPr lang="en-CA" sz="1200" b="1"/>
        </a:p>
      </cdr:txBody>
    </cdr:sp>
  </cdr:relSizeAnchor>
  <cdr:relSizeAnchor xmlns:cdr="http://schemas.openxmlformats.org/drawingml/2006/chartDrawing">
    <cdr:from>
      <cdr:x>0.65044</cdr:x>
      <cdr:y>0.11938</cdr:y>
    </cdr:from>
    <cdr:to>
      <cdr:x>0.75945</cdr:x>
      <cdr:y>0.19357</cdr:y>
    </cdr:to>
    <cdr:sp macro="" textlink="">
      <cdr:nvSpPr>
        <cdr:cNvPr id="8" name="TextBox 4"/>
        <cdr:cNvSpPr txBox="1"/>
      </cdr:nvSpPr>
      <cdr:spPr>
        <a:xfrm xmlns:a="http://schemas.openxmlformats.org/drawingml/2006/main">
          <a:off x="4327525" y="450850"/>
          <a:ext cx="725263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b="1" i="1"/>
            <a:t>Forecast</a:t>
          </a:r>
        </a:p>
      </cdr:txBody>
    </cdr:sp>
  </cdr:relSizeAnchor>
  <cdr:relSizeAnchor xmlns:cdr="http://schemas.openxmlformats.org/drawingml/2006/chartDrawing">
    <cdr:from>
      <cdr:x>0.65044</cdr:x>
      <cdr:y>0.15216</cdr:y>
    </cdr:from>
    <cdr:to>
      <cdr:x>0.65187</cdr:x>
      <cdr:y>0.90626</cdr:y>
    </cdr:to>
    <cdr:cxnSp macro="">
      <cdr:nvCxnSpPr>
        <cdr:cNvPr id="9" name="Straight Connector 8"/>
        <cdr:cNvCxnSpPr/>
      </cdr:nvCxnSpPr>
      <cdr:spPr>
        <a:xfrm xmlns:a="http://schemas.openxmlformats.org/drawingml/2006/main">
          <a:off x="4327525" y="574675"/>
          <a:ext cx="9525" cy="284797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>
              <a:lumMod val="65000"/>
              <a:lumOff val="35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cptovspifs003\pd\Economics\Files\Rate%20Mitigation\HST%208%20Percent\Historical%20Monthly%20Prices%20(Autosav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cptovspifs003\pd\Economics\Files\00%20-%20Old%20Pricing\2013\130709%20Conservation%20Amortization\CDM%20cost%20estimates%20updates%20(2013-10-15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gmanma\AppData\Local\Microsoft\Windows\Temporary%20Internet%20Files\Content.Outlook\Q6TOI4LK\CTC%20Model%202016%20Case%20B%20-%20reference%20v2%20no%20LRP%20II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a\Desktop\Typical%20Bills%20750,%20800,%201,000%20kWh_Apr21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Com"/>
      <sheetName val="Pivot"/>
      <sheetName val="Residential Bill Forecast"/>
      <sheetName val="System Cost"/>
      <sheetName val="Supply Mix"/>
      <sheetName val="Sheet1"/>
    </sheetNames>
    <sheetDataSet>
      <sheetData sheetId="0" refreshError="1">
        <row r="104">
          <cell r="D104">
            <v>104.31513750000001</v>
          </cell>
          <cell r="E104">
            <v>104.57556749999998</v>
          </cell>
          <cell r="F104">
            <v>111.63503062499998</v>
          </cell>
          <cell r="G104">
            <v>116.4185325</v>
          </cell>
          <cell r="H104">
            <v>123.50956500000001</v>
          </cell>
          <cell r="I104">
            <v>135.64915500000004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ow Interest Rates"/>
      <sheetName val="10-yr rate"/>
      <sheetName val="10-yr rate @ 50%"/>
      <sheetName val="CDM @ 50%"/>
    </sheetNames>
    <sheetDataSet>
      <sheetData sheetId="0">
        <row r="17">
          <cell r="C17">
            <v>320</v>
          </cell>
          <cell r="D17">
            <v>340</v>
          </cell>
          <cell r="E17">
            <v>350</v>
          </cell>
          <cell r="F17">
            <v>350</v>
          </cell>
          <cell r="G17">
            <v>360</v>
          </cell>
          <cell r="H17">
            <v>350</v>
          </cell>
          <cell r="I17">
            <v>330</v>
          </cell>
          <cell r="J17">
            <v>310</v>
          </cell>
          <cell r="K17">
            <v>300</v>
          </cell>
          <cell r="L17">
            <v>300</v>
          </cell>
          <cell r="M17">
            <v>300</v>
          </cell>
          <cell r="N17">
            <v>300</v>
          </cell>
          <cell r="O17">
            <v>300</v>
          </cell>
          <cell r="P17">
            <v>300</v>
          </cell>
          <cell r="Q17">
            <v>300</v>
          </cell>
          <cell r="R17">
            <v>300</v>
          </cell>
          <cell r="S17">
            <v>300</v>
          </cell>
          <cell r="T17">
            <v>300</v>
          </cell>
          <cell r="U17">
            <v>300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wer Assumptions"/>
      <sheetName val="Assumptions"/>
      <sheetName val="Rpt1_market rev"/>
      <sheetName val="Rpt2_Station for wind and solar"/>
      <sheetName val="Rpt2_Station"/>
      <sheetName val="Rpt 4 and 6 and 7 Emission "/>
      <sheetName val="Emission by unit Rpt 7A"/>
      <sheetName val="Emission Cost"/>
      <sheetName val="Rpt5_Marginal Cost"/>
      <sheetName val="New Gas and Imports Tally"/>
      <sheetName val="FIT UPLAN Energy"/>
      <sheetName val="Fit Micro KC LRP Fill Costs _R "/>
      <sheetName val="Existing"/>
      <sheetName val="Committed"/>
      <sheetName val="Directed"/>
      <sheetName val="Options"/>
      <sheetName val="Placeholder"/>
      <sheetName val="Total"/>
      <sheetName val="Generation Summary"/>
      <sheetName val="Curtailment not used"/>
      <sheetName val="FIT Equity Adders"/>
      <sheetName val="CES and CHP Contracts"/>
      <sheetName val="Approval Q1 2016"/>
      <sheetName val="Start Up Costs"/>
      <sheetName val="OPG Original Data and Hydro"/>
      <sheetName val="OPG Hydro Expected"/>
      <sheetName val="OPG Nuclear 2"/>
      <sheetName val="Bruce Power"/>
      <sheetName val="HESA Contracts"/>
      <sheetName val="HESOP"/>
      <sheetName val="Bio Conv "/>
      <sheetName val="CHP3 BIO"/>
      <sheetName val="RENEW NUG BIO and Repower"/>
      <sheetName val="RES Except Energy"/>
      <sheetName val="RES Energy for Costing"/>
      <sheetName val="RES Costs"/>
      <sheetName val="Trend Factor, RESOP"/>
      <sheetName val="RES_R Contracts"/>
      <sheetName val="Renewal Assump,new SCGT, Gas Co"/>
      <sheetName val="ACES"/>
      <sheetName val="CB CES CHP"/>
      <sheetName val="CES"/>
      <sheetName val="CHP1"/>
      <sheetName val="CHPSOP"/>
      <sheetName val="CHPSOP2"/>
      <sheetName val="EMCES"/>
      <sheetName val="LEN"/>
      <sheetName val="YORK ENG"/>
      <sheetName val="NSCGT and Imports"/>
      <sheetName val="MCP NUG NUG_R"/>
      <sheetName val="RENEW NUG GAS"/>
      <sheetName val="NUG Forecast OEFC"/>
      <sheetName val="Market Rev Re NUG and Storage"/>
      <sheetName val="RENEW NUG MSW Existing"/>
      <sheetName val="MSW Commit Direct and Repower"/>
      <sheetName val="Storage"/>
      <sheetName val="Storage R"/>
      <sheetName val="Funds, DRC"/>
      <sheetName val="CDM update "/>
      <sheetName val="CDM Costs"/>
      <sheetName val="Tx Jan, 2016 update"/>
      <sheetName val="Transmission Costs Input"/>
      <sheetName val="Transmission Costs Output"/>
      <sheetName val="Trans Costs CC"/>
      <sheetName val="Distribution"/>
      <sheetName val="Wholesale Cost"/>
      <sheetName val="Summary"/>
      <sheetName val="IESO Official History "/>
      <sheetName val="IEI Capacity"/>
      <sheetName val="RES Bill 800"/>
      <sheetName val="RES Bill 750"/>
      <sheetName val="GAM Class A &amp; B + IEI "/>
      <sheetName val="Residential Bill 800"/>
      <sheetName val="Residential Bill 750"/>
      <sheetName val="Residential Bill fix 750"/>
      <sheetName val="Industrial"/>
      <sheetName val="Rates for Lily"/>
      <sheetName val="Graphs"/>
      <sheetName val="Carbon Summary v2"/>
      <sheetName val="Tabular Info"/>
      <sheetName val="OPG Nuclear"/>
      <sheetName val="Fixed Costs"/>
      <sheetName val="OPG Biomass Conversion"/>
      <sheetName val="Cost of Storage - Summary old"/>
      <sheetName val="Storage old"/>
      <sheetName val="RES Old"/>
      <sheetName val="MSW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155">
          <cell r="C155">
            <v>48.442899310476243</v>
          </cell>
          <cell r="D155">
            <v>47.28827458278905</v>
          </cell>
          <cell r="E155">
            <v>45.495787674431064</v>
          </cell>
          <cell r="F155">
            <v>44.005187981058278</v>
          </cell>
          <cell r="G155">
            <v>45.544561640154413</v>
          </cell>
          <cell r="H155">
            <v>40.021701842118993</v>
          </cell>
          <cell r="I155">
            <v>38.445023122356282</v>
          </cell>
          <cell r="J155">
            <v>36.215736217027207</v>
          </cell>
          <cell r="K155">
            <v>38.677769662635974</v>
          </cell>
          <cell r="L155">
            <v>35.524161185207525</v>
          </cell>
          <cell r="M155">
            <v>34.048327711824491</v>
          </cell>
          <cell r="N155">
            <v>36.266242154772236</v>
          </cell>
          <cell r="O155">
            <v>35.137300143368101</v>
          </cell>
          <cell r="P155">
            <v>32.404222979079321</v>
          </cell>
          <cell r="Q155">
            <v>30.246183914270162</v>
          </cell>
          <cell r="R155">
            <v>26.849890487160746</v>
          </cell>
          <cell r="S155">
            <v>26.779522022170557</v>
          </cell>
          <cell r="T155">
            <v>24.339818488688103</v>
          </cell>
          <cell r="U155">
            <v>22.701438696135938</v>
          </cell>
          <cell r="V155">
            <v>16.300553962458302</v>
          </cell>
        </row>
        <row r="156">
          <cell r="C156">
            <v>87.157511464340445</v>
          </cell>
          <cell r="D156">
            <v>85.080133368214746</v>
          </cell>
          <cell r="E156">
            <v>81.855126184734573</v>
          </cell>
          <cell r="F156">
            <v>79.173268539690909</v>
          </cell>
          <cell r="G156">
            <v>81.94287934437618</v>
          </cell>
          <cell r="H156">
            <v>72.006258642173123</v>
          </cell>
          <cell r="I156">
            <v>69.169529306206599</v>
          </cell>
          <cell r="J156">
            <v>65.158640160962875</v>
          </cell>
          <cell r="K156">
            <v>69.588282302857365</v>
          </cell>
          <cell r="L156">
            <v>63.914371968467634</v>
          </cell>
          <cell r="M156">
            <v>61.259081415946532</v>
          </cell>
          <cell r="N156">
            <v>65.249509450594317</v>
          </cell>
          <cell r="O156">
            <v>63.218339192371303</v>
          </cell>
          <cell r="P156">
            <v>58.301040523835333</v>
          </cell>
          <cell r="Q156">
            <v>54.418339091658204</v>
          </cell>
          <cell r="R156">
            <v>48.307794769932656</v>
          </cell>
          <cell r="S156">
            <v>48.181189212019973</v>
          </cell>
          <cell r="T156">
            <v>43.791722608746213</v>
          </cell>
          <cell r="U156">
            <v>40.843981916408509</v>
          </cell>
          <cell r="V156">
            <v>29.32763602261965</v>
          </cell>
        </row>
        <row r="158">
          <cell r="C158">
            <v>18.137578551912288</v>
          </cell>
          <cell r="D158">
            <v>23.934740867580583</v>
          </cell>
          <cell r="E158">
            <v>25.744051369863712</v>
          </cell>
          <cell r="F158">
            <v>27.123269406392733</v>
          </cell>
          <cell r="G158">
            <v>30.431228369763481</v>
          </cell>
          <cell r="H158">
            <v>33.925452054794327</v>
          </cell>
          <cell r="I158">
            <v>35.86688013698658</v>
          </cell>
          <cell r="J158">
            <v>40.076464611873007</v>
          </cell>
          <cell r="K158">
            <v>34.547472677595636</v>
          </cell>
          <cell r="L158">
            <v>43.551206621004781</v>
          </cell>
          <cell r="M158">
            <v>38.16356735159826</v>
          </cell>
          <cell r="N158">
            <v>39.191780821917497</v>
          </cell>
          <cell r="O158">
            <v>38.269060792349762</v>
          </cell>
          <cell r="P158">
            <v>39.128205479452575</v>
          </cell>
          <cell r="Q158">
            <v>40.86592237442882</v>
          </cell>
          <cell r="R158">
            <v>45.925325342465975</v>
          </cell>
          <cell r="S158">
            <v>44.731083788706854</v>
          </cell>
          <cell r="T158">
            <v>46.820198630136503</v>
          </cell>
          <cell r="U158">
            <v>48.132732876712183</v>
          </cell>
          <cell r="V158">
            <v>54.279785388127088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IESO"/>
      <sheetName val="OEB"/>
    </sheetNames>
    <sheetDataSet>
      <sheetData sheetId="0" refreshError="1"/>
      <sheetData sheetId="1">
        <row r="47">
          <cell r="H47">
            <v>158.51626977553067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E15"/>
  <sheetViews>
    <sheetView workbookViewId="0">
      <selection activeCell="E36" sqref="E36"/>
    </sheetView>
  </sheetViews>
  <sheetFormatPr defaultRowHeight="15" x14ac:dyDescent="0.25"/>
  <cols>
    <col min="1" max="1" width="22.28515625" customWidth="1"/>
  </cols>
  <sheetData>
    <row r="2" spans="1:5" ht="15.75" thickBot="1" x14ac:dyDescent="0.3"/>
    <row r="3" spans="1:5" ht="30.75" thickBot="1" x14ac:dyDescent="0.3">
      <c r="A3" s="1" t="s">
        <v>1</v>
      </c>
      <c r="B3" s="2">
        <v>2017</v>
      </c>
      <c r="C3" s="2">
        <v>2018</v>
      </c>
      <c r="D3" s="2">
        <v>2019</v>
      </c>
      <c r="E3" s="2">
        <v>2020</v>
      </c>
    </row>
    <row r="4" spans="1:5" ht="15.75" thickBot="1" x14ac:dyDescent="0.3">
      <c r="A4" s="3" t="s">
        <v>2</v>
      </c>
      <c r="B4" s="4">
        <v>0</v>
      </c>
      <c r="C4" s="4">
        <v>0</v>
      </c>
      <c r="D4" s="4">
        <v>0</v>
      </c>
      <c r="E4" s="4">
        <v>0</v>
      </c>
    </row>
    <row r="5" spans="1:5" ht="15.75" thickBot="1" x14ac:dyDescent="0.3">
      <c r="A5" s="3" t="s">
        <v>3</v>
      </c>
      <c r="B5" s="5">
        <v>0.6</v>
      </c>
      <c r="C5" s="5">
        <v>0.61</v>
      </c>
      <c r="D5" s="5">
        <v>0.62</v>
      </c>
      <c r="E5" s="5">
        <v>0.64</v>
      </c>
    </row>
    <row r="6" spans="1:5" ht="15.75" thickBot="1" x14ac:dyDescent="0.3">
      <c r="A6" s="3" t="s">
        <v>4</v>
      </c>
      <c r="B6" s="4">
        <v>0.42</v>
      </c>
      <c r="C6" s="4">
        <v>0.42</v>
      </c>
      <c r="D6" s="4">
        <v>0.42</v>
      </c>
      <c r="E6" s="4">
        <v>0.42</v>
      </c>
    </row>
    <row r="10" spans="1:5" ht="15.75" thickBot="1" x14ac:dyDescent="0.3"/>
    <row r="11" spans="1:5" ht="30.75" thickBot="1" x14ac:dyDescent="0.3">
      <c r="A11" s="1" t="s">
        <v>5</v>
      </c>
      <c r="B11" s="2">
        <v>2017</v>
      </c>
      <c r="C11" s="2">
        <v>2018</v>
      </c>
      <c r="D11" s="2">
        <v>2019</v>
      </c>
      <c r="E11" s="2">
        <v>2020</v>
      </c>
    </row>
    <row r="12" spans="1:5" ht="15.75" thickBot="1" x14ac:dyDescent="0.3">
      <c r="A12" s="3" t="s">
        <v>2</v>
      </c>
      <c r="B12" s="4">
        <v>-4.68</v>
      </c>
      <c r="C12" s="4">
        <v>-4.66</v>
      </c>
      <c r="D12" s="4">
        <v>-4.79</v>
      </c>
      <c r="E12" s="4">
        <v>-4.74</v>
      </c>
    </row>
    <row r="13" spans="1:5" ht="15.75" thickBot="1" x14ac:dyDescent="0.3">
      <c r="A13" s="3" t="s">
        <v>3</v>
      </c>
      <c r="B13" s="5">
        <v>0.8</v>
      </c>
      <c r="C13" s="5">
        <v>0.82</v>
      </c>
      <c r="D13" s="5">
        <v>0.83</v>
      </c>
      <c r="E13" s="5">
        <v>0.85</v>
      </c>
    </row>
    <row r="14" spans="1:5" ht="15.75" thickBot="1" x14ac:dyDescent="0.3">
      <c r="A14" s="3" t="s">
        <v>6</v>
      </c>
      <c r="B14" s="4">
        <v>0</v>
      </c>
      <c r="C14" s="4">
        <v>0</v>
      </c>
      <c r="D14" s="4">
        <v>0</v>
      </c>
      <c r="E14" s="4">
        <v>0</v>
      </c>
    </row>
    <row r="15" spans="1:5" x14ac:dyDescent="0.25">
      <c r="A15" s="6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AI254"/>
  <sheetViews>
    <sheetView tabSelected="1" topLeftCell="A43" workbookViewId="0">
      <selection activeCell="P52" sqref="P52"/>
    </sheetView>
  </sheetViews>
  <sheetFormatPr defaultRowHeight="15" x14ac:dyDescent="0.25"/>
  <cols>
    <col min="1" max="1" width="37.140625" customWidth="1"/>
    <col min="2" max="2" width="11.5703125" bestFit="1" customWidth="1"/>
    <col min="3" max="7" width="11.140625" bestFit="1" customWidth="1"/>
    <col min="8" max="20" width="10.5703125" bestFit="1" customWidth="1"/>
  </cols>
  <sheetData>
    <row r="2" spans="1:22" x14ac:dyDescent="0.25">
      <c r="A2" s="82" t="s">
        <v>0</v>
      </c>
      <c r="B2" s="83"/>
      <c r="C2" s="83"/>
      <c r="D2" s="83"/>
      <c r="E2" s="83"/>
      <c r="F2" s="83"/>
      <c r="G2" s="83"/>
    </row>
    <row r="3" spans="1:22" x14ac:dyDescent="0.25">
      <c r="A3" s="83"/>
      <c r="B3" s="83"/>
      <c r="C3" s="83"/>
      <c r="D3" s="83"/>
      <c r="E3" s="83"/>
      <c r="F3" s="83"/>
      <c r="G3" s="83"/>
    </row>
    <row r="4" spans="1:22" x14ac:dyDescent="0.25">
      <c r="A4" s="86"/>
      <c r="B4" s="87">
        <v>2015</v>
      </c>
      <c r="C4" s="87">
        <v>2016</v>
      </c>
      <c r="D4" s="87">
        <v>2017</v>
      </c>
      <c r="E4" s="87">
        <v>2018</v>
      </c>
      <c r="F4" s="87">
        <v>2019</v>
      </c>
      <c r="G4" s="87">
        <v>2020</v>
      </c>
      <c r="H4" s="87">
        <v>2021</v>
      </c>
      <c r="I4" s="87">
        <v>2022</v>
      </c>
      <c r="J4" s="87">
        <v>2023</v>
      </c>
      <c r="K4" s="87">
        <v>2024</v>
      </c>
      <c r="L4" s="87">
        <v>2025</v>
      </c>
      <c r="M4" s="87">
        <v>2026</v>
      </c>
      <c r="N4" s="87">
        <v>2027</v>
      </c>
      <c r="O4" s="87">
        <v>2028</v>
      </c>
      <c r="P4" s="87">
        <v>2029</v>
      </c>
      <c r="Q4" s="87">
        <v>2030</v>
      </c>
      <c r="R4" s="87">
        <v>2031</v>
      </c>
      <c r="S4" s="87">
        <v>2032</v>
      </c>
      <c r="T4" s="87">
        <v>2033</v>
      </c>
      <c r="U4" s="87">
        <v>2034</v>
      </c>
      <c r="V4" s="87">
        <v>2035</v>
      </c>
    </row>
    <row r="5" spans="1:22" x14ac:dyDescent="0.25">
      <c r="A5" s="88" t="s">
        <v>8</v>
      </c>
      <c r="B5" s="89">
        <v>32.99</v>
      </c>
      <c r="C5" s="89">
        <v>35.726828277168593</v>
      </c>
      <c r="D5" s="89">
        <v>37.292676182582504</v>
      </c>
      <c r="E5" s="89">
        <v>38.876271197475546</v>
      </c>
      <c r="F5" s="89">
        <v>40.434609564120699</v>
      </c>
      <c r="G5" s="89">
        <v>41.979682532028569</v>
      </c>
    </row>
    <row r="6" spans="1:22" x14ac:dyDescent="0.25">
      <c r="A6" s="88" t="s">
        <v>9</v>
      </c>
      <c r="B6" s="89">
        <v>10.630212</v>
      </c>
      <c r="C6" s="89">
        <v>10.933930932884417</v>
      </c>
      <c r="D6" s="89">
        <v>11.191064282542948</v>
      </c>
      <c r="E6" s="89">
        <v>11.451091692773568</v>
      </c>
      <c r="F6" s="89">
        <v>11.781068994405198</v>
      </c>
      <c r="G6" s="89">
        <v>12.534447842921979</v>
      </c>
    </row>
    <row r="7" spans="1:22" ht="29.25" x14ac:dyDescent="0.25">
      <c r="A7" s="90" t="s">
        <v>13</v>
      </c>
      <c r="B7" s="89">
        <v>4.68574</v>
      </c>
      <c r="C7" s="89">
        <v>5.2307832120498592</v>
      </c>
      <c r="D7" s="91">
        <f>5.49513553736513+'Ministry Inputs '!B5</f>
        <v>6.0951355373651293</v>
      </c>
      <c r="E7" s="91">
        <f>5.61745053543578+'Ministry Inputs '!C5</f>
        <v>6.2274505354357803</v>
      </c>
      <c r="F7" s="91">
        <f>5.76559326881977+'Ministry Inputs '!D5</f>
        <v>6.3855932688197701</v>
      </c>
      <c r="G7" s="91">
        <f>5.89409135612759+'Ministry Inputs '!E5</f>
        <v>6.5340913561275897</v>
      </c>
    </row>
    <row r="8" spans="1:22" x14ac:dyDescent="0.25">
      <c r="A8" s="88" t="s">
        <v>10</v>
      </c>
      <c r="B8" s="89">
        <v>5.25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</row>
    <row r="9" spans="1:22" ht="29.25" x14ac:dyDescent="0.25">
      <c r="A9" s="90" t="s">
        <v>14</v>
      </c>
      <c r="B9" s="89">
        <v>82.40489500000001</v>
      </c>
      <c r="C9" s="89">
        <v>82.26374946162845</v>
      </c>
      <c r="D9" s="89">
        <f>86.8732981409386+'Ministry Inputs '!B6</f>
        <v>87.293298140938603</v>
      </c>
      <c r="E9" s="89">
        <f>87.4600407227563+'Ministry Inputs '!C6</f>
        <v>87.880040722756306</v>
      </c>
      <c r="F9" s="89">
        <f>88.1292380082536+'Ministry Inputs '!D6</f>
        <v>88.549238008253596</v>
      </c>
      <c r="G9" s="89">
        <f>95.0314428821979+'Ministry Inputs '!E6</f>
        <v>95.451442882197895</v>
      </c>
    </row>
    <row r="10" spans="1:22" x14ac:dyDescent="0.25">
      <c r="A10" s="84" t="s">
        <v>11</v>
      </c>
      <c r="B10" s="85">
        <f t="shared" ref="B10:G10" si="0">SUM(B5:B9)</f>
        <v>135.960847</v>
      </c>
      <c r="C10" s="85">
        <f t="shared" si="0"/>
        <v>134.15529188373131</v>
      </c>
      <c r="D10" s="85">
        <f>SUM(D5:D9)</f>
        <v>141.87217414342919</v>
      </c>
      <c r="E10" s="85">
        <f t="shared" si="0"/>
        <v>144.43485414844119</v>
      </c>
      <c r="F10" s="85">
        <f t="shared" si="0"/>
        <v>147.15050983559925</v>
      </c>
      <c r="G10" s="85">
        <f t="shared" si="0"/>
        <v>156.49966461327602</v>
      </c>
    </row>
    <row r="11" spans="1:22" x14ac:dyDescent="0.25">
      <c r="A11" s="88" t="s">
        <v>12</v>
      </c>
      <c r="B11" s="89">
        <f>B10*0.13</f>
        <v>17.674910109999999</v>
      </c>
      <c r="C11" s="89">
        <f t="shared" ref="C11:G11" si="1">C10*0.13</f>
        <v>17.440187944885071</v>
      </c>
      <c r="D11" s="89">
        <f>D10*0.13</f>
        <v>18.443382638645794</v>
      </c>
      <c r="E11" s="89">
        <f t="shared" si="1"/>
        <v>18.776531039297357</v>
      </c>
      <c r="F11" s="89">
        <f t="shared" si="1"/>
        <v>19.129566278627902</v>
      </c>
      <c r="G11" s="89">
        <f t="shared" si="1"/>
        <v>20.344956399725884</v>
      </c>
    </row>
    <row r="12" spans="1:22" x14ac:dyDescent="0.25">
      <c r="A12" s="84" t="s">
        <v>34</v>
      </c>
      <c r="B12" s="85">
        <f t="shared" ref="B12:G12" si="2">B11+B10</f>
        <v>153.63575710999999</v>
      </c>
      <c r="C12" s="85">
        <f t="shared" si="2"/>
        <v>151.59547982861639</v>
      </c>
      <c r="D12" s="85">
        <f t="shared" si="2"/>
        <v>160.31555678207499</v>
      </c>
      <c r="E12" s="85">
        <f>E11+E10</f>
        <v>163.21138518773856</v>
      </c>
      <c r="F12" s="85">
        <f t="shared" si="2"/>
        <v>166.28007611422714</v>
      </c>
      <c r="G12" s="85">
        <f t="shared" si="2"/>
        <v>176.8446210130019</v>
      </c>
    </row>
    <row r="13" spans="1:22" x14ac:dyDescent="0.25">
      <c r="A13" s="86" t="s">
        <v>15</v>
      </c>
      <c r="B13" s="92">
        <f>-B12*0.1</f>
        <v>-15.363575710999999</v>
      </c>
      <c r="C13" s="89"/>
      <c r="D13" s="89"/>
      <c r="E13" s="89"/>
      <c r="F13" s="89"/>
      <c r="G13" s="89"/>
    </row>
    <row r="14" spans="1:22" ht="15.75" thickBot="1" x14ac:dyDescent="0.3">
      <c r="A14" s="93" t="s">
        <v>32</v>
      </c>
      <c r="B14" s="94">
        <f>B13+B12</f>
        <v>138.27218139899998</v>
      </c>
      <c r="C14" s="94">
        <f>C12-C13</f>
        <v>151.59547982861639</v>
      </c>
      <c r="D14" s="94">
        <f>D12-D13</f>
        <v>160.31555678207499</v>
      </c>
      <c r="E14" s="94">
        <f>E12-E13</f>
        <v>163.21138518773856</v>
      </c>
      <c r="F14" s="94">
        <f>F12-F13</f>
        <v>166.28007611422714</v>
      </c>
      <c r="G14" s="94">
        <f>G12-G13</f>
        <v>176.8446210130019</v>
      </c>
      <c r="H14" s="12"/>
    </row>
    <row r="15" spans="1:22" ht="15.75" thickTop="1" x14ac:dyDescent="0.25">
      <c r="A15" s="86" t="s">
        <v>31</v>
      </c>
      <c r="B15" s="95"/>
      <c r="C15" s="95"/>
      <c r="D15" s="96">
        <f>-D10*0.08</f>
        <v>-11.349773931474335</v>
      </c>
      <c r="E15" s="96">
        <f>-E10*0.08</f>
        <v>-11.554788331875296</v>
      </c>
      <c r="F15" s="96">
        <f>-F10*0.08</f>
        <v>-11.77204078684794</v>
      </c>
      <c r="G15" s="96">
        <f>-G10*0.08</f>
        <v>-12.519973169062082</v>
      </c>
    </row>
    <row r="16" spans="1:22" ht="15.75" thickBot="1" x14ac:dyDescent="0.3">
      <c r="A16" s="93" t="s">
        <v>33</v>
      </c>
      <c r="B16" s="97">
        <f t="shared" ref="B16:G16" si="3">B14+B15</f>
        <v>138.27218139899998</v>
      </c>
      <c r="C16" s="97">
        <f t="shared" si="3"/>
        <v>151.59547982861639</v>
      </c>
      <c r="D16" s="97">
        <f t="shared" si="3"/>
        <v>148.96578285060065</v>
      </c>
      <c r="E16" s="97">
        <f t="shared" si="3"/>
        <v>151.65659685586326</v>
      </c>
      <c r="F16" s="97">
        <f t="shared" si="3"/>
        <v>154.50803532737919</v>
      </c>
      <c r="G16" s="97">
        <f t="shared" si="3"/>
        <v>164.32464784393983</v>
      </c>
      <c r="J16" s="8"/>
      <c r="K16" s="8"/>
    </row>
    <row r="17" spans="1:11" ht="15.75" thickTop="1" x14ac:dyDescent="0.25">
      <c r="B17" s="14"/>
      <c r="C17" s="14"/>
      <c r="D17" s="14"/>
      <c r="E17" s="14"/>
      <c r="F17" s="14"/>
      <c r="G17" s="14"/>
      <c r="H17" s="12"/>
      <c r="I17" s="8"/>
      <c r="J17" s="8"/>
      <c r="K17" s="8"/>
    </row>
    <row r="18" spans="1:11" x14ac:dyDescent="0.25">
      <c r="B18" s="14"/>
      <c r="C18" s="14"/>
      <c r="D18" s="14"/>
      <c r="E18" s="14"/>
      <c r="F18" s="14"/>
      <c r="G18" s="12">
        <f>G16/B16-1</f>
        <v>0.18841437360247126</v>
      </c>
      <c r="H18" s="8" t="s">
        <v>22</v>
      </c>
      <c r="J18" s="8"/>
      <c r="K18" s="8"/>
    </row>
    <row r="19" spans="1:11" x14ac:dyDescent="0.25">
      <c r="A19" s="8" t="s">
        <v>16</v>
      </c>
    </row>
    <row r="20" spans="1:11" x14ac:dyDescent="0.25">
      <c r="A20" t="s">
        <v>17</v>
      </c>
    </row>
    <row r="21" spans="1:11" x14ac:dyDescent="0.25">
      <c r="A21" t="s">
        <v>18</v>
      </c>
    </row>
    <row r="22" spans="1:11" x14ac:dyDescent="0.25">
      <c r="A22" t="s">
        <v>19</v>
      </c>
    </row>
    <row r="23" spans="1:11" x14ac:dyDescent="0.25">
      <c r="A23" t="s">
        <v>20</v>
      </c>
    </row>
    <row r="24" spans="1:11" x14ac:dyDescent="0.25">
      <c r="A24" t="s">
        <v>21</v>
      </c>
    </row>
    <row r="26" spans="1:11" x14ac:dyDescent="0.25">
      <c r="G26">
        <v>100</v>
      </c>
    </row>
    <row r="27" spans="1:11" x14ac:dyDescent="0.25">
      <c r="B27">
        <v>2017</v>
      </c>
      <c r="C27">
        <v>2018</v>
      </c>
      <c r="D27">
        <v>2019</v>
      </c>
      <c r="E27">
        <v>2020</v>
      </c>
    </row>
    <row r="28" spans="1:11" x14ac:dyDescent="0.25">
      <c r="A28" t="str">
        <f>A16</f>
        <v>Total Residential Bill after Rebate</v>
      </c>
      <c r="B28" s="14">
        <f>D16</f>
        <v>148.96578285060065</v>
      </c>
      <c r="C28" s="14">
        <f>E16</f>
        <v>151.65659685586326</v>
      </c>
      <c r="D28" s="14">
        <f>F16</f>
        <v>154.50803532737919</v>
      </c>
      <c r="E28" s="14">
        <f>G16</f>
        <v>164.32464784393983</v>
      </c>
    </row>
    <row r="29" spans="1:11" x14ac:dyDescent="0.25">
      <c r="A29" t="s">
        <v>41</v>
      </c>
      <c r="B29" s="20">
        <f>-121.3/OPO!E8*0.75</f>
        <v>-0.63663400979706086</v>
      </c>
      <c r="C29" s="20">
        <f>-139.8/OPO!F8*0.75</f>
        <v>-0.73475823405746332</v>
      </c>
      <c r="D29" s="20">
        <f>-153/OPO!G8*0.75</f>
        <v>-0.80696202531645578</v>
      </c>
      <c r="E29" s="20">
        <f>-158.3/OPO!H8*0.75</f>
        <v>-0.83491561181434615</v>
      </c>
    </row>
    <row r="30" spans="1:11" x14ac:dyDescent="0.25">
      <c r="A30" t="s">
        <v>40</v>
      </c>
      <c r="B30" s="20">
        <f>-292/OPO!E8*0.75</f>
        <v>-1.5325402379286215</v>
      </c>
      <c r="C30" s="20">
        <f>B30*1.027</f>
        <v>-1.573918824352694</v>
      </c>
      <c r="D30" s="20">
        <f>C30*1.022</f>
        <v>-1.6085450384884534</v>
      </c>
      <c r="E30" s="20">
        <f>D30*1.028</f>
        <v>-1.6535842995661301</v>
      </c>
    </row>
    <row r="32" spans="1:11" x14ac:dyDescent="0.25">
      <c r="B32">
        <v>2017</v>
      </c>
      <c r="C32">
        <v>2018</v>
      </c>
      <c r="D32">
        <v>2019</v>
      </c>
      <c r="E32">
        <v>2020</v>
      </c>
    </row>
    <row r="33" spans="1:8" x14ac:dyDescent="0.25">
      <c r="A33" t="str">
        <f>A28</f>
        <v>Total Residential Bill after Rebate</v>
      </c>
      <c r="B33" s="14">
        <f>D16</f>
        <v>148.96578285060065</v>
      </c>
      <c r="C33" s="14">
        <f t="shared" ref="C33:E33" si="4">E16</f>
        <v>151.65659685586326</v>
      </c>
      <c r="D33" s="14">
        <f t="shared" si="4"/>
        <v>154.50803532737919</v>
      </c>
      <c r="E33" s="14">
        <f t="shared" si="4"/>
        <v>164.32464784393983</v>
      </c>
    </row>
    <row r="34" spans="1:8" x14ac:dyDescent="0.25">
      <c r="A34" t="s">
        <v>43</v>
      </c>
      <c r="B34" s="14">
        <f>-'HOEP and GA'!C31</f>
        <v>4.4049128889209257</v>
      </c>
      <c r="C34" s="14">
        <f>-'HOEP and GA'!D31</f>
        <v>4.2379423501243636</v>
      </c>
      <c r="D34" s="14">
        <f>-'HOEP and GA'!E31</f>
        <v>4.0990926699554535</v>
      </c>
      <c r="E34" s="14">
        <f>-'HOEP and GA'!F31</f>
        <v>4.2424856554607047</v>
      </c>
    </row>
    <row r="36" spans="1:8" x14ac:dyDescent="0.25">
      <c r="B36" s="19">
        <f>SUM(B29:B30)*1.33</f>
        <v>-2.8850017494751579</v>
      </c>
      <c r="C36" s="19">
        <f t="shared" ref="C36:E36" si="5">SUM(C29:C30)*1.33</f>
        <v>-3.0705404876855096</v>
      </c>
      <c r="D36" s="19">
        <f t="shared" si="5"/>
        <v>-3.2126243948605295</v>
      </c>
      <c r="E36" s="19">
        <f t="shared" si="5"/>
        <v>-3.3097048821360331</v>
      </c>
    </row>
    <row r="39" spans="1:8" x14ac:dyDescent="0.25">
      <c r="A39" s="8" t="s">
        <v>150</v>
      </c>
    </row>
    <row r="40" spans="1:8" x14ac:dyDescent="0.25">
      <c r="B40">
        <v>2017</v>
      </c>
      <c r="C40">
        <v>2018</v>
      </c>
      <c r="D40">
        <v>2019</v>
      </c>
      <c r="E40">
        <v>2020</v>
      </c>
      <c r="F40">
        <v>2021</v>
      </c>
    </row>
    <row r="41" spans="1:8" x14ac:dyDescent="0.25">
      <c r="A41" t="s">
        <v>154</v>
      </c>
      <c r="B41" s="14">
        <f>D16</f>
        <v>148.96578285060065</v>
      </c>
      <c r="C41" s="14">
        <f t="shared" ref="C41:E41" si="6">E16</f>
        <v>151.65659685586326</v>
      </c>
      <c r="D41" s="14">
        <f t="shared" si="6"/>
        <v>154.50803532737919</v>
      </c>
      <c r="E41" s="14">
        <f t="shared" si="6"/>
        <v>164.32464784393983</v>
      </c>
      <c r="F41" s="14"/>
    </row>
    <row r="42" spans="1:8" x14ac:dyDescent="0.25">
      <c r="A42" t="s">
        <v>155</v>
      </c>
      <c r="B42">
        <v>0</v>
      </c>
      <c r="C42">
        <v>0</v>
      </c>
      <c r="D42">
        <v>0</v>
      </c>
      <c r="E42" s="19">
        <f>-300/OPO!H8*0.75</f>
        <v>-1.5822784810126582</v>
      </c>
      <c r="F42" s="19">
        <f>-300/OPO!I8*0.75</f>
        <v>-1.5878616796047988</v>
      </c>
    </row>
    <row r="43" spans="1:8" x14ac:dyDescent="0.25">
      <c r="B43" s="14">
        <f>B41+B42</f>
        <v>148.96578285060065</v>
      </c>
      <c r="C43" s="14">
        <f t="shared" ref="C43:E43" si="7">C41+C42</f>
        <v>151.65659685586326</v>
      </c>
      <c r="D43" s="14">
        <f t="shared" si="7"/>
        <v>154.50803532737919</v>
      </c>
      <c r="E43" s="14">
        <f t="shared" si="7"/>
        <v>162.74236936292718</v>
      </c>
    </row>
    <row r="48" spans="1:8" x14ac:dyDescent="0.25">
      <c r="H48">
        <f>H53/H52</f>
        <v>0.95209600000000005</v>
      </c>
    </row>
    <row r="49" spans="1:13" x14ac:dyDescent="0.25">
      <c r="B49">
        <v>2010</v>
      </c>
      <c r="C49">
        <v>2011</v>
      </c>
      <c r="D49">
        <v>2012</v>
      </c>
      <c r="E49">
        <v>2013</v>
      </c>
      <c r="F49">
        <v>2014</v>
      </c>
      <c r="G49">
        <v>2015</v>
      </c>
      <c r="H49">
        <v>2016</v>
      </c>
      <c r="I49">
        <v>2017</v>
      </c>
      <c r="J49">
        <v>2018</v>
      </c>
      <c r="K49">
        <v>2019</v>
      </c>
      <c r="L49">
        <v>2020</v>
      </c>
      <c r="M49" s="28">
        <v>2021</v>
      </c>
    </row>
    <row r="50" spans="1:13" x14ac:dyDescent="0.25">
      <c r="A50" t="s">
        <v>219</v>
      </c>
      <c r="B50" s="19">
        <f>[1]Res!D104</f>
        <v>104.31513750000001</v>
      </c>
      <c r="C50" s="19">
        <f>[1]Res!E104</f>
        <v>104.57556749999998</v>
      </c>
      <c r="D50" s="19">
        <f>[1]Res!F104</f>
        <v>111.63503062499998</v>
      </c>
      <c r="E50" s="19">
        <f>[1]Res!G104</f>
        <v>116.4185325</v>
      </c>
      <c r="F50" s="19">
        <f>[1]Res!H104</f>
        <v>123.50956500000001</v>
      </c>
      <c r="G50" s="19">
        <f>[1]Res!I104</f>
        <v>135.64915500000004</v>
      </c>
      <c r="H50" s="19">
        <v>155.58000000000001</v>
      </c>
      <c r="I50" s="127"/>
      <c r="J50" s="127"/>
      <c r="K50" s="127"/>
      <c r="L50" s="127"/>
    </row>
    <row r="51" spans="1:13" s="28" customFormat="1" x14ac:dyDescent="0.25">
      <c r="A51" s="28" t="s">
        <v>148</v>
      </c>
      <c r="B51" s="19"/>
      <c r="C51" s="19"/>
      <c r="D51" s="19"/>
      <c r="E51" s="19"/>
      <c r="F51" s="19"/>
      <c r="G51" s="19"/>
      <c r="H51" s="19">
        <v>155.58000000000001</v>
      </c>
      <c r="I51" s="127">
        <v>152.70563809980166</v>
      </c>
      <c r="J51" s="127">
        <v>155.25080956850243</v>
      </c>
      <c r="K51" s="127">
        <v>157.88132089866929</v>
      </c>
      <c r="L51" s="127">
        <v>167.81430136892874</v>
      </c>
      <c r="M51" s="28">
        <v>165.86232478214305</v>
      </c>
    </row>
    <row r="52" spans="1:13" x14ac:dyDescent="0.25">
      <c r="A52" t="s">
        <v>143</v>
      </c>
      <c r="E52">
        <v>125</v>
      </c>
      <c r="F52">
        <v>137</v>
      </c>
      <c r="G52">
        <v>145</v>
      </c>
      <c r="H52">
        <v>167</v>
      </c>
      <c r="I52">
        <v>170</v>
      </c>
      <c r="J52">
        <v>178</v>
      </c>
      <c r="K52">
        <v>177</v>
      </c>
      <c r="L52">
        <v>181</v>
      </c>
      <c r="M52">
        <v>187</v>
      </c>
    </row>
    <row r="53" spans="1:13" x14ac:dyDescent="0.25">
      <c r="A53" t="s">
        <v>144</v>
      </c>
      <c r="E53" s="54">
        <f t="shared" ref="E53:F53" si="8">E52*0.952096</f>
        <v>119.012</v>
      </c>
      <c r="F53" s="54">
        <f t="shared" si="8"/>
        <v>130.437152</v>
      </c>
      <c r="G53" s="54">
        <f>G52*0.952096</f>
        <v>138.05392000000001</v>
      </c>
      <c r="H53" s="54">
        <f t="shared" ref="H53:M53" si="9">H52*0.952096</f>
        <v>159.000032</v>
      </c>
      <c r="I53" s="54">
        <f t="shared" si="9"/>
        <v>161.85632000000001</v>
      </c>
      <c r="J53" s="54">
        <f t="shared" si="9"/>
        <v>169.47308800000002</v>
      </c>
      <c r="K53" s="54">
        <f t="shared" si="9"/>
        <v>168.52099200000001</v>
      </c>
      <c r="L53" s="54">
        <f t="shared" si="9"/>
        <v>172.329376</v>
      </c>
      <c r="M53" s="54">
        <f t="shared" si="9"/>
        <v>178.04195200000001</v>
      </c>
    </row>
    <row r="54" spans="1:13" x14ac:dyDescent="0.25">
      <c r="A54" t="s">
        <v>148</v>
      </c>
      <c r="E54" s="19">
        <f>E50</f>
        <v>116.4185325</v>
      </c>
      <c r="F54" s="19">
        <f t="shared" ref="F54:G54" si="10">F50</f>
        <v>123.50956500000001</v>
      </c>
      <c r="G54" s="19">
        <f t="shared" si="10"/>
        <v>135.64915500000004</v>
      </c>
      <c r="H54" s="128">
        <v>155.57557500000001</v>
      </c>
      <c r="I54" s="128">
        <v>148.96578285060065</v>
      </c>
      <c r="J54" s="128">
        <v>151.65659685586326</v>
      </c>
      <c r="K54" s="128">
        <v>154.50803532737919</v>
      </c>
      <c r="L54" s="128">
        <v>164.32464784393983</v>
      </c>
    </row>
    <row r="76" spans="1:20" ht="15.75" x14ac:dyDescent="0.25">
      <c r="A76" s="38"/>
      <c r="B76" s="39">
        <v>2017</v>
      </c>
      <c r="C76" s="39">
        <v>2018</v>
      </c>
      <c r="D76" s="39">
        <v>2019</v>
      </c>
      <c r="E76" s="39">
        <v>2020</v>
      </c>
      <c r="F76" s="39">
        <v>2021</v>
      </c>
      <c r="G76" s="39">
        <v>2022</v>
      </c>
      <c r="H76" s="39">
        <v>2023</v>
      </c>
      <c r="I76" s="39">
        <v>2024</v>
      </c>
      <c r="J76" s="39">
        <v>2025</v>
      </c>
      <c r="K76" s="39">
        <v>2026</v>
      </c>
      <c r="L76" s="39">
        <v>2027</v>
      </c>
      <c r="M76" s="39">
        <v>2028</v>
      </c>
      <c r="N76" s="39">
        <v>2029</v>
      </c>
      <c r="O76" s="39">
        <v>2030</v>
      </c>
      <c r="P76" s="39">
        <v>2031</v>
      </c>
      <c r="Q76" s="39">
        <v>2032</v>
      </c>
      <c r="R76" s="39">
        <v>2033</v>
      </c>
      <c r="S76" s="39">
        <v>2034</v>
      </c>
      <c r="T76" s="39">
        <v>2035</v>
      </c>
    </row>
    <row r="77" spans="1:20" ht="15.75" x14ac:dyDescent="0.25">
      <c r="A77" s="38" t="s">
        <v>44</v>
      </c>
      <c r="B77" s="42">
        <f>D109+D111</f>
        <v>339.7</v>
      </c>
      <c r="C77" s="42">
        <f>F109+F111</f>
        <v>365.6</v>
      </c>
      <c r="D77" s="42">
        <f>H109+H111</f>
        <v>344.8</v>
      </c>
      <c r="E77" s="42">
        <f>J109+J111</f>
        <v>308.7</v>
      </c>
      <c r="F77" s="42">
        <f>F78*0.65</f>
        <v>294.77500000000003</v>
      </c>
      <c r="G77" s="42">
        <f t="shared" ref="G77:T77" si="11">G78*0.65</f>
        <v>294.77500000000003</v>
      </c>
      <c r="H77" s="42">
        <f t="shared" si="11"/>
        <v>305.82499999999999</v>
      </c>
      <c r="I77" s="42">
        <f t="shared" si="11"/>
        <v>316.875</v>
      </c>
      <c r="J77" s="42">
        <f t="shared" si="11"/>
        <v>327.92500000000001</v>
      </c>
      <c r="K77" s="42">
        <f t="shared" si="11"/>
        <v>327.92500000000001</v>
      </c>
      <c r="L77" s="42">
        <f t="shared" si="11"/>
        <v>327.92500000000001</v>
      </c>
      <c r="M77" s="42">
        <f t="shared" si="11"/>
        <v>327.92500000000001</v>
      </c>
      <c r="N77" s="42">
        <f t="shared" si="11"/>
        <v>327.92500000000001</v>
      </c>
      <c r="O77" s="42">
        <f t="shared" si="11"/>
        <v>327.92500000000001</v>
      </c>
      <c r="P77" s="42">
        <f t="shared" si="11"/>
        <v>327.92500000000001</v>
      </c>
      <c r="Q77" s="42">
        <f t="shared" si="11"/>
        <v>327.92500000000001</v>
      </c>
      <c r="R77" s="42">
        <f t="shared" si="11"/>
        <v>327.92500000000001</v>
      </c>
      <c r="S77" s="42">
        <f t="shared" si="11"/>
        <v>327.92500000000001</v>
      </c>
      <c r="T77" s="42">
        <f t="shared" si="11"/>
        <v>327.92500000000001</v>
      </c>
    </row>
    <row r="78" spans="1:20" ht="15.75" x14ac:dyDescent="0.25">
      <c r="A78" s="38" t="s">
        <v>46</v>
      </c>
      <c r="B78" s="42">
        <f>SUM(OPO!D20:D22)</f>
        <v>604.5</v>
      </c>
      <c r="C78" s="42">
        <f>SUM(OPO!E20:E22)</f>
        <v>653</v>
      </c>
      <c r="D78" s="42">
        <f>SUM(OPO!F20:F22)</f>
        <v>527</v>
      </c>
      <c r="E78" s="42">
        <f>SUM(OPO!G20:G22)</f>
        <v>546</v>
      </c>
      <c r="F78" s="42">
        <f>SUM(OPO!H20:H22)</f>
        <v>453.5</v>
      </c>
      <c r="G78" s="42">
        <f>SUM(OPO!I20:I22)</f>
        <v>453.5</v>
      </c>
      <c r="H78" s="42">
        <f>SUM(OPO!J20:J22)</f>
        <v>470.5</v>
      </c>
      <c r="I78" s="42">
        <f>SUM(OPO!K20:K22)</f>
        <v>487.5</v>
      </c>
      <c r="J78" s="42">
        <f>SUM(OPO!L20:L22)</f>
        <v>504.5</v>
      </c>
      <c r="K78" s="42">
        <f>SUM(OPO!M20:M22)</f>
        <v>504.5</v>
      </c>
      <c r="L78" s="42">
        <f>SUM(OPO!N20:N22)</f>
        <v>504.5</v>
      </c>
      <c r="M78" s="42">
        <f>SUM(OPO!O20:O22)</f>
        <v>504.5</v>
      </c>
      <c r="N78" s="42">
        <f>SUM(OPO!P20:P22)</f>
        <v>504.5</v>
      </c>
      <c r="O78" s="42">
        <f>SUM(OPO!Q20:Q22)</f>
        <v>504.5</v>
      </c>
      <c r="P78" s="42">
        <f>SUM(OPO!R20:R22)</f>
        <v>504.5</v>
      </c>
      <c r="Q78" s="42">
        <f>SUM(OPO!S20:S22)</f>
        <v>504.5</v>
      </c>
      <c r="R78" s="42">
        <f>SUM(OPO!T20:T22)</f>
        <v>504.5</v>
      </c>
      <c r="S78" s="42">
        <f>SUM(OPO!U20:U22)</f>
        <v>504.5</v>
      </c>
      <c r="T78" s="42">
        <f>SUM(OPO!V20:V22)</f>
        <v>504.5</v>
      </c>
    </row>
    <row r="79" spans="1:20" ht="15.75" x14ac:dyDescent="0.25">
      <c r="A79" t="s">
        <v>76</v>
      </c>
      <c r="B79" s="42">
        <f>B78-B77</f>
        <v>264.8</v>
      </c>
      <c r="C79" s="42">
        <f t="shared" ref="C79:E79" si="12">C78-C77</f>
        <v>287.39999999999998</v>
      </c>
      <c r="D79" s="42">
        <f t="shared" si="12"/>
        <v>182.2</v>
      </c>
      <c r="E79" s="42">
        <f t="shared" si="12"/>
        <v>237.3</v>
      </c>
      <c r="F79" s="42">
        <f t="shared" ref="F79" si="13">F78-F77</f>
        <v>158.72499999999997</v>
      </c>
      <c r="G79" s="42">
        <f t="shared" ref="G79" si="14">G78-G77</f>
        <v>158.72499999999997</v>
      </c>
      <c r="H79" s="42">
        <f t="shared" ref="H79" si="15">H78-H77</f>
        <v>164.67500000000001</v>
      </c>
      <c r="I79" s="42">
        <f t="shared" ref="I79" si="16">I78-I77</f>
        <v>170.625</v>
      </c>
      <c r="J79" s="42">
        <f t="shared" ref="J79" si="17">J78-J77</f>
        <v>176.57499999999999</v>
      </c>
      <c r="K79" s="42">
        <f t="shared" ref="K79" si="18">K78-K77</f>
        <v>176.57499999999999</v>
      </c>
      <c r="L79" s="42">
        <f t="shared" ref="L79" si="19">L78-L77</f>
        <v>176.57499999999999</v>
      </c>
      <c r="M79" s="42">
        <f t="shared" ref="M79" si="20">M78-M77</f>
        <v>176.57499999999999</v>
      </c>
      <c r="N79" s="42">
        <f t="shared" ref="N79" si="21">N78-N77</f>
        <v>176.57499999999999</v>
      </c>
      <c r="O79" s="42">
        <f t="shared" ref="O79" si="22">O78-O77</f>
        <v>176.57499999999999</v>
      </c>
      <c r="P79" s="42">
        <f t="shared" ref="P79" si="23">P78-P77</f>
        <v>176.57499999999999</v>
      </c>
      <c r="Q79" s="42">
        <f t="shared" ref="Q79" si="24">Q78-Q77</f>
        <v>176.57499999999999</v>
      </c>
      <c r="R79" s="42">
        <f t="shared" ref="R79" si="25">R78-R77</f>
        <v>176.57499999999999</v>
      </c>
      <c r="S79" s="42">
        <f t="shared" ref="S79" si="26">S78-S77</f>
        <v>176.57499999999999</v>
      </c>
      <c r="T79" s="42">
        <f t="shared" ref="T79" si="27">T78-T77</f>
        <v>176.57499999999999</v>
      </c>
    </row>
    <row r="80" spans="1:20" ht="15.75" x14ac:dyDescent="0.25">
      <c r="A80" s="38" t="s">
        <v>57</v>
      </c>
      <c r="B80" s="38">
        <f>OPO!E8</f>
        <v>142.9</v>
      </c>
      <c r="C80" s="38">
        <f>OPO!F8</f>
        <v>142.69999999999999</v>
      </c>
      <c r="D80" s="38">
        <f>OPO!G8</f>
        <v>142.19999999999999</v>
      </c>
      <c r="E80" s="38">
        <f>OPO!H8</f>
        <v>142.19999999999999</v>
      </c>
      <c r="F80" s="38">
        <f>OPO!I8</f>
        <v>141.69999999999999</v>
      </c>
      <c r="G80" s="38">
        <f>OPO!J8</f>
        <v>141.6</v>
      </c>
      <c r="H80" s="38">
        <f>OPO!K8</f>
        <v>141.5</v>
      </c>
      <c r="I80" s="38">
        <f>OPO!L8</f>
        <v>141.69999999999999</v>
      </c>
      <c r="J80" s="38">
        <f>OPO!M8</f>
        <v>141.5</v>
      </c>
      <c r="K80" s="38">
        <f>OPO!N8</f>
        <v>141.19999999999999</v>
      </c>
      <c r="L80" s="38">
        <f>OPO!O8</f>
        <v>141.5</v>
      </c>
      <c r="M80" s="38">
        <f>OPO!P8</f>
        <v>142.1</v>
      </c>
      <c r="N80" s="38">
        <f>OPO!Q8</f>
        <v>142.4</v>
      </c>
      <c r="O80" s="38">
        <f>OPO!R8</f>
        <v>142.80000000000001</v>
      </c>
      <c r="P80" s="38">
        <f>OPO!S8</f>
        <v>143.30000000000001</v>
      </c>
      <c r="Q80" s="38">
        <f>OPO!T8</f>
        <v>144</v>
      </c>
      <c r="R80" s="38">
        <f>OPO!U8</f>
        <v>145</v>
      </c>
      <c r="S80" s="38">
        <f>OPO!V8</f>
        <v>146.30000000000001</v>
      </c>
      <c r="T80" s="38">
        <f>OPO!W8</f>
        <v>147.80000000000001</v>
      </c>
    </row>
    <row r="81" spans="1:20" ht="15.75" x14ac:dyDescent="0.25">
      <c r="A81" s="38" t="s">
        <v>64</v>
      </c>
      <c r="B81" s="40">
        <f t="shared" ref="B81:T81" si="28">B78/B80*88/82*0.75</f>
        <v>3.4048200174094116</v>
      </c>
      <c r="C81" s="40">
        <f t="shared" si="28"/>
        <v>3.6831490249030034</v>
      </c>
      <c r="D81" s="40">
        <f t="shared" si="28"/>
        <v>2.98291653802614</v>
      </c>
      <c r="E81" s="40">
        <f t="shared" si="28"/>
        <v>3.0904600185242357</v>
      </c>
      <c r="F81" s="40">
        <f t="shared" si="28"/>
        <v>2.5759505654336716</v>
      </c>
      <c r="G81" s="40">
        <f t="shared" si="28"/>
        <v>2.5777697395618029</v>
      </c>
      <c r="H81" s="40">
        <f t="shared" si="28"/>
        <v>2.6762906144962511</v>
      </c>
      <c r="I81" s="40">
        <f t="shared" si="28"/>
        <v>2.7690758558961739</v>
      </c>
      <c r="J81" s="40">
        <f t="shared" si="28"/>
        <v>2.8696888735671808</v>
      </c>
      <c r="K81" s="40">
        <f t="shared" si="28"/>
        <v>2.8757859462447319</v>
      </c>
      <c r="L81" s="40">
        <f t="shared" si="28"/>
        <v>2.8696888735671808</v>
      </c>
      <c r="M81" s="40">
        <f t="shared" si="28"/>
        <v>2.8575719606597891</v>
      </c>
      <c r="N81" s="40">
        <f t="shared" si="28"/>
        <v>2.8515517950123321</v>
      </c>
      <c r="O81" s="40">
        <f t="shared" si="28"/>
        <v>2.8435642549702806</v>
      </c>
      <c r="P81" s="40">
        <f t="shared" si="28"/>
        <v>2.8336425374023455</v>
      </c>
      <c r="Q81" s="40">
        <f t="shared" si="28"/>
        <v>2.8198678861788613</v>
      </c>
      <c r="R81" s="40">
        <f t="shared" si="28"/>
        <v>2.8004205214465943</v>
      </c>
      <c r="S81" s="40">
        <f t="shared" si="28"/>
        <v>2.7755364019805611</v>
      </c>
      <c r="T81" s="40">
        <f t="shared" si="28"/>
        <v>2.7473678999306901</v>
      </c>
    </row>
    <row r="82" spans="1:20" ht="15.75" x14ac:dyDescent="0.25">
      <c r="A82" s="38" t="s">
        <v>108</v>
      </c>
      <c r="B82" s="42">
        <f>0.1*B77</f>
        <v>33.97</v>
      </c>
      <c r="C82" s="42">
        <v>33.97</v>
      </c>
      <c r="D82" s="42">
        <v>33.97</v>
      </c>
      <c r="E82" s="42">
        <v>33.97</v>
      </c>
      <c r="F82" s="42">
        <v>33.97</v>
      </c>
      <c r="G82" s="42">
        <v>33.97</v>
      </c>
      <c r="H82" s="42">
        <v>33.97</v>
      </c>
      <c r="I82" s="42">
        <v>33.97</v>
      </c>
      <c r="J82" s="42">
        <v>33.97</v>
      </c>
      <c r="K82" s="42">
        <v>33.97</v>
      </c>
      <c r="L82" s="42"/>
      <c r="M82" s="42"/>
      <c r="N82" s="42"/>
      <c r="O82" s="42"/>
      <c r="P82" s="42"/>
      <c r="Q82" s="42"/>
      <c r="R82" s="42"/>
      <c r="S82" s="42"/>
      <c r="T82" s="42"/>
    </row>
    <row r="83" spans="1:20" s="28" customFormat="1" ht="15.75" x14ac:dyDescent="0.25">
      <c r="A83" s="38" t="s">
        <v>109</v>
      </c>
      <c r="B83" s="42"/>
      <c r="C83" s="42">
        <v>36.6</v>
      </c>
      <c r="D83" s="42">
        <v>36.6</v>
      </c>
      <c r="E83" s="42">
        <v>36.6</v>
      </c>
      <c r="F83" s="42">
        <v>36.6</v>
      </c>
      <c r="G83" s="42">
        <v>36.6</v>
      </c>
      <c r="H83" s="42">
        <v>36.6</v>
      </c>
      <c r="I83" s="42">
        <v>36.6</v>
      </c>
      <c r="J83" s="42">
        <v>36.6</v>
      </c>
      <c r="K83" s="42">
        <v>36.6</v>
      </c>
      <c r="L83" s="42">
        <v>36.6</v>
      </c>
      <c r="M83" s="42"/>
      <c r="N83" s="42"/>
      <c r="O83" s="42"/>
      <c r="P83" s="42"/>
      <c r="Q83" s="42"/>
      <c r="R83" s="42"/>
      <c r="S83" s="42"/>
      <c r="T83" s="42"/>
    </row>
    <row r="84" spans="1:20" s="28" customFormat="1" ht="15.75" x14ac:dyDescent="0.25">
      <c r="A84" s="38" t="s">
        <v>110</v>
      </c>
      <c r="B84" s="42"/>
      <c r="C84" s="42"/>
      <c r="D84" s="42">
        <f>D77*0.1</f>
        <v>34.480000000000004</v>
      </c>
      <c r="E84" s="42">
        <v>34.480000000000004</v>
      </c>
      <c r="F84" s="42">
        <v>34.480000000000004</v>
      </c>
      <c r="G84" s="42">
        <v>34.480000000000004</v>
      </c>
      <c r="H84" s="42">
        <v>34.480000000000004</v>
      </c>
      <c r="I84" s="42">
        <v>34.480000000000004</v>
      </c>
      <c r="J84" s="42">
        <v>34.480000000000004</v>
      </c>
      <c r="K84" s="42">
        <v>34.480000000000004</v>
      </c>
      <c r="L84" s="42">
        <v>34.480000000000004</v>
      </c>
      <c r="M84" s="42">
        <v>34.480000000000004</v>
      </c>
      <c r="N84" s="42"/>
      <c r="O84" s="42"/>
      <c r="P84" s="42"/>
      <c r="Q84" s="42"/>
      <c r="R84" s="42"/>
      <c r="S84" s="42"/>
      <c r="T84" s="42"/>
    </row>
    <row r="85" spans="1:20" s="28" customFormat="1" ht="15.75" x14ac:dyDescent="0.25">
      <c r="A85" s="38" t="s">
        <v>111</v>
      </c>
      <c r="B85" s="42"/>
      <c r="C85" s="42"/>
      <c r="D85" s="42"/>
      <c r="E85" s="42">
        <v>30.9</v>
      </c>
      <c r="F85" s="42">
        <v>30.9</v>
      </c>
      <c r="G85" s="42">
        <v>30.9</v>
      </c>
      <c r="H85" s="42">
        <v>30.9</v>
      </c>
      <c r="I85" s="42">
        <v>30.9</v>
      </c>
      <c r="J85" s="42">
        <v>30.9</v>
      </c>
      <c r="K85" s="42">
        <v>30.9</v>
      </c>
      <c r="L85" s="42">
        <v>30.9</v>
      </c>
      <c r="M85" s="42">
        <v>30.9</v>
      </c>
      <c r="N85" s="42">
        <v>30.9</v>
      </c>
      <c r="O85" s="42"/>
      <c r="P85" s="42"/>
      <c r="Q85" s="42"/>
      <c r="R85" s="42"/>
      <c r="S85" s="42"/>
      <c r="T85" s="42"/>
    </row>
    <row r="86" spans="1:20" s="28" customFormat="1" ht="15.75" x14ac:dyDescent="0.25">
      <c r="A86" s="38" t="s">
        <v>112</v>
      </c>
      <c r="B86" s="42"/>
      <c r="C86" s="42"/>
      <c r="D86" s="42"/>
      <c r="E86" s="42"/>
      <c r="F86" s="42">
        <v>29.5</v>
      </c>
      <c r="G86" s="42">
        <v>29.5</v>
      </c>
      <c r="H86" s="42">
        <v>29.5</v>
      </c>
      <c r="I86" s="42">
        <v>29.5</v>
      </c>
      <c r="J86" s="42">
        <v>29.5</v>
      </c>
      <c r="K86" s="42">
        <v>29.5</v>
      </c>
      <c r="L86" s="42">
        <v>29.5</v>
      </c>
      <c r="M86" s="42">
        <v>29.5</v>
      </c>
      <c r="N86" s="42">
        <v>29.5</v>
      </c>
      <c r="O86" s="42">
        <v>29.5</v>
      </c>
      <c r="P86" s="42"/>
      <c r="Q86" s="42"/>
      <c r="R86" s="42"/>
      <c r="S86" s="42"/>
      <c r="T86" s="42"/>
    </row>
    <row r="87" spans="1:20" s="28" customFormat="1" ht="15.75" x14ac:dyDescent="0.25">
      <c r="A87" s="38" t="s">
        <v>113</v>
      </c>
      <c r="B87" s="42"/>
      <c r="C87" s="42"/>
      <c r="D87" s="42"/>
      <c r="E87" s="42"/>
      <c r="F87" s="42"/>
      <c r="G87" s="42">
        <v>29.5</v>
      </c>
      <c r="H87" s="42">
        <v>29.5</v>
      </c>
      <c r="I87" s="42">
        <v>29.5</v>
      </c>
      <c r="J87" s="42">
        <v>29.5</v>
      </c>
      <c r="K87" s="42">
        <v>29.5</v>
      </c>
      <c r="L87" s="42">
        <v>29.5</v>
      </c>
      <c r="M87" s="42">
        <v>29.5</v>
      </c>
      <c r="N87" s="42">
        <v>29.5</v>
      </c>
      <c r="O87" s="42">
        <v>29.5</v>
      </c>
      <c r="P87" s="42">
        <v>29.5</v>
      </c>
      <c r="Q87" s="42"/>
      <c r="R87" s="42"/>
      <c r="S87" s="42"/>
      <c r="T87" s="42"/>
    </row>
    <row r="88" spans="1:20" s="28" customFormat="1" ht="15.75" x14ac:dyDescent="0.25">
      <c r="A88" s="38" t="s">
        <v>114</v>
      </c>
      <c r="B88" s="42"/>
      <c r="C88" s="42"/>
      <c r="D88" s="42"/>
      <c r="E88" s="42"/>
      <c r="F88" s="42"/>
      <c r="G88" s="42"/>
      <c r="H88" s="42">
        <v>30.6</v>
      </c>
      <c r="I88" s="42">
        <v>30.6</v>
      </c>
      <c r="J88" s="42">
        <v>30.6</v>
      </c>
      <c r="K88" s="42">
        <v>30.6</v>
      </c>
      <c r="L88" s="42">
        <v>30.6</v>
      </c>
      <c r="M88" s="42">
        <v>30.6</v>
      </c>
      <c r="N88" s="42">
        <v>30.6</v>
      </c>
      <c r="O88" s="42">
        <v>30.6</v>
      </c>
      <c r="P88" s="42">
        <v>30.6</v>
      </c>
      <c r="Q88" s="42">
        <v>30.6</v>
      </c>
      <c r="R88" s="42"/>
      <c r="S88" s="42"/>
      <c r="T88" s="42"/>
    </row>
    <row r="89" spans="1:20" s="28" customFormat="1" ht="15.75" x14ac:dyDescent="0.25">
      <c r="A89" s="38" t="s">
        <v>115</v>
      </c>
      <c r="B89" s="42"/>
      <c r="C89" s="42"/>
      <c r="D89" s="42"/>
      <c r="E89" s="42"/>
      <c r="F89" s="42"/>
      <c r="G89" s="42"/>
      <c r="H89" s="42"/>
      <c r="I89" s="42">
        <v>31.7</v>
      </c>
      <c r="J89" s="42">
        <v>31.7</v>
      </c>
      <c r="K89" s="42">
        <v>31.7</v>
      </c>
      <c r="L89" s="42">
        <v>31.7</v>
      </c>
      <c r="M89" s="42">
        <v>31.7</v>
      </c>
      <c r="N89" s="42">
        <v>31.7</v>
      </c>
      <c r="O89" s="42">
        <v>31.7</v>
      </c>
      <c r="P89" s="42">
        <v>31.7</v>
      </c>
      <c r="Q89" s="42">
        <v>31.7</v>
      </c>
      <c r="R89" s="42">
        <v>31.7</v>
      </c>
      <c r="S89" s="42"/>
      <c r="T89" s="42"/>
    </row>
    <row r="90" spans="1:20" s="28" customFormat="1" ht="15.75" x14ac:dyDescent="0.25">
      <c r="A90" s="38" t="s">
        <v>116</v>
      </c>
      <c r="B90" s="42"/>
      <c r="C90" s="42"/>
      <c r="D90" s="42"/>
      <c r="E90" s="42"/>
      <c r="F90" s="42"/>
      <c r="G90" s="42"/>
      <c r="H90" s="42"/>
      <c r="I90" s="42"/>
      <c r="J90" s="42">
        <v>32.799999999999997</v>
      </c>
      <c r="K90" s="42">
        <v>32.799999999999997</v>
      </c>
      <c r="L90" s="42">
        <v>32.799999999999997</v>
      </c>
      <c r="M90" s="42">
        <v>32.799999999999997</v>
      </c>
      <c r="N90" s="42">
        <v>32.799999999999997</v>
      </c>
      <c r="O90" s="42">
        <v>32.799999999999997</v>
      </c>
      <c r="P90" s="42">
        <v>32.799999999999997</v>
      </c>
      <c r="Q90" s="42">
        <v>32.799999999999997</v>
      </c>
      <c r="R90" s="42">
        <v>32.799999999999997</v>
      </c>
      <c r="S90" s="42">
        <v>32.799999999999997</v>
      </c>
      <c r="T90" s="42"/>
    </row>
    <row r="91" spans="1:20" s="28" customFormat="1" ht="15.75" x14ac:dyDescent="0.25">
      <c r="A91" s="38" t="s">
        <v>117</v>
      </c>
      <c r="B91" s="42"/>
      <c r="C91" s="42"/>
      <c r="D91" s="42"/>
      <c r="E91" s="42"/>
      <c r="F91" s="42"/>
      <c r="G91" s="42"/>
      <c r="H91" s="42"/>
      <c r="I91" s="42"/>
      <c r="J91" s="42"/>
      <c r="K91" s="42">
        <v>32.799999999999997</v>
      </c>
      <c r="L91" s="42">
        <v>32.799999999999997</v>
      </c>
      <c r="M91" s="42">
        <v>32.799999999999997</v>
      </c>
      <c r="N91" s="42">
        <v>32.799999999999997</v>
      </c>
      <c r="O91" s="42">
        <v>32.799999999999997</v>
      </c>
      <c r="P91" s="42">
        <v>32.799999999999997</v>
      </c>
      <c r="Q91" s="42">
        <v>32.799999999999997</v>
      </c>
      <c r="R91" s="42">
        <v>32.799999999999997</v>
      </c>
      <c r="S91" s="42">
        <v>32.799999999999997</v>
      </c>
      <c r="T91" s="42">
        <v>32.799999999999997</v>
      </c>
    </row>
    <row r="92" spans="1:20" s="28" customFormat="1" ht="15.75" x14ac:dyDescent="0.25">
      <c r="A92" s="38" t="s">
        <v>118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>
        <v>32.799999999999997</v>
      </c>
      <c r="M92" s="42">
        <v>32.799999999999997</v>
      </c>
      <c r="N92" s="42">
        <v>32.799999999999997</v>
      </c>
      <c r="O92" s="42">
        <v>32.799999999999997</v>
      </c>
      <c r="P92" s="42">
        <v>32.799999999999997</v>
      </c>
      <c r="Q92" s="42">
        <v>32.799999999999997</v>
      </c>
      <c r="R92" s="42">
        <v>32.799999999999997</v>
      </c>
      <c r="S92" s="42">
        <v>32.799999999999997</v>
      </c>
      <c r="T92" s="42">
        <v>32.799999999999997</v>
      </c>
    </row>
    <row r="93" spans="1:20" s="28" customFormat="1" ht="15.75" x14ac:dyDescent="0.25">
      <c r="A93" s="38" t="s">
        <v>119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>
        <v>32.799999999999997</v>
      </c>
      <c r="N93" s="42">
        <v>32.799999999999997</v>
      </c>
      <c r="O93" s="42">
        <v>32.799999999999997</v>
      </c>
      <c r="P93" s="42">
        <v>32.799999999999997</v>
      </c>
      <c r="Q93" s="42">
        <v>32.799999999999997</v>
      </c>
      <c r="R93" s="42">
        <v>32.799999999999997</v>
      </c>
      <c r="S93" s="42">
        <v>32.799999999999997</v>
      </c>
      <c r="T93" s="42">
        <v>32.799999999999997</v>
      </c>
    </row>
    <row r="94" spans="1:20" s="28" customFormat="1" ht="15.75" x14ac:dyDescent="0.25">
      <c r="A94" s="38" t="s">
        <v>120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>
        <v>32.799999999999997</v>
      </c>
      <c r="O94" s="42">
        <v>32.799999999999997</v>
      </c>
      <c r="P94" s="42">
        <v>32.799999999999997</v>
      </c>
      <c r="Q94" s="42">
        <v>32.799999999999997</v>
      </c>
      <c r="R94" s="42">
        <v>32.799999999999997</v>
      </c>
      <c r="S94" s="42">
        <v>32.799999999999997</v>
      </c>
      <c r="T94" s="42">
        <v>32.799999999999997</v>
      </c>
    </row>
    <row r="95" spans="1:20" s="28" customFormat="1" ht="15.75" x14ac:dyDescent="0.25">
      <c r="A95" s="38" t="s">
        <v>121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>
        <v>32.799999999999997</v>
      </c>
      <c r="P95" s="42">
        <v>32.799999999999997</v>
      </c>
      <c r="Q95" s="42">
        <v>32.799999999999997</v>
      </c>
      <c r="R95" s="42">
        <v>32.799999999999997</v>
      </c>
      <c r="S95" s="42">
        <v>32.799999999999997</v>
      </c>
      <c r="T95" s="42">
        <v>32.799999999999997</v>
      </c>
    </row>
    <row r="96" spans="1:20" s="28" customFormat="1" ht="15.75" x14ac:dyDescent="0.25">
      <c r="A96" s="38" t="s">
        <v>122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>
        <v>32.799999999999997</v>
      </c>
      <c r="Q96" s="42">
        <v>32.799999999999997</v>
      </c>
      <c r="R96" s="42">
        <v>32.799999999999997</v>
      </c>
      <c r="S96" s="42">
        <v>32.799999999999997</v>
      </c>
      <c r="T96" s="42">
        <v>32.799999999999997</v>
      </c>
    </row>
    <row r="97" spans="1:21" s="28" customFormat="1" ht="15.75" x14ac:dyDescent="0.25">
      <c r="A97" s="38" t="s">
        <v>123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>
        <v>32.799999999999997</v>
      </c>
      <c r="R97" s="42">
        <v>32.799999999999997</v>
      </c>
      <c r="S97" s="42">
        <v>32.799999999999997</v>
      </c>
      <c r="T97" s="42">
        <v>32.799999999999997</v>
      </c>
    </row>
    <row r="98" spans="1:21" s="28" customFormat="1" ht="15.75" x14ac:dyDescent="0.25">
      <c r="A98" s="38" t="s">
        <v>124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>
        <v>32.799999999999997</v>
      </c>
      <c r="S98" s="42">
        <v>32.799999999999997</v>
      </c>
      <c r="T98" s="42">
        <v>32.799999999999997</v>
      </c>
    </row>
    <row r="99" spans="1:21" s="28" customFormat="1" ht="15.75" x14ac:dyDescent="0.25">
      <c r="A99" s="38" t="s">
        <v>125</v>
      </c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>
        <v>32.799999999999997</v>
      </c>
      <c r="T99" s="42">
        <v>32.799999999999997</v>
      </c>
    </row>
    <row r="100" spans="1:21" s="28" customFormat="1" ht="15.75" x14ac:dyDescent="0.25">
      <c r="A100" s="38" t="s">
        <v>126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>
        <v>32.799999999999997</v>
      </c>
      <c r="U100" s="42"/>
    </row>
    <row r="101" spans="1:21" s="28" customFormat="1" ht="15.75" x14ac:dyDescent="0.25">
      <c r="A101" s="38" t="s">
        <v>107</v>
      </c>
      <c r="B101" s="42">
        <f>SUM(B82)</f>
        <v>33.97</v>
      </c>
      <c r="C101" s="42">
        <f>SUM(C82:C83)</f>
        <v>70.569999999999993</v>
      </c>
      <c r="D101" s="42">
        <f>SUM(D82:D84)</f>
        <v>105.05</v>
      </c>
      <c r="E101" s="42">
        <f>SUM(E82:E85)</f>
        <v>135.94999999999999</v>
      </c>
      <c r="F101" s="42">
        <f>SUM(F82:F86)</f>
        <v>165.45</v>
      </c>
      <c r="G101" s="42">
        <f>SUM(G82:G87)</f>
        <v>194.95</v>
      </c>
      <c r="H101" s="42">
        <f>SUM(H82:H88)</f>
        <v>225.54999999999998</v>
      </c>
      <c r="I101" s="42">
        <f>SUM(I82:I90)</f>
        <v>257.25</v>
      </c>
      <c r="J101" s="42">
        <f>SUM(J82:J90)</f>
        <v>290.05</v>
      </c>
      <c r="K101" s="42">
        <f>SUM(K82:K91)</f>
        <v>322.85000000000002</v>
      </c>
      <c r="L101" s="42">
        <f>SUM(L82:L92)</f>
        <v>321.68</v>
      </c>
      <c r="M101" s="42">
        <f>SUM(M82:M93)</f>
        <v>317.88</v>
      </c>
      <c r="N101" s="42">
        <f>SUM(N82:N94)</f>
        <v>316.20000000000005</v>
      </c>
      <c r="O101" s="42">
        <f>SUM(O82:O95)</f>
        <v>318.10000000000002</v>
      </c>
      <c r="P101" s="42">
        <f>SUM(P82:P96)</f>
        <v>321.40000000000003</v>
      </c>
      <c r="Q101" s="42">
        <f>SUM(Q82:Q98)</f>
        <v>324.70000000000005</v>
      </c>
      <c r="R101" s="42">
        <f>SUM(R82:R99)</f>
        <v>326.90000000000003</v>
      </c>
      <c r="S101" s="42">
        <f>SUM(S82:S100)</f>
        <v>328.00000000000006</v>
      </c>
      <c r="T101" s="42">
        <f>SUM(T82:T100)</f>
        <v>328.00000000000006</v>
      </c>
      <c r="U101" s="42"/>
    </row>
    <row r="102" spans="1:21" ht="15.75" x14ac:dyDescent="0.25">
      <c r="A102" s="38" t="s">
        <v>77</v>
      </c>
      <c r="B102" s="41">
        <f>(B77-B101)*0.03</f>
        <v>9.1719000000000008</v>
      </c>
      <c r="C102" s="41">
        <f>(SUM($B77:C77)-SUM($B101:C101))*0.03</f>
        <v>18.0228</v>
      </c>
      <c r="D102" s="41">
        <f>(SUM($B77:D77)-SUM($B101:D101))*0.03</f>
        <v>25.215299999999999</v>
      </c>
      <c r="E102" s="41">
        <f>(SUM($B77:E77)-SUM($B101:E101))*0.03</f>
        <v>30.3978</v>
      </c>
      <c r="F102" s="41">
        <f>(SUM($B77:F77)-SUM($B101:F101))*0.03</f>
        <v>34.277549999999998</v>
      </c>
      <c r="G102" s="41">
        <f>(SUM($B77:G77)-SUM($B101:G101))*0.03</f>
        <v>37.272300000000008</v>
      </c>
      <c r="H102" s="41">
        <f>(SUM($B77:H77)-SUM($B101:H101))*0.03</f>
        <v>39.680550000000011</v>
      </c>
      <c r="I102" s="41">
        <f>(SUM($B77:I77)-SUM($B101:I101))*0.03</f>
        <v>41.469300000000011</v>
      </c>
      <c r="J102" s="41">
        <f>(SUM($B77:J77)-SUM($B101:J101))*0.03</f>
        <v>42.605550000000015</v>
      </c>
      <c r="K102" s="41">
        <f>(SUM($B77:K77)-SUM($B101:K101))*0.03</f>
        <v>42.757800000000017</v>
      </c>
      <c r="L102" s="41">
        <f>(SUM($B77:L77)-SUM($B101:L101))*0.03</f>
        <v>42.945150000000027</v>
      </c>
      <c r="M102" s="41">
        <f>(SUM($B77:M77)-SUM($B101:M101))*0.03</f>
        <v>43.246500000000033</v>
      </c>
      <c r="N102" s="41">
        <f>(SUM($B77:N77)-SUM($B101:N101))*0.03</f>
        <v>43.598250000000043</v>
      </c>
      <c r="O102" s="41">
        <f>(SUM($B77:O77)-SUM($B101:O101))*0.03</f>
        <v>43.89300000000005</v>
      </c>
      <c r="P102" s="41">
        <f>(SUM($B77:P77)-SUM($B101:P101))*0.03</f>
        <v>44.088750000000054</v>
      </c>
      <c r="Q102" s="41">
        <f>(SUM($B77:Q77)-SUM($B101:Q101))*0.03</f>
        <v>44.185500000000062</v>
      </c>
      <c r="R102" s="41">
        <f>(SUM($B77:R77)-SUM($B101:R101))*0.03</f>
        <v>44.216250000000066</v>
      </c>
      <c r="S102" s="41">
        <f>(SUM($B77:S77)-SUM($B101:S101))*0.03</f>
        <v>44.214000000000055</v>
      </c>
      <c r="T102" s="41">
        <f>(SUM($B77:T77)-SUM($B101:T101))*0.03</f>
        <v>44.211750000000066</v>
      </c>
    </row>
    <row r="103" spans="1:21" s="28" customFormat="1" ht="15.75" x14ac:dyDescent="0.25">
      <c r="A103" s="38" t="s">
        <v>65</v>
      </c>
      <c r="B103" s="40">
        <f>SUM(B79,B101,B102)/B80*88/82*0.75</f>
        <v>1.7344693884517568</v>
      </c>
      <c r="C103" s="40">
        <f t="shared" ref="C103:T103" si="29">SUM(C79,C101,C102)/C80*88/82*0.75</f>
        <v>2.1207312629258039</v>
      </c>
      <c r="D103" s="40">
        <f t="shared" si="29"/>
        <v>1.7686108366779871</v>
      </c>
      <c r="E103" s="40">
        <f t="shared" si="29"/>
        <v>2.2847204898631266</v>
      </c>
      <c r="F103" s="40">
        <f t="shared" si="29"/>
        <v>2.0360662598757253</v>
      </c>
      <c r="G103" s="40">
        <f t="shared" si="29"/>
        <v>2.2222097457627119</v>
      </c>
      <c r="H103" s="40">
        <f t="shared" si="29"/>
        <v>2.4453819098509011</v>
      </c>
      <c r="I103" s="40">
        <f t="shared" si="29"/>
        <v>2.6659486548358782</v>
      </c>
      <c r="J103" s="40">
        <f t="shared" si="29"/>
        <v>2.8965971128156509</v>
      </c>
      <c r="K103" s="40">
        <f t="shared" si="29"/>
        <v>3.0905880605264979</v>
      </c>
      <c r="L103" s="40">
        <f t="shared" si="29"/>
        <v>3.0784460829095925</v>
      </c>
      <c r="M103" s="40">
        <f t="shared" si="29"/>
        <v>3.0456307821698907</v>
      </c>
      <c r="N103" s="40">
        <f t="shared" si="29"/>
        <v>3.031706846053714</v>
      </c>
      <c r="O103" s="40">
        <f t="shared" si="29"/>
        <v>3.0355851608936257</v>
      </c>
      <c r="P103" s="40">
        <f t="shared" si="29"/>
        <v>3.0446281466478302</v>
      </c>
      <c r="Q103" s="40">
        <f t="shared" si="29"/>
        <v>3.0488137703252041</v>
      </c>
      <c r="R103" s="40">
        <f t="shared" si="29"/>
        <v>3.0401701009251476</v>
      </c>
      <c r="S103" s="40">
        <f t="shared" si="29"/>
        <v>3.0191949385659274</v>
      </c>
      <c r="T103" s="40">
        <f t="shared" si="29"/>
        <v>2.988541329746857</v>
      </c>
    </row>
    <row r="104" spans="1:21" ht="15.75" thickBot="1" x14ac:dyDescent="0.3">
      <c r="B104" s="19">
        <f>B81-B103</f>
        <v>1.6703506289576548</v>
      </c>
      <c r="C104" s="19">
        <f t="shared" ref="C104:E104" si="30">C81-C103</f>
        <v>1.5624177619771995</v>
      </c>
      <c r="D104" s="19">
        <f t="shared" si="30"/>
        <v>1.2143057013481529</v>
      </c>
      <c r="E104" s="19">
        <f t="shared" si="30"/>
        <v>0.80573952866110909</v>
      </c>
      <c r="F104" s="19">
        <f t="shared" ref="F104" si="31">F81-F103</f>
        <v>0.53988430555794631</v>
      </c>
      <c r="G104" s="19">
        <f t="shared" ref="G104" si="32">G81-G103</f>
        <v>0.35555999379909098</v>
      </c>
    </row>
    <row r="105" spans="1:21" x14ac:dyDescent="0.25">
      <c r="A105" s="141" t="s">
        <v>45</v>
      </c>
      <c r="B105" s="144">
        <v>2016</v>
      </c>
      <c r="C105" s="138"/>
      <c r="D105" s="137">
        <v>2017</v>
      </c>
      <c r="E105" s="138"/>
      <c r="F105" s="137">
        <v>2018</v>
      </c>
      <c r="G105" s="138"/>
      <c r="H105" s="137">
        <v>2019</v>
      </c>
      <c r="I105" s="138"/>
      <c r="J105" s="137">
        <v>2020</v>
      </c>
      <c r="K105" s="138"/>
      <c r="L105" s="21" t="s">
        <v>46</v>
      </c>
    </row>
    <row r="106" spans="1:21" ht="15.75" thickBot="1" x14ac:dyDescent="0.3">
      <c r="A106" s="142"/>
      <c r="B106" s="145"/>
      <c r="C106" s="140"/>
      <c r="D106" s="139"/>
      <c r="E106" s="140"/>
      <c r="F106" s="139"/>
      <c r="G106" s="140"/>
      <c r="H106" s="139"/>
      <c r="I106" s="140"/>
      <c r="J106" s="139"/>
      <c r="K106" s="140"/>
      <c r="L106" s="22" t="s">
        <v>47</v>
      </c>
    </row>
    <row r="107" spans="1:21" ht="15.75" thickBot="1" x14ac:dyDescent="0.3">
      <c r="A107" s="143"/>
      <c r="B107" s="24" t="s">
        <v>49</v>
      </c>
      <c r="C107" s="24" t="s">
        <v>50</v>
      </c>
      <c r="D107" s="24" t="s">
        <v>49</v>
      </c>
      <c r="E107" s="24" t="s">
        <v>50</v>
      </c>
      <c r="F107" s="24" t="s">
        <v>49</v>
      </c>
      <c r="G107" s="24" t="s">
        <v>50</v>
      </c>
      <c r="H107" s="24" t="s">
        <v>49</v>
      </c>
      <c r="I107" s="24" t="s">
        <v>50</v>
      </c>
      <c r="J107" s="24" t="s">
        <v>49</v>
      </c>
      <c r="K107" s="24" t="s">
        <v>50</v>
      </c>
      <c r="L107" s="23" t="s">
        <v>48</v>
      </c>
    </row>
    <row r="108" spans="1:21" ht="15.75" thickBot="1" x14ac:dyDescent="0.3">
      <c r="A108" s="25" t="s">
        <v>51</v>
      </c>
      <c r="B108" s="26">
        <v>78.3</v>
      </c>
      <c r="C108" s="26">
        <v>19.3</v>
      </c>
      <c r="D108" s="27" t="s">
        <v>52</v>
      </c>
      <c r="E108" s="27" t="s">
        <v>52</v>
      </c>
      <c r="F108" s="27" t="s">
        <v>52</v>
      </c>
      <c r="G108" s="27" t="s">
        <v>52</v>
      </c>
      <c r="H108" s="27" t="s">
        <v>52</v>
      </c>
      <c r="I108" s="27" t="s">
        <v>52</v>
      </c>
      <c r="J108" s="27" t="s">
        <v>52</v>
      </c>
      <c r="K108" s="27" t="s">
        <v>52</v>
      </c>
      <c r="L108" s="26">
        <v>97.6</v>
      </c>
    </row>
    <row r="109" spans="1:21" ht="15.75" thickBot="1" x14ac:dyDescent="0.3">
      <c r="A109" s="25" t="s">
        <v>53</v>
      </c>
      <c r="B109" s="26">
        <v>238.4</v>
      </c>
      <c r="C109" s="26">
        <v>102.5</v>
      </c>
      <c r="D109" s="26">
        <v>258.7</v>
      </c>
      <c r="E109" s="26">
        <v>110.9</v>
      </c>
      <c r="F109" s="26">
        <v>244.1</v>
      </c>
      <c r="G109" s="26">
        <v>116</v>
      </c>
      <c r="H109" s="26">
        <v>242.3</v>
      </c>
      <c r="I109" s="26">
        <v>116</v>
      </c>
      <c r="J109" s="26">
        <v>216.7</v>
      </c>
      <c r="K109" s="26">
        <v>114.8</v>
      </c>
      <c r="L109" s="26">
        <v>1760.4</v>
      </c>
    </row>
    <row r="110" spans="1:21" ht="15.75" thickBot="1" x14ac:dyDescent="0.3">
      <c r="A110" s="25" t="s">
        <v>54</v>
      </c>
      <c r="B110" s="26" t="s">
        <v>52</v>
      </c>
      <c r="C110" s="26">
        <v>44</v>
      </c>
      <c r="D110" s="26" t="s">
        <v>52</v>
      </c>
      <c r="E110" s="26">
        <v>71.2</v>
      </c>
      <c r="F110" s="26" t="s">
        <v>52</v>
      </c>
      <c r="G110" s="26">
        <v>94.6</v>
      </c>
      <c r="H110" s="26" t="s">
        <v>52</v>
      </c>
      <c r="I110" s="26">
        <v>60.2</v>
      </c>
      <c r="J110" s="26" t="s">
        <v>52</v>
      </c>
      <c r="K110" s="26">
        <v>127.1</v>
      </c>
      <c r="L110" s="26">
        <v>397</v>
      </c>
    </row>
    <row r="111" spans="1:21" ht="16.5" thickBot="1" x14ac:dyDescent="0.3">
      <c r="A111" s="25" t="s">
        <v>55</v>
      </c>
      <c r="B111" s="26">
        <v>59</v>
      </c>
      <c r="C111" s="26">
        <v>5</v>
      </c>
      <c r="D111" s="26">
        <v>81</v>
      </c>
      <c r="E111" s="26">
        <v>6</v>
      </c>
      <c r="F111" s="26">
        <v>121.5</v>
      </c>
      <c r="G111" s="26">
        <v>6.5</v>
      </c>
      <c r="H111" s="26">
        <v>102.5</v>
      </c>
      <c r="I111" s="26">
        <v>7.5</v>
      </c>
      <c r="J111" s="26">
        <v>92</v>
      </c>
      <c r="K111" s="26">
        <v>9</v>
      </c>
      <c r="L111" s="26">
        <v>490</v>
      </c>
    </row>
    <row r="112" spans="1:21" ht="15.75" thickBot="1" x14ac:dyDescent="0.3">
      <c r="A112" s="25" t="s">
        <v>56</v>
      </c>
      <c r="B112" s="26">
        <v>5</v>
      </c>
      <c r="C112" s="26">
        <v>2</v>
      </c>
      <c r="D112" s="26" t="s">
        <v>52</v>
      </c>
      <c r="E112" s="26">
        <v>3</v>
      </c>
      <c r="F112" s="27" t="s">
        <v>52</v>
      </c>
      <c r="G112" s="27" t="s">
        <v>52</v>
      </c>
      <c r="H112" s="27" t="s">
        <v>52</v>
      </c>
      <c r="I112" s="27" t="s">
        <v>52</v>
      </c>
      <c r="J112" s="27" t="s">
        <v>52</v>
      </c>
      <c r="K112" s="27" t="s">
        <v>52</v>
      </c>
      <c r="L112" s="26">
        <v>8.9</v>
      </c>
    </row>
    <row r="115" spans="1:20" x14ac:dyDescent="0.25">
      <c r="A115" s="105" t="s">
        <v>146</v>
      </c>
      <c r="B115" s="20">
        <f>B78/B80*10/18</f>
        <v>2.3501282948448798</v>
      </c>
      <c r="C115" s="20">
        <f t="shared" ref="C115:G115" si="33">C78/C80*10/18</f>
        <v>2.5422409094448337</v>
      </c>
      <c r="D115" s="20">
        <f t="shared" si="33"/>
        <v>2.0589154555399283</v>
      </c>
      <c r="E115" s="20">
        <f t="shared" si="33"/>
        <v>2.13314580403188</v>
      </c>
      <c r="F115" s="20">
        <f t="shared" si="33"/>
        <v>1.7780130165451267</v>
      </c>
      <c r="G115" s="20">
        <f t="shared" si="33"/>
        <v>1.7792686754551166</v>
      </c>
    </row>
    <row r="116" spans="1:20" x14ac:dyDescent="0.25">
      <c r="A116" s="105" t="s">
        <v>147</v>
      </c>
      <c r="B116" s="20">
        <f>SUM(B79,B101,B102)/B80*10/18</f>
        <v>1.1971926755306739</v>
      </c>
      <c r="C116" s="20">
        <f t="shared" ref="C116:G116" si="34">SUM(C79,C101,C102)/C80*10/18</f>
        <v>1.4638044070699994</v>
      </c>
      <c r="D116" s="20">
        <f t="shared" si="34"/>
        <v>1.220758321612752</v>
      </c>
      <c r="E116" s="20">
        <f t="shared" si="34"/>
        <v>1.5769956243162997</v>
      </c>
      <c r="F116" s="20">
        <f t="shared" si="34"/>
        <v>1.4053656002509216</v>
      </c>
      <c r="G116" s="20">
        <f t="shared" si="34"/>
        <v>1.5338484777150032</v>
      </c>
    </row>
    <row r="117" spans="1:20" x14ac:dyDescent="0.25">
      <c r="A117" s="105" t="s">
        <v>141</v>
      </c>
      <c r="B117" s="20">
        <f>B115-B116</f>
        <v>1.152935619314206</v>
      </c>
      <c r="C117" s="20">
        <f t="shared" ref="C117:G117" si="35">C115-C116</f>
        <v>1.0784365023748343</v>
      </c>
      <c r="D117" s="20">
        <f t="shared" si="35"/>
        <v>0.83815713392717628</v>
      </c>
      <c r="E117" s="20">
        <f t="shared" si="35"/>
        <v>0.55615017971558034</v>
      </c>
      <c r="F117" s="20">
        <f t="shared" si="35"/>
        <v>0.37264741629420506</v>
      </c>
      <c r="G117" s="20">
        <f t="shared" si="35"/>
        <v>0.24542019774011337</v>
      </c>
    </row>
    <row r="119" spans="1:20" x14ac:dyDescent="0.25">
      <c r="A119" s="105" t="s">
        <v>202</v>
      </c>
      <c r="B119" s="28" t="s">
        <v>197</v>
      </c>
      <c r="C119" s="28" t="s">
        <v>198</v>
      </c>
      <c r="D119" s="28" t="s">
        <v>199</v>
      </c>
      <c r="E119" s="28" t="s">
        <v>200</v>
      </c>
      <c r="F119" s="28" t="s">
        <v>201</v>
      </c>
    </row>
    <row r="120" spans="1:20" s="28" customFormat="1" x14ac:dyDescent="0.25">
      <c r="A120" s="105"/>
      <c r="B120" s="54">
        <f>0.25*B78+0.75*C78</f>
        <v>640.875</v>
      </c>
      <c r="C120" s="54">
        <f t="shared" ref="C120:F120" si="36">0.25*C78+0.75*D78</f>
        <v>558.5</v>
      </c>
      <c r="D120" s="54">
        <f t="shared" si="36"/>
        <v>541.25</v>
      </c>
      <c r="E120" s="54">
        <f t="shared" si="36"/>
        <v>476.625</v>
      </c>
      <c r="F120" s="54">
        <f t="shared" si="36"/>
        <v>453.5</v>
      </c>
    </row>
    <row r="122" spans="1:20" x14ac:dyDescent="0.25">
      <c r="B122">
        <v>2017</v>
      </c>
      <c r="C122" s="98">
        <v>2018</v>
      </c>
      <c r="D122" s="28">
        <v>2019</v>
      </c>
      <c r="E122" s="98">
        <v>2020</v>
      </c>
      <c r="F122" s="28">
        <v>2021</v>
      </c>
      <c r="G122" s="98">
        <v>2022</v>
      </c>
    </row>
    <row r="123" spans="1:20" x14ac:dyDescent="0.25">
      <c r="A123" s="104" t="s">
        <v>127</v>
      </c>
      <c r="B123">
        <v>121.3</v>
      </c>
      <c r="C123" s="98">
        <v>139.80000000000001</v>
      </c>
      <c r="D123">
        <v>153</v>
      </c>
      <c r="E123" s="98">
        <v>158.30000000000001</v>
      </c>
      <c r="F123" s="98">
        <v>158.30000000000001</v>
      </c>
      <c r="G123" s="98">
        <v>158.30000000000001</v>
      </c>
    </row>
    <row r="124" spans="1:20" x14ac:dyDescent="0.25">
      <c r="A124" s="104" t="s">
        <v>3</v>
      </c>
      <c r="B124" s="28">
        <v>291.89999999999998</v>
      </c>
      <c r="C124" s="98">
        <v>299.7</v>
      </c>
      <c r="D124" s="28">
        <v>306.2</v>
      </c>
      <c r="E124" s="98">
        <v>314.8</v>
      </c>
      <c r="F124" s="98">
        <v>321.5</v>
      </c>
      <c r="G124" s="98">
        <v>328.5</v>
      </c>
    </row>
    <row r="125" spans="1:20" x14ac:dyDescent="0.25">
      <c r="B125" s="19">
        <f>SUM(B123:B124)/143*0.75</f>
        <v>2.1671328671328673</v>
      </c>
      <c r="C125" s="19">
        <f t="shared" ref="C125:G125" si="37">SUM(C123:C124)/143*0.75</f>
        <v>2.30506993006993</v>
      </c>
      <c r="D125" s="19">
        <f t="shared" si="37"/>
        <v>2.4083916083916082</v>
      </c>
      <c r="E125" s="19">
        <f t="shared" si="37"/>
        <v>2.4812937062937062</v>
      </c>
      <c r="F125" s="19">
        <f t="shared" si="37"/>
        <v>2.5164335664335669</v>
      </c>
      <c r="G125" s="19">
        <f t="shared" si="37"/>
        <v>2.5531468531468531</v>
      </c>
    </row>
    <row r="128" spans="1:20" x14ac:dyDescent="0.25">
      <c r="A128" t="s">
        <v>171</v>
      </c>
      <c r="B128">
        <v>2017</v>
      </c>
      <c r="C128">
        <v>2018</v>
      </c>
      <c r="D128">
        <v>2019</v>
      </c>
      <c r="E128">
        <v>2020</v>
      </c>
      <c r="F128">
        <v>2021</v>
      </c>
      <c r="G128">
        <v>2022</v>
      </c>
      <c r="H128">
        <v>2023</v>
      </c>
      <c r="I128">
        <v>2024</v>
      </c>
      <c r="J128">
        <v>2025</v>
      </c>
      <c r="K128">
        <v>2026</v>
      </c>
      <c r="L128">
        <v>2027</v>
      </c>
      <c r="M128">
        <v>2028</v>
      </c>
      <c r="N128">
        <v>2029</v>
      </c>
      <c r="O128">
        <v>2030</v>
      </c>
      <c r="P128">
        <v>2031</v>
      </c>
      <c r="Q128">
        <v>2032</v>
      </c>
      <c r="R128">
        <v>2033</v>
      </c>
      <c r="S128">
        <v>2034</v>
      </c>
      <c r="T128">
        <v>2035</v>
      </c>
    </row>
    <row r="129" spans="1:20" x14ac:dyDescent="0.25">
      <c r="A129" t="s">
        <v>172</v>
      </c>
      <c r="H129" s="54">
        <v>137.69008051181129</v>
      </c>
      <c r="I129" s="54">
        <v>196.69008051181129</v>
      </c>
      <c r="J129" s="54">
        <v>357.9212802833195</v>
      </c>
      <c r="K129" s="54">
        <v>396.55928028431953</v>
      </c>
      <c r="L129" s="54">
        <v>396.55928028431953</v>
      </c>
      <c r="M129" s="54">
        <v>590.34608089318954</v>
      </c>
      <c r="N129" s="54">
        <v>590.34608089318954</v>
      </c>
      <c r="O129" s="54">
        <v>590.34608089318954</v>
      </c>
      <c r="P129" s="54">
        <v>590.34608089318954</v>
      </c>
      <c r="Q129" s="54">
        <v>590.34608089318954</v>
      </c>
      <c r="R129" s="54">
        <v>590.34608089318954</v>
      </c>
      <c r="S129" s="54">
        <v>590.34608089318954</v>
      </c>
      <c r="T129" s="54">
        <v>590.34608089318954</v>
      </c>
    </row>
    <row r="130" spans="1:20" x14ac:dyDescent="0.25">
      <c r="A130" t="s">
        <v>173</v>
      </c>
      <c r="D130">
        <v>150</v>
      </c>
      <c r="E130">
        <v>150</v>
      </c>
      <c r="F130">
        <v>150</v>
      </c>
      <c r="G130">
        <v>150</v>
      </c>
      <c r="H130" s="54">
        <v>150</v>
      </c>
      <c r="I130" s="54">
        <v>150</v>
      </c>
      <c r="J130" s="54">
        <v>150</v>
      </c>
      <c r="K130" s="54">
        <v>150</v>
      </c>
      <c r="L130" s="54">
        <v>150</v>
      </c>
      <c r="M130" s="54">
        <v>150</v>
      </c>
      <c r="N130" s="54">
        <v>150</v>
      </c>
      <c r="O130" s="54">
        <v>150</v>
      </c>
      <c r="P130" s="54">
        <v>150</v>
      </c>
      <c r="Q130" s="54">
        <v>150</v>
      </c>
      <c r="R130" s="54">
        <v>150</v>
      </c>
      <c r="S130" s="54">
        <v>150</v>
      </c>
      <c r="T130" s="54">
        <v>150</v>
      </c>
    </row>
    <row r="131" spans="1:20" x14ac:dyDescent="0.25">
      <c r="A131" t="s">
        <v>174</v>
      </c>
      <c r="D131">
        <v>50</v>
      </c>
      <c r="E131">
        <v>50</v>
      </c>
      <c r="F131">
        <v>50</v>
      </c>
      <c r="G131">
        <v>50</v>
      </c>
      <c r="H131" s="54">
        <v>109.36310302549271</v>
      </c>
      <c r="I131" s="54">
        <v>109.36310302549271</v>
      </c>
      <c r="J131" s="54">
        <v>109.36310302549271</v>
      </c>
      <c r="K131" s="54">
        <v>109.36310302549271</v>
      </c>
      <c r="L131" s="54">
        <v>109.36310302549271</v>
      </c>
      <c r="M131" s="54">
        <v>109.36310302549271</v>
      </c>
      <c r="N131" s="54">
        <v>109.36310302549271</v>
      </c>
      <c r="O131" s="54">
        <v>109.36310302549271</v>
      </c>
      <c r="P131" s="54">
        <v>109.36310302549271</v>
      </c>
      <c r="Q131" s="54">
        <v>109.36310302549271</v>
      </c>
      <c r="R131" s="54">
        <v>109.36310302549271</v>
      </c>
      <c r="S131" s="54">
        <v>109.36310302549271</v>
      </c>
      <c r="T131" s="54">
        <v>109.36310302549271</v>
      </c>
    </row>
    <row r="132" spans="1:20" x14ac:dyDescent="0.25">
      <c r="A132" t="s">
        <v>175</v>
      </c>
      <c r="H132" s="54">
        <v>71.000402905220028</v>
      </c>
      <c r="I132" s="54">
        <v>71.000402905220028</v>
      </c>
      <c r="J132" s="54">
        <v>145.67770260694593</v>
      </c>
      <c r="K132" s="54">
        <v>145.67770260694593</v>
      </c>
      <c r="L132" s="54">
        <v>145.67770260694593</v>
      </c>
      <c r="M132" s="54">
        <v>145.67770260694593</v>
      </c>
      <c r="N132" s="54">
        <v>145.67770260694593</v>
      </c>
      <c r="O132" s="54">
        <v>145.67770260694593</v>
      </c>
      <c r="P132" s="54">
        <v>145.67770260694593</v>
      </c>
      <c r="Q132" s="54">
        <v>145.67770260694593</v>
      </c>
      <c r="R132" s="54">
        <v>145.67770260694593</v>
      </c>
      <c r="S132" s="54">
        <v>145.67770260694593</v>
      </c>
      <c r="T132" s="54">
        <v>145.67770260694593</v>
      </c>
    </row>
    <row r="133" spans="1:20" x14ac:dyDescent="0.25">
      <c r="A133" t="s">
        <v>176</v>
      </c>
      <c r="D133">
        <v>140</v>
      </c>
      <c r="E133">
        <v>440</v>
      </c>
      <c r="F133">
        <v>440</v>
      </c>
      <c r="G133">
        <v>440</v>
      </c>
      <c r="H133" s="54">
        <v>440</v>
      </c>
      <c r="I133" s="54">
        <v>456</v>
      </c>
      <c r="J133" s="54">
        <v>456</v>
      </c>
      <c r="K133" s="54">
        <v>456</v>
      </c>
      <c r="L133" s="54">
        <v>456</v>
      </c>
      <c r="M133" s="54">
        <v>456</v>
      </c>
      <c r="N133" s="54">
        <v>456</v>
      </c>
      <c r="O133" s="54">
        <v>456</v>
      </c>
      <c r="P133" s="54">
        <v>456</v>
      </c>
      <c r="Q133" s="54">
        <v>456</v>
      </c>
      <c r="R133" s="54">
        <v>456</v>
      </c>
      <c r="S133" s="54">
        <v>456</v>
      </c>
      <c r="T133" s="54">
        <v>456</v>
      </c>
    </row>
    <row r="134" spans="1:20" x14ac:dyDescent="0.25">
      <c r="A134" t="s">
        <v>177</v>
      </c>
      <c r="C134">
        <v>50</v>
      </c>
      <c r="D134">
        <v>50</v>
      </c>
      <c r="E134">
        <v>50</v>
      </c>
      <c r="F134">
        <v>50</v>
      </c>
      <c r="G134">
        <v>50</v>
      </c>
      <c r="H134" s="54">
        <v>50</v>
      </c>
      <c r="I134" s="54">
        <v>50</v>
      </c>
      <c r="J134" s="54">
        <v>50</v>
      </c>
      <c r="K134" s="54">
        <v>50</v>
      </c>
      <c r="L134" s="54">
        <v>50</v>
      </c>
      <c r="M134" s="54">
        <v>50</v>
      </c>
      <c r="N134" s="54">
        <v>50</v>
      </c>
      <c r="O134" s="54">
        <v>50</v>
      </c>
      <c r="P134" s="54">
        <v>50</v>
      </c>
      <c r="Q134" s="54">
        <v>50</v>
      </c>
      <c r="R134" s="54">
        <v>50</v>
      </c>
      <c r="S134" s="54">
        <v>50</v>
      </c>
      <c r="T134" s="54">
        <v>50</v>
      </c>
    </row>
    <row r="135" spans="1:20" x14ac:dyDescent="0.25">
      <c r="A135" t="s">
        <v>178</v>
      </c>
      <c r="D135">
        <v>50</v>
      </c>
      <c r="E135">
        <v>50</v>
      </c>
      <c r="F135">
        <v>50</v>
      </c>
      <c r="G135">
        <v>50</v>
      </c>
      <c r="H135" s="54">
        <v>50</v>
      </c>
      <c r="I135" s="54">
        <v>50</v>
      </c>
      <c r="J135" s="54">
        <v>50</v>
      </c>
      <c r="K135" s="54">
        <v>50</v>
      </c>
      <c r="L135" s="54">
        <v>50</v>
      </c>
      <c r="M135" s="54">
        <v>50</v>
      </c>
      <c r="N135" s="54">
        <v>50</v>
      </c>
      <c r="O135" s="54">
        <v>50</v>
      </c>
      <c r="P135" s="54">
        <v>50</v>
      </c>
      <c r="Q135" s="54">
        <v>50</v>
      </c>
      <c r="R135" s="54">
        <v>50</v>
      </c>
      <c r="S135" s="54">
        <v>50</v>
      </c>
      <c r="T135" s="54">
        <v>50</v>
      </c>
    </row>
    <row r="136" spans="1:20" x14ac:dyDescent="0.25">
      <c r="A136" s="28" t="s">
        <v>46</v>
      </c>
      <c r="B136">
        <v>0</v>
      </c>
      <c r="C136">
        <v>50</v>
      </c>
      <c r="D136">
        <v>440</v>
      </c>
      <c r="E136">
        <v>740</v>
      </c>
      <c r="F136">
        <v>740</v>
      </c>
      <c r="G136">
        <v>740</v>
      </c>
      <c r="H136" s="54">
        <v>1008.053586442524</v>
      </c>
      <c r="I136" s="54">
        <v>1083.053586442524</v>
      </c>
      <c r="J136" s="54">
        <v>1318.9620859157581</v>
      </c>
      <c r="K136" s="54">
        <v>1357.6000859167582</v>
      </c>
      <c r="L136" s="54">
        <v>1357.6000859167582</v>
      </c>
      <c r="M136" s="54">
        <v>1551.3868865256281</v>
      </c>
      <c r="N136" s="54">
        <v>1551.3868865256281</v>
      </c>
      <c r="O136" s="54">
        <v>1551.3868865256281</v>
      </c>
      <c r="P136" s="54">
        <v>1551.3868865256281</v>
      </c>
      <c r="Q136" s="54">
        <v>1551.3868865256281</v>
      </c>
      <c r="R136" s="54">
        <v>1551.3868865256281</v>
      </c>
      <c r="S136" s="54">
        <v>1551.3868865256281</v>
      </c>
      <c r="T136" s="54">
        <v>1551.3868865256281</v>
      </c>
    </row>
    <row r="139" spans="1:20" x14ac:dyDescent="0.25">
      <c r="A139" t="s">
        <v>179</v>
      </c>
      <c r="B139">
        <v>2017</v>
      </c>
      <c r="C139">
        <v>2018</v>
      </c>
      <c r="D139">
        <v>2019</v>
      </c>
      <c r="E139">
        <v>2020</v>
      </c>
      <c r="F139">
        <v>2021</v>
      </c>
      <c r="G139">
        <v>2022</v>
      </c>
      <c r="H139">
        <v>2023</v>
      </c>
      <c r="I139">
        <v>2024</v>
      </c>
      <c r="J139">
        <v>2025</v>
      </c>
      <c r="K139">
        <v>2026</v>
      </c>
      <c r="L139">
        <v>2027</v>
      </c>
      <c r="M139">
        <v>2028</v>
      </c>
      <c r="N139">
        <v>2029</v>
      </c>
      <c r="O139">
        <v>2030</v>
      </c>
      <c r="P139">
        <v>2031</v>
      </c>
      <c r="Q139">
        <v>2032</v>
      </c>
      <c r="R139">
        <v>2033</v>
      </c>
      <c r="S139">
        <v>2034</v>
      </c>
      <c r="T139">
        <v>2035</v>
      </c>
    </row>
    <row r="140" spans="1:20" x14ac:dyDescent="0.25">
      <c r="A140" t="s">
        <v>180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 s="112">
        <v>20.65351207677169</v>
      </c>
      <c r="I140" s="112">
        <v>29.503512076771692</v>
      </c>
      <c r="J140" s="112">
        <v>53.688192042497924</v>
      </c>
      <c r="K140" s="112">
        <v>59.483892042647931</v>
      </c>
      <c r="L140" s="112">
        <v>59.483892042647931</v>
      </c>
      <c r="M140" s="112">
        <v>88.551912133978433</v>
      </c>
      <c r="N140" s="112">
        <v>88.551912133978433</v>
      </c>
      <c r="O140" s="112">
        <v>88.551912133978433</v>
      </c>
      <c r="P140" s="112">
        <v>88.551912133978433</v>
      </c>
      <c r="Q140" s="112">
        <v>88.551912133978433</v>
      </c>
      <c r="R140" s="112">
        <v>88.551912133978433</v>
      </c>
      <c r="S140" s="112">
        <v>88.551912133978433</v>
      </c>
      <c r="T140" s="112">
        <v>88.551912133978433</v>
      </c>
    </row>
    <row r="141" spans="1:20" x14ac:dyDescent="0.25">
      <c r="A141" s="104" t="s">
        <v>173</v>
      </c>
      <c r="B141" s="104">
        <v>0</v>
      </c>
      <c r="C141" s="104">
        <v>0</v>
      </c>
      <c r="D141" s="104">
        <v>52.5</v>
      </c>
      <c r="E141" s="104">
        <v>52.5</v>
      </c>
      <c r="F141" s="104">
        <v>52.5</v>
      </c>
      <c r="G141" s="104">
        <v>52.5</v>
      </c>
      <c r="H141" s="113">
        <v>22.5</v>
      </c>
      <c r="I141" s="113">
        <v>22.5</v>
      </c>
      <c r="J141" s="113">
        <v>22.5</v>
      </c>
      <c r="K141" s="113">
        <v>22.5</v>
      </c>
      <c r="L141" s="113">
        <v>22.5</v>
      </c>
      <c r="M141" s="113">
        <v>22.5</v>
      </c>
      <c r="N141" s="113">
        <v>22.5</v>
      </c>
      <c r="O141" s="113">
        <v>22.5</v>
      </c>
      <c r="P141" s="113">
        <v>22.5</v>
      </c>
      <c r="Q141" s="113">
        <v>22.5</v>
      </c>
      <c r="R141" s="113">
        <v>22.5</v>
      </c>
      <c r="S141" s="113">
        <v>22.5</v>
      </c>
      <c r="T141" s="113">
        <v>22.5</v>
      </c>
    </row>
    <row r="142" spans="1:20" x14ac:dyDescent="0.25">
      <c r="A142" s="104" t="s">
        <v>181</v>
      </c>
      <c r="B142" s="104">
        <v>0</v>
      </c>
      <c r="C142" s="104">
        <v>0</v>
      </c>
      <c r="D142" s="104">
        <v>17.5</v>
      </c>
      <c r="E142" s="104">
        <v>17.5</v>
      </c>
      <c r="F142" s="104">
        <v>17.5</v>
      </c>
      <c r="G142" s="104">
        <v>17.5</v>
      </c>
      <c r="H142" s="113">
        <v>16.404465453823907</v>
      </c>
      <c r="I142" s="113">
        <v>16.404465453823907</v>
      </c>
      <c r="J142" s="113">
        <v>16.404465453823907</v>
      </c>
      <c r="K142" s="113">
        <v>16.404465453823907</v>
      </c>
      <c r="L142" s="113">
        <v>16.404465453823907</v>
      </c>
      <c r="M142" s="113">
        <v>16.404465453823907</v>
      </c>
      <c r="N142" s="113">
        <v>16.404465453823907</v>
      </c>
      <c r="O142" s="113">
        <v>16.404465453823907</v>
      </c>
      <c r="P142" s="113">
        <v>16.404465453823907</v>
      </c>
      <c r="Q142" s="113">
        <v>16.404465453823907</v>
      </c>
      <c r="R142" s="113">
        <v>16.404465453823907</v>
      </c>
      <c r="S142" s="113">
        <v>16.404465453823907</v>
      </c>
      <c r="T142" s="113">
        <v>16.404465453823907</v>
      </c>
    </row>
    <row r="143" spans="1:20" x14ac:dyDescent="0.25">
      <c r="A143" s="104" t="s">
        <v>175</v>
      </c>
      <c r="B143" s="104">
        <v>0</v>
      </c>
      <c r="C143" s="104">
        <v>0</v>
      </c>
      <c r="D143" s="104">
        <v>0</v>
      </c>
      <c r="E143" s="104">
        <v>0</v>
      </c>
      <c r="F143" s="104">
        <v>0</v>
      </c>
      <c r="G143" s="104">
        <v>0</v>
      </c>
      <c r="H143" s="113">
        <v>10.650060435783004</v>
      </c>
      <c r="I143" s="113">
        <v>10.650060435783004</v>
      </c>
      <c r="J143" s="113">
        <v>21.851655391041891</v>
      </c>
      <c r="K143" s="113">
        <v>21.851655391041891</v>
      </c>
      <c r="L143" s="113">
        <v>21.851655391041891</v>
      </c>
      <c r="M143" s="113">
        <v>21.851655391041891</v>
      </c>
      <c r="N143" s="113">
        <v>21.851655391041891</v>
      </c>
      <c r="O143" s="113">
        <v>21.851655391041891</v>
      </c>
      <c r="P143" s="113">
        <v>21.851655391041891</v>
      </c>
      <c r="Q143" s="113">
        <v>21.851655391041891</v>
      </c>
      <c r="R143" s="113">
        <v>21.851655391041891</v>
      </c>
      <c r="S143" s="113">
        <v>21.851655391041891</v>
      </c>
      <c r="T143" s="113">
        <v>21.851655391041891</v>
      </c>
    </row>
    <row r="144" spans="1:20" x14ac:dyDescent="0.25">
      <c r="A144" s="114" t="s">
        <v>182</v>
      </c>
      <c r="B144" s="114">
        <v>0</v>
      </c>
      <c r="C144" s="115">
        <v>17.732044686079952</v>
      </c>
      <c r="D144" s="115">
        <v>18.180706871698742</v>
      </c>
      <c r="E144" s="115">
        <v>17.903225982917565</v>
      </c>
      <c r="F144" s="115">
        <v>41.432829200698983</v>
      </c>
      <c r="G144" s="115">
        <v>15.068743853127941</v>
      </c>
      <c r="H144" s="115">
        <v>7.1972888726510558</v>
      </c>
      <c r="I144" s="115">
        <v>8.3283028870252167</v>
      </c>
      <c r="J144" s="115">
        <v>5.9962627451359483</v>
      </c>
      <c r="K144" s="115">
        <v>7.8254618684831234</v>
      </c>
      <c r="L144" s="115">
        <v>7.2612405926012666</v>
      </c>
      <c r="M144" s="115">
        <v>7.7737543765418415</v>
      </c>
      <c r="N144" s="115">
        <v>7.5180859680319001</v>
      </c>
      <c r="O144" s="115">
        <v>6.8810600356683933</v>
      </c>
      <c r="P144" s="115">
        <v>5.5086605112675651</v>
      </c>
      <c r="Q144" s="115">
        <v>5.9911808618151765</v>
      </c>
      <c r="R144" s="115">
        <v>5.1805870665826914</v>
      </c>
      <c r="S144" s="115">
        <v>5.0162158274967039</v>
      </c>
      <c r="T144" s="115">
        <v>4.0529446473144191</v>
      </c>
    </row>
    <row r="145" spans="1:20" x14ac:dyDescent="0.25">
      <c r="A145" s="114" t="s">
        <v>183</v>
      </c>
      <c r="B145" s="114">
        <v>0</v>
      </c>
      <c r="C145" s="115">
        <v>0</v>
      </c>
      <c r="D145" s="115">
        <v>17.5</v>
      </c>
      <c r="E145" s="115">
        <v>17.5</v>
      </c>
      <c r="F145" s="115">
        <v>17.5</v>
      </c>
      <c r="G145" s="115">
        <v>17.5</v>
      </c>
      <c r="H145" s="115">
        <v>7.5</v>
      </c>
      <c r="I145" s="115">
        <v>7.5</v>
      </c>
      <c r="J145" s="115">
        <v>7.5</v>
      </c>
      <c r="K145" s="115">
        <v>7.5</v>
      </c>
      <c r="L145" s="115">
        <v>7.5</v>
      </c>
      <c r="M145" s="115">
        <v>7.5</v>
      </c>
      <c r="N145" s="115">
        <v>7.5</v>
      </c>
      <c r="O145" s="115">
        <v>7.5</v>
      </c>
      <c r="P145" s="115">
        <v>7.5</v>
      </c>
      <c r="Q145" s="115">
        <v>7.5</v>
      </c>
      <c r="R145" s="115">
        <v>7.5</v>
      </c>
      <c r="S145" s="115">
        <v>7.5</v>
      </c>
      <c r="T145" s="115">
        <v>7.5</v>
      </c>
    </row>
    <row r="146" spans="1:20" x14ac:dyDescent="0.25">
      <c r="A146" s="104" t="s">
        <v>176</v>
      </c>
      <c r="B146" s="104">
        <v>0</v>
      </c>
      <c r="C146" s="113">
        <v>0</v>
      </c>
      <c r="D146" s="113">
        <v>50.905979240756473</v>
      </c>
      <c r="E146" s="113">
        <v>157.54838864967459</v>
      </c>
      <c r="F146" s="113">
        <v>364.60889696615106</v>
      </c>
      <c r="G146" s="113">
        <v>132.60494590752589</v>
      </c>
      <c r="H146" s="113">
        <v>63.336142079329292</v>
      </c>
      <c r="I146" s="113">
        <v>75.954122329669971</v>
      </c>
      <c r="J146" s="113">
        <v>54.685916235639837</v>
      </c>
      <c r="K146" s="113">
        <v>71.368212240566095</v>
      </c>
      <c r="L146" s="113">
        <v>66.222514204523549</v>
      </c>
      <c r="M146" s="113">
        <v>70.896639914061609</v>
      </c>
      <c r="N146" s="113">
        <v>68.564944028450938</v>
      </c>
      <c r="O146" s="113">
        <v>62.75526752529575</v>
      </c>
      <c r="P146" s="113">
        <v>50.238983862760193</v>
      </c>
      <c r="Q146" s="113">
        <v>54.639569459754405</v>
      </c>
      <c r="R146" s="113">
        <v>47.246954047234148</v>
      </c>
      <c r="S146" s="113">
        <v>45.747888346769933</v>
      </c>
      <c r="T146" s="113">
        <v>36.9628551835075</v>
      </c>
    </row>
    <row r="147" spans="1:20" x14ac:dyDescent="0.25">
      <c r="A147" t="s">
        <v>46</v>
      </c>
      <c r="B147">
        <v>0</v>
      </c>
      <c r="C147" s="112">
        <v>17.732044686079952</v>
      </c>
      <c r="D147" s="112">
        <v>156.58668611245523</v>
      </c>
      <c r="E147" s="112">
        <v>262.95161463259217</v>
      </c>
      <c r="F147" s="112">
        <v>493.54172616685003</v>
      </c>
      <c r="G147" s="112">
        <v>235.17368976065382</v>
      </c>
      <c r="H147" s="112">
        <v>148.24146891835895</v>
      </c>
      <c r="I147" s="112">
        <v>170.84046318307378</v>
      </c>
      <c r="J147" s="112">
        <v>182.62649186813951</v>
      </c>
      <c r="K147" s="112">
        <v>206.93368699656295</v>
      </c>
      <c r="L147" s="112">
        <v>201.22376768463855</v>
      </c>
      <c r="M147" s="112">
        <v>235.47842726944768</v>
      </c>
      <c r="N147" s="112">
        <v>232.89106297532709</v>
      </c>
      <c r="O147" s="112">
        <v>226.44436053980837</v>
      </c>
      <c r="P147" s="112">
        <v>212.55567735287201</v>
      </c>
      <c r="Q147" s="112">
        <v>217.4387833004138</v>
      </c>
      <c r="R147" s="112">
        <v>209.23557409266107</v>
      </c>
      <c r="S147" s="112">
        <v>207.57213715311087</v>
      </c>
      <c r="T147" s="112">
        <v>197.82383280966616</v>
      </c>
    </row>
    <row r="149" spans="1:20" s="28" customFormat="1" x14ac:dyDescent="0.25">
      <c r="C149" s="112">
        <f>SUM(C141:C143)*1.02^(C139-2016)</f>
        <v>0</v>
      </c>
      <c r="D149" s="112">
        <f t="shared" ref="D149:T149" si="38">SUM(D141:D143)*1.02^(D139-2016)</f>
        <v>74.284559999999999</v>
      </c>
      <c r="E149" s="112">
        <f t="shared" si="38"/>
        <v>75.770251200000004</v>
      </c>
      <c r="F149" s="112">
        <f t="shared" si="38"/>
        <v>77.285656224000007</v>
      </c>
      <c r="G149" s="112">
        <f t="shared" si="38"/>
        <v>78.83136934848001</v>
      </c>
      <c r="H149" s="112">
        <f t="shared" si="38"/>
        <v>56.922573656546632</v>
      </c>
      <c r="I149" s="112">
        <f t="shared" si="38"/>
        <v>58.061025129677567</v>
      </c>
      <c r="J149" s="112">
        <f t="shared" si="38"/>
        <v>72.609188520018179</v>
      </c>
      <c r="K149" s="112">
        <f t="shared" si="38"/>
        <v>74.061372290418547</v>
      </c>
      <c r="L149" s="112">
        <f t="shared" si="38"/>
        <v>75.542599736226904</v>
      </c>
      <c r="M149" s="112">
        <f t="shared" si="38"/>
        <v>77.053451730951451</v>
      </c>
      <c r="N149" s="112">
        <f t="shared" si="38"/>
        <v>78.594520765570479</v>
      </c>
      <c r="O149" s="112">
        <f t="shared" si="38"/>
        <v>80.166411180881894</v>
      </c>
      <c r="P149" s="112">
        <f t="shared" si="38"/>
        <v>81.769739404499518</v>
      </c>
      <c r="Q149" s="112">
        <f t="shared" si="38"/>
        <v>83.405134192589514</v>
      </c>
      <c r="R149" s="112">
        <f t="shared" si="38"/>
        <v>85.073236876441314</v>
      </c>
      <c r="S149" s="112">
        <f t="shared" si="38"/>
        <v>86.774701613970123</v>
      </c>
      <c r="T149" s="112">
        <f t="shared" si="38"/>
        <v>88.510195646249528</v>
      </c>
    </row>
    <row r="150" spans="1:20" x14ac:dyDescent="0.25">
      <c r="A150" t="s">
        <v>184</v>
      </c>
      <c r="C150" s="112">
        <f>SUM(C141:C143,C146)*1.02^(C139-2016)</f>
        <v>0</v>
      </c>
      <c r="D150" s="112">
        <f t="shared" ref="D150:T150" si="39">SUM(D141:D143,D146)*1.02^(D139-2016)</f>
        <v>128.30639241812469</v>
      </c>
      <c r="E150" s="112">
        <f t="shared" si="39"/>
        <v>246.30569383058673</v>
      </c>
      <c r="F150" s="112">
        <f t="shared" si="39"/>
        <v>479.84334004025413</v>
      </c>
      <c r="G150" s="112">
        <f t="shared" si="39"/>
        <v>228.16607603807122</v>
      </c>
      <c r="H150" s="112">
        <f t="shared" si="39"/>
        <v>129.67589230727066</v>
      </c>
      <c r="I150" s="112">
        <f t="shared" si="39"/>
        <v>147.05338508302904</v>
      </c>
      <c r="J150" s="112">
        <f t="shared" si="39"/>
        <v>137.96392062153353</v>
      </c>
      <c r="K150" s="112">
        <f t="shared" si="39"/>
        <v>161.05882477667015</v>
      </c>
      <c r="L150" s="112">
        <f t="shared" si="39"/>
        <v>157.8819725354314</v>
      </c>
      <c r="M150" s="112">
        <f t="shared" si="39"/>
        <v>166.96753356401553</v>
      </c>
      <c r="N150" s="112">
        <f t="shared" si="39"/>
        <v>167.29058697746805</v>
      </c>
      <c r="O150" s="112">
        <f t="shared" si="39"/>
        <v>162.97065395083877</v>
      </c>
      <c r="P150" s="112">
        <f t="shared" si="39"/>
        <v>149.38479713496531</v>
      </c>
      <c r="Q150" s="112">
        <f t="shared" si="39"/>
        <v>158.41355407924593</v>
      </c>
      <c r="R150" s="112">
        <f t="shared" si="39"/>
        <v>151.2303788640597</v>
      </c>
      <c r="S150" s="112">
        <f t="shared" si="39"/>
        <v>152.1139514797826</v>
      </c>
      <c r="T150" s="112">
        <f t="shared" si="39"/>
        <v>142.35809604611029</v>
      </c>
    </row>
    <row r="152" spans="1:20" x14ac:dyDescent="0.25">
      <c r="A152" s="28" t="s">
        <v>185</v>
      </c>
      <c r="C152" s="19">
        <f>C150/OPO!F8*0.75</f>
        <v>0</v>
      </c>
      <c r="D152" s="19">
        <f>D149/OPO!G8*0.75</f>
        <v>0.3917962025316456</v>
      </c>
      <c r="E152" s="19">
        <f>E149/OPO!H8*0.75</f>
        <v>0.39963212658227854</v>
      </c>
      <c r="F152" s="19">
        <f>F149/OPO!I8*0.75</f>
        <v>0.4090631063373325</v>
      </c>
      <c r="G152" s="19">
        <f>G149/OPO!J8*0.75</f>
        <v>0.41753903256610175</v>
      </c>
      <c r="H152" s="19">
        <f>H149/OPO!K8*0.75</f>
        <v>0.30170975436332137</v>
      </c>
      <c r="I152" s="19">
        <f>I149/OPO!L8*0.75</f>
        <v>0.30730958960662086</v>
      </c>
      <c r="J152" s="19">
        <f>J149/OPO!M8*0.75</f>
        <v>0.38485435611317059</v>
      </c>
      <c r="K152" s="19">
        <f>K149/OPO!N8*0.75</f>
        <v>0.39338547604684071</v>
      </c>
      <c r="L152" s="19">
        <f>L149/OPO!O8*0.75</f>
        <v>0.40040247210014263</v>
      </c>
      <c r="M152" s="19">
        <f>M149/OPO!P8*0.75</f>
        <v>0.40668605769326949</v>
      </c>
      <c r="N152" s="19">
        <f>N149/OPO!Q8*0.75</f>
        <v>0.41394586077372086</v>
      </c>
      <c r="O152" s="19">
        <f>O149/OPO!R8*0.75</f>
        <v>0.42104207552984185</v>
      </c>
      <c r="P152" s="19">
        <f>P149/OPO!S8*0.75</f>
        <v>0.4279644421031028</v>
      </c>
      <c r="Q152" s="19">
        <f>Q149/OPO!T8*0.75</f>
        <v>0.43440174058640368</v>
      </c>
      <c r="R152" s="19">
        <f>R149/OPO!U8*0.75</f>
        <v>0.44003398384366199</v>
      </c>
      <c r="S152" s="19">
        <f>S149/OPO!V8*0.75</f>
        <v>0.44484638558084477</v>
      </c>
      <c r="T152" s="19">
        <f>T149/OPO!W8*0.75</f>
        <v>0.44913834055945295</v>
      </c>
    </row>
    <row r="163" spans="1:7" x14ac:dyDescent="0.25">
      <c r="A163" s="104" t="s">
        <v>187</v>
      </c>
      <c r="B163" s="104" t="s">
        <v>188</v>
      </c>
      <c r="C163" s="104"/>
      <c r="D163" s="104"/>
    </row>
    <row r="165" spans="1:7" x14ac:dyDescent="0.25">
      <c r="B165">
        <v>2017</v>
      </c>
      <c r="C165">
        <v>2018</v>
      </c>
      <c r="D165" s="28">
        <v>2019</v>
      </c>
      <c r="E165" s="28">
        <v>2020</v>
      </c>
      <c r="F165" s="28">
        <v>2021</v>
      </c>
      <c r="G165" s="28">
        <v>2022</v>
      </c>
    </row>
    <row r="166" spans="1:7" x14ac:dyDescent="0.25">
      <c r="A166" t="s">
        <v>190</v>
      </c>
      <c r="B166">
        <v>411</v>
      </c>
      <c r="C166">
        <v>440</v>
      </c>
      <c r="D166">
        <v>457</v>
      </c>
      <c r="E166">
        <v>473</v>
      </c>
      <c r="F166">
        <v>480</v>
      </c>
      <c r="G166">
        <v>487</v>
      </c>
    </row>
    <row r="167" spans="1:7" x14ac:dyDescent="0.25">
      <c r="A167" t="s">
        <v>189</v>
      </c>
      <c r="B167" s="19">
        <f>B166/OPO!E8*0.75</f>
        <v>2.157102869139258</v>
      </c>
      <c r="C167" s="19">
        <f>C166/OPO!F8*0.75</f>
        <v>2.3125437981779959</v>
      </c>
      <c r="D167" s="19">
        <f>D166/OPO!G8*0.75</f>
        <v>2.4103375527426163</v>
      </c>
      <c r="E167" s="19">
        <f>E166/OPO!H8*0.75</f>
        <v>2.4947257383966246</v>
      </c>
      <c r="F167" s="19">
        <f>F166/OPO!I8*0.75</f>
        <v>2.5405786873676783</v>
      </c>
      <c r="G167" s="19">
        <f>G166/OPO!J8*0.75</f>
        <v>2.5794491525423728</v>
      </c>
    </row>
    <row r="168" spans="1:7" s="28" customFormat="1" x14ac:dyDescent="0.25">
      <c r="A168" s="28" t="s">
        <v>191</v>
      </c>
      <c r="B168" s="19">
        <f>B166/OPO!E8</f>
        <v>2.8761371588523441</v>
      </c>
      <c r="C168" s="19">
        <f>C166/OPO!F8</f>
        <v>3.0833917309039944</v>
      </c>
      <c r="D168" s="19">
        <f>D166/OPO!G8</f>
        <v>3.2137834036568216</v>
      </c>
      <c r="E168" s="19">
        <f>E166/OPO!H8</f>
        <v>3.3263009845288329</v>
      </c>
      <c r="F168" s="19">
        <f>F166/OPO!I8</f>
        <v>3.3874382498235711</v>
      </c>
      <c r="G168" s="19">
        <f>G166/OPO!J8</f>
        <v>3.4392655367231639</v>
      </c>
    </row>
    <row r="170" spans="1:7" s="28" customFormat="1" x14ac:dyDescent="0.25">
      <c r="A170" s="28" t="s">
        <v>196</v>
      </c>
      <c r="B170" s="28">
        <v>2017</v>
      </c>
      <c r="C170" s="28">
        <v>2018</v>
      </c>
      <c r="D170" s="28">
        <v>2019</v>
      </c>
      <c r="E170" s="28">
        <v>2020</v>
      </c>
      <c r="F170" s="28">
        <v>2021</v>
      </c>
      <c r="G170" s="28">
        <v>2022</v>
      </c>
    </row>
    <row r="171" spans="1:7" s="28" customFormat="1" x14ac:dyDescent="0.25">
      <c r="B171" s="28">
        <v>50</v>
      </c>
      <c r="C171" s="28">
        <v>61</v>
      </c>
      <c r="D171" s="28">
        <v>67</v>
      </c>
      <c r="E171" s="28">
        <v>71</v>
      </c>
      <c r="F171" s="28">
        <v>71</v>
      </c>
      <c r="G171" s="28">
        <v>71</v>
      </c>
    </row>
    <row r="172" spans="1:7" s="28" customFormat="1" x14ac:dyDescent="0.25">
      <c r="B172" s="28" t="s">
        <v>197</v>
      </c>
      <c r="C172" s="28" t="s">
        <v>198</v>
      </c>
      <c r="D172" s="28" t="s">
        <v>199</v>
      </c>
      <c r="E172" s="28" t="s">
        <v>200</v>
      </c>
      <c r="F172" s="28" t="s">
        <v>201</v>
      </c>
    </row>
    <row r="173" spans="1:7" s="28" customFormat="1" x14ac:dyDescent="0.25">
      <c r="B173" s="28">
        <f>0.25*B171+C171*0.75</f>
        <v>58.25</v>
      </c>
      <c r="C173" s="28">
        <f t="shared" ref="C173:F173" si="40">0.25*C171+D171*0.75</f>
        <v>65.5</v>
      </c>
      <c r="D173" s="28">
        <f t="shared" si="40"/>
        <v>70</v>
      </c>
      <c r="E173" s="28">
        <f t="shared" si="40"/>
        <v>71</v>
      </c>
      <c r="F173" s="28">
        <f t="shared" si="40"/>
        <v>71</v>
      </c>
    </row>
    <row r="174" spans="1:7" s="28" customFormat="1" x14ac:dyDescent="0.25"/>
    <row r="175" spans="1:7" s="28" customFormat="1" x14ac:dyDescent="0.25"/>
    <row r="176" spans="1:7" x14ac:dyDescent="0.25">
      <c r="A176" s="28"/>
    </row>
    <row r="177" spans="1:7" x14ac:dyDescent="0.25">
      <c r="A177" s="116" t="s">
        <v>193</v>
      </c>
      <c r="B177" s="116"/>
      <c r="C177" s="116"/>
      <c r="D177" s="116"/>
    </row>
    <row r="178" spans="1:7" x14ac:dyDescent="0.25">
      <c r="B178">
        <v>2017</v>
      </c>
      <c r="C178">
        <v>2018</v>
      </c>
      <c r="D178" s="28">
        <v>2019</v>
      </c>
      <c r="E178" s="28">
        <v>2020</v>
      </c>
      <c r="F178" s="28">
        <v>2021</v>
      </c>
      <c r="G178" s="28">
        <v>2022</v>
      </c>
    </row>
    <row r="179" spans="1:7" x14ac:dyDescent="0.25">
      <c r="B179">
        <v>30</v>
      </c>
      <c r="C179" s="28">
        <v>30</v>
      </c>
      <c r="D179" s="28">
        <v>30</v>
      </c>
      <c r="E179" s="28">
        <v>30</v>
      </c>
      <c r="F179" s="28">
        <v>30</v>
      </c>
      <c r="G179" s="28">
        <v>30</v>
      </c>
    </row>
    <row r="180" spans="1:7" x14ac:dyDescent="0.25">
      <c r="A180" s="28" t="s">
        <v>189</v>
      </c>
      <c r="B180" s="19">
        <f>B179/OPO!E8*88/82*0.75</f>
        <v>0.16897369813446211</v>
      </c>
      <c r="C180" s="19">
        <f>C179/OPO!F8*88/82*0.75</f>
        <v>0.16921052181790214</v>
      </c>
      <c r="D180" s="19">
        <f>D179/OPO!G8*88/82*0.75</f>
        <v>0.16980549552330965</v>
      </c>
      <c r="E180" s="19">
        <f>E179/OPO!H8*88/82*0.75</f>
        <v>0.16980549552330965</v>
      </c>
      <c r="F180" s="19">
        <f>F179/OPO!I8*88/82*0.75</f>
        <v>0.17040466805514914</v>
      </c>
      <c r="G180" s="19">
        <f>G179/OPO!J8*88/82*0.75</f>
        <v>0.17052501033484913</v>
      </c>
    </row>
    <row r="181" spans="1:7" x14ac:dyDescent="0.25">
      <c r="A181" s="28" t="s">
        <v>191</v>
      </c>
      <c r="B181" s="19">
        <f>B179/OPO!E8*12/18</f>
        <v>0.13995801259622112</v>
      </c>
      <c r="C181" s="19">
        <f>C179/OPO!F8*12/18</f>
        <v>0.14015416958654522</v>
      </c>
      <c r="D181" s="19">
        <f>D179/OPO!G8*12/18</f>
        <v>0.14064697609001409</v>
      </c>
      <c r="E181" s="19">
        <f>E179/OPO!H8*12/18</f>
        <v>0.14064697609001409</v>
      </c>
      <c r="F181" s="19">
        <f>F179/OPO!I8*12/18</f>
        <v>0.14114326040931546</v>
      </c>
      <c r="G181" s="19">
        <f>G179/OPO!J8*12/18</f>
        <v>0.14124293785310738</v>
      </c>
    </row>
    <row r="184" spans="1:7" x14ac:dyDescent="0.25">
      <c r="A184" s="117" t="s">
        <v>194</v>
      </c>
      <c r="B184" s="117" t="s">
        <v>195</v>
      </c>
      <c r="C184" s="117"/>
      <c r="D184" s="117"/>
    </row>
    <row r="185" spans="1:7" x14ac:dyDescent="0.25">
      <c r="B185" s="28">
        <v>2017</v>
      </c>
      <c r="C185" s="28">
        <v>2018</v>
      </c>
      <c r="D185" s="28">
        <v>2019</v>
      </c>
      <c r="E185" s="28">
        <v>2020</v>
      </c>
      <c r="F185" s="28">
        <v>2021</v>
      </c>
      <c r="G185" s="28">
        <v>2022</v>
      </c>
    </row>
    <row r="186" spans="1:7" x14ac:dyDescent="0.25">
      <c r="B186">
        <v>381</v>
      </c>
      <c r="C186" s="28">
        <v>381</v>
      </c>
      <c r="D186" s="28">
        <v>381</v>
      </c>
      <c r="E186" s="28">
        <v>381</v>
      </c>
      <c r="F186" s="28">
        <v>381</v>
      </c>
      <c r="G186" s="28">
        <v>381</v>
      </c>
    </row>
    <row r="187" spans="1:7" x14ac:dyDescent="0.25">
      <c r="A187" s="28" t="s">
        <v>189</v>
      </c>
      <c r="B187" s="19">
        <f>B186/OPO!E8*88/82*0.75</f>
        <v>2.1459659663076689</v>
      </c>
      <c r="C187" s="19">
        <f>C186/OPO!F8*88/82*0.75</f>
        <v>2.1489736270873574</v>
      </c>
      <c r="D187" s="19">
        <f>D186/OPO!G8*88/82*0.75</f>
        <v>2.1565297931460332</v>
      </c>
      <c r="E187" s="19">
        <f>E186/OPO!H8*88/82*0.75</f>
        <v>2.1565297931460332</v>
      </c>
      <c r="F187" s="19">
        <f>F186/OPO!I8*88/82*0.75</f>
        <v>2.1641392843003944</v>
      </c>
      <c r="G187" s="19">
        <f>G186/OPO!J8*88/82*0.75</f>
        <v>2.165667631252584</v>
      </c>
    </row>
    <row r="188" spans="1:7" x14ac:dyDescent="0.25">
      <c r="A188" s="28" t="s">
        <v>191</v>
      </c>
      <c r="B188" s="19">
        <f>B186/OPO!E8*12/18</f>
        <v>1.7774667599720084</v>
      </c>
      <c r="C188" s="19">
        <f>C186/OPO!F8*12/18</f>
        <v>1.7799579537491244</v>
      </c>
      <c r="D188" s="19">
        <f>D186/OPO!G8*12/18</f>
        <v>1.7862165963431791</v>
      </c>
      <c r="E188" s="19">
        <f>E186/OPO!H8*12/18</f>
        <v>1.7862165963431791</v>
      </c>
      <c r="F188" s="19">
        <f>F186/OPO!I8*12/18</f>
        <v>1.7925194071983066</v>
      </c>
      <c r="G188" s="19">
        <f>G186/OPO!J8*12/18</f>
        <v>1.7937853107344632</v>
      </c>
    </row>
    <row r="190" spans="1:7" x14ac:dyDescent="0.25">
      <c r="A190" s="118" t="s">
        <v>204</v>
      </c>
      <c r="B190" s="118" t="s">
        <v>205</v>
      </c>
      <c r="C190" s="118"/>
      <c r="D190" s="118"/>
      <c r="E190" s="118"/>
      <c r="F190" s="118"/>
      <c r="G190" s="118"/>
    </row>
    <row r="192" spans="1:7" x14ac:dyDescent="0.25">
      <c r="A192" s="28" t="s">
        <v>203</v>
      </c>
      <c r="B192" s="28">
        <v>-126.6</v>
      </c>
      <c r="C192" s="28">
        <v>-157.69999999999999</v>
      </c>
      <c r="D192" s="28">
        <v>-190</v>
      </c>
      <c r="E192" s="28">
        <v>-215.5</v>
      </c>
      <c r="F192" s="28">
        <v>-237.1</v>
      </c>
      <c r="G192" s="28">
        <v>-218.5</v>
      </c>
    </row>
    <row r="193" spans="1:7" x14ac:dyDescent="0.25">
      <c r="A193" t="s">
        <v>206</v>
      </c>
      <c r="B193" s="19">
        <f>B192/OPO!E8*88/82*0.75</f>
        <v>-0.71306900612742996</v>
      </c>
      <c r="C193" s="19">
        <f>C192/OPO!F8*88/82*0.75</f>
        <v>-0.88948330968943901</v>
      </c>
      <c r="D193" s="19">
        <f>D192/OPO!G8*88/82*0.75</f>
        <v>-1.075434804980961</v>
      </c>
      <c r="E193" s="19">
        <f>E192/OPO!H8*88/82*0.75</f>
        <v>-1.2197694761757745</v>
      </c>
      <c r="F193" s="19">
        <f>F192/OPO!I8*88/82*0.75</f>
        <v>-1.3467648931958622</v>
      </c>
      <c r="G193" s="19">
        <f>G192/OPO!J8*88/82*0.75</f>
        <v>-1.2419904919388176</v>
      </c>
    </row>
    <row r="194" spans="1:7" x14ac:dyDescent="0.25">
      <c r="A194" t="s">
        <v>207</v>
      </c>
      <c r="B194" s="119">
        <f>B192/OPO!E8*12/18</f>
        <v>-0.59062281315605314</v>
      </c>
      <c r="C194" s="119">
        <f>C192/OPO!F8*12/18</f>
        <v>-0.73674375145993931</v>
      </c>
      <c r="D194" s="119">
        <f>D192/OPO!G8*12/18</f>
        <v>-0.89076418190342244</v>
      </c>
      <c r="E194" s="119">
        <f>E192/OPO!H8*12/18</f>
        <v>-1.0103141115799346</v>
      </c>
      <c r="F194" s="119">
        <f>F192/OPO!I8*12/18</f>
        <v>-1.1155022347682899</v>
      </c>
      <c r="G194" s="119">
        <f>G192/OPO!J8*12/18</f>
        <v>-1.0287193973634652</v>
      </c>
    </row>
    <row r="197" spans="1:7" x14ac:dyDescent="0.25">
      <c r="A197" s="125" t="s">
        <v>75</v>
      </c>
      <c r="B197" s="126"/>
      <c r="C197" s="126"/>
      <c r="D197" s="126" t="s">
        <v>218</v>
      </c>
      <c r="E197" s="126"/>
      <c r="F197" s="126"/>
      <c r="G197" s="126"/>
    </row>
    <row r="198" spans="1:7" x14ac:dyDescent="0.25">
      <c r="A198" s="45" t="s">
        <v>74</v>
      </c>
      <c r="B198" s="50"/>
      <c r="C198" s="50"/>
      <c r="D198" s="50"/>
      <c r="E198" s="50"/>
      <c r="F198" s="50"/>
      <c r="G198" s="50"/>
    </row>
    <row r="199" spans="1:7" x14ac:dyDescent="0.25">
      <c r="A199" s="49"/>
      <c r="B199" s="48">
        <v>2016</v>
      </c>
      <c r="C199" s="48">
        <v>2017</v>
      </c>
      <c r="D199" s="48">
        <v>2018</v>
      </c>
      <c r="E199" s="48">
        <v>2019</v>
      </c>
      <c r="F199" s="48">
        <v>2020</v>
      </c>
      <c r="G199" s="120">
        <v>2021</v>
      </c>
    </row>
    <row r="200" spans="1:7" x14ac:dyDescent="0.25">
      <c r="A200" s="45" t="s">
        <v>73</v>
      </c>
      <c r="B200" s="46">
        <v>457</v>
      </c>
      <c r="C200" s="46">
        <v>540</v>
      </c>
      <c r="D200" s="46">
        <v>587.5</v>
      </c>
      <c r="E200" s="46">
        <v>458.5</v>
      </c>
      <c r="F200" s="46">
        <v>477.5</v>
      </c>
      <c r="G200" s="46">
        <v>385</v>
      </c>
    </row>
    <row r="201" spans="1:7" x14ac:dyDescent="0.25">
      <c r="A201" s="45" t="s">
        <v>72</v>
      </c>
      <c r="B201" s="37">
        <v>41</v>
      </c>
      <c r="C201" s="37">
        <v>55</v>
      </c>
      <c r="D201" s="37">
        <v>56</v>
      </c>
      <c r="E201" s="37">
        <v>59</v>
      </c>
      <c r="F201" s="37">
        <v>59</v>
      </c>
      <c r="G201" s="37">
        <v>59</v>
      </c>
    </row>
    <row r="202" spans="1:7" x14ac:dyDescent="0.25">
      <c r="A202" s="45" t="s">
        <v>208</v>
      </c>
      <c r="B202" s="44">
        <v>9.5</v>
      </c>
      <c r="C202" s="44">
        <v>9.5</v>
      </c>
      <c r="D202" s="44">
        <v>9.5</v>
      </c>
      <c r="E202" s="44">
        <v>9.5</v>
      </c>
      <c r="F202" s="44">
        <v>9.5</v>
      </c>
      <c r="G202" s="44">
        <v>9.5</v>
      </c>
    </row>
    <row r="203" spans="1:7" x14ac:dyDescent="0.25">
      <c r="A203" s="43" t="s">
        <v>209</v>
      </c>
      <c r="B203" s="121">
        <v>507.5</v>
      </c>
      <c r="C203" s="121">
        <v>604.5</v>
      </c>
      <c r="D203" s="121">
        <v>653</v>
      </c>
      <c r="E203" s="121">
        <v>527</v>
      </c>
      <c r="F203" s="121">
        <v>546</v>
      </c>
      <c r="G203" s="121">
        <v>453.5</v>
      </c>
    </row>
    <row r="204" spans="1:7" x14ac:dyDescent="0.25">
      <c r="A204" s="122" t="s">
        <v>210</v>
      </c>
      <c r="B204" s="123">
        <v>508</v>
      </c>
      <c r="C204" s="123">
        <v>616.59</v>
      </c>
      <c r="D204" s="123">
        <v>679.38120000000004</v>
      </c>
      <c r="E204" s="123">
        <v>559.25661600000001</v>
      </c>
      <c r="F204" s="123">
        <v>591.00795935999997</v>
      </c>
      <c r="G204" s="123">
        <v>500.7006442512</v>
      </c>
    </row>
    <row r="205" spans="1:7" x14ac:dyDescent="0.25">
      <c r="A205" s="43" t="s">
        <v>206</v>
      </c>
      <c r="B205" s="28"/>
      <c r="C205" s="19">
        <f>C204/OPO!E8*88/82*0.75</f>
        <v>3.4729164177575993</v>
      </c>
      <c r="D205" s="19">
        <f>D204/OPO!F8*88/82*0.75</f>
        <v>3.8319482455090856</v>
      </c>
      <c r="E205" s="19">
        <f>E204/OPO!G8*88/82*0.75</f>
        <v>3.1654948934856444</v>
      </c>
      <c r="F205" s="19">
        <f>F204/OPO!H8*88/82*0.75</f>
        <v>3.3452133132448294</v>
      </c>
      <c r="G205" s="19">
        <f>G204/OPO!I8*88/82*0.75</f>
        <v>2.8440575692875023</v>
      </c>
    </row>
    <row r="206" spans="1:7" x14ac:dyDescent="0.25">
      <c r="A206" s="43" t="s">
        <v>207</v>
      </c>
      <c r="B206" s="28"/>
      <c r="C206" s="19">
        <f>C204/OPO!E8*12/18</f>
        <v>2.8765570328901324</v>
      </c>
      <c r="D206" s="19">
        <f>D204/OPO!F8*12/18</f>
        <v>3.1739369306236864</v>
      </c>
      <c r="E206" s="19">
        <f>E204/OPO!G8*12/18</f>
        <v>2.6219250632911395</v>
      </c>
      <c r="F206" s="19">
        <f>F204/OPO!H8*12/18</f>
        <v>2.7707827443037978</v>
      </c>
      <c r="G206" s="19">
        <f>G204/OPO!I8*12/18</f>
        <v>2.3556840472886384</v>
      </c>
    </row>
    <row r="207" spans="1:7" x14ac:dyDescent="0.25">
      <c r="A207" s="28"/>
      <c r="B207" s="136" t="s">
        <v>211</v>
      </c>
      <c r="C207" s="136"/>
      <c r="D207" s="136"/>
      <c r="E207" s="136"/>
      <c r="F207" s="136"/>
      <c r="G207" s="136"/>
    </row>
    <row r="208" spans="1:7" x14ac:dyDescent="0.25">
      <c r="A208" s="43"/>
      <c r="B208" s="124" t="s">
        <v>212</v>
      </c>
      <c r="C208" s="124" t="s">
        <v>213</v>
      </c>
      <c r="D208" s="124" t="s">
        <v>214</v>
      </c>
      <c r="E208" s="124" t="s">
        <v>215</v>
      </c>
      <c r="F208" s="124" t="s">
        <v>216</v>
      </c>
      <c r="G208" s="28"/>
    </row>
    <row r="209" spans="1:35" x14ac:dyDescent="0.25">
      <c r="A209" s="122" t="s">
        <v>210</v>
      </c>
      <c r="B209" s="54">
        <v>154.14750000000001</v>
      </c>
      <c r="C209" s="54">
        <v>632.28780000000006</v>
      </c>
      <c r="D209" s="54">
        <v>649.350054</v>
      </c>
      <c r="E209" s="54">
        <v>567.19445183999994</v>
      </c>
      <c r="F209" s="54">
        <v>568.43113058280005</v>
      </c>
      <c r="G209" s="28"/>
    </row>
    <row r="210" spans="1:35" x14ac:dyDescent="0.25">
      <c r="A210" s="28"/>
      <c r="B210" s="28"/>
      <c r="C210" s="28"/>
      <c r="D210" s="28"/>
      <c r="E210" s="28"/>
      <c r="F210" s="28"/>
      <c r="G210" s="28"/>
    </row>
    <row r="211" spans="1:35" x14ac:dyDescent="0.25">
      <c r="A211" s="28"/>
      <c r="B211" s="28"/>
      <c r="C211" s="28"/>
      <c r="D211" s="28"/>
      <c r="E211" s="28"/>
      <c r="F211" s="28"/>
      <c r="G211" s="28"/>
    </row>
    <row r="212" spans="1:35" x14ac:dyDescent="0.25">
      <c r="A212" s="43"/>
      <c r="B212" s="28"/>
      <c r="C212" s="28"/>
      <c r="D212" s="28"/>
      <c r="E212" s="28"/>
      <c r="F212" s="28"/>
      <c r="G212" s="28"/>
    </row>
    <row r="213" spans="1:35" x14ac:dyDescent="0.25">
      <c r="A213" s="28"/>
      <c r="B213" s="28" t="s">
        <v>217</v>
      </c>
      <c r="C213" s="28"/>
      <c r="D213" s="28"/>
      <c r="E213" s="28"/>
      <c r="F213" s="28"/>
      <c r="G213" s="28"/>
    </row>
    <row r="217" spans="1:35" x14ac:dyDescent="0.25">
      <c r="J217" s="28">
        <f t="shared" ref="J217:T217" si="41">(J220-I220)/I220</f>
        <v>-1.4114326040930744E-3</v>
      </c>
      <c r="K217" s="28">
        <f t="shared" si="41"/>
        <v>-2.1201413427562642E-3</v>
      </c>
      <c r="L217" s="28">
        <f t="shared" si="41"/>
        <v>2.1246458923513557E-3</v>
      </c>
      <c r="M217" s="28">
        <f t="shared" si="41"/>
        <v>4.2402826855123272E-3</v>
      </c>
      <c r="N217" s="28">
        <f t="shared" si="41"/>
        <v>2.1111893033076098E-3</v>
      </c>
      <c r="O217" s="28">
        <f t="shared" si="41"/>
        <v>2.8089887640449836E-3</v>
      </c>
      <c r="P217" s="28">
        <f t="shared" si="41"/>
        <v>3.5014005602240893E-3</v>
      </c>
      <c r="Q217" s="28">
        <f t="shared" si="41"/>
        <v>4.8848569434751469E-3</v>
      </c>
      <c r="R217" s="28">
        <f t="shared" si="41"/>
        <v>6.9444444444444441E-3</v>
      </c>
      <c r="S217" s="28">
        <f t="shared" si="41"/>
        <v>8.9655172413793879E-3</v>
      </c>
      <c r="T217">
        <f t="shared" si="41"/>
        <v>1.0252904989747093E-2</v>
      </c>
    </row>
    <row r="218" spans="1:35" x14ac:dyDescent="0.25">
      <c r="A218" s="129"/>
      <c r="B218" s="130">
        <v>2017</v>
      </c>
      <c r="C218" s="130">
        <v>2018</v>
      </c>
      <c r="D218" s="130">
        <v>2019</v>
      </c>
      <c r="E218" s="130">
        <v>2020</v>
      </c>
      <c r="F218" s="130">
        <v>2021</v>
      </c>
      <c r="G218" s="130">
        <v>2022</v>
      </c>
      <c r="H218" s="130">
        <v>2023</v>
      </c>
      <c r="I218" s="130">
        <v>2024</v>
      </c>
      <c r="J218" s="130">
        <v>2025</v>
      </c>
      <c r="K218" s="130">
        <v>2026</v>
      </c>
      <c r="L218" s="130">
        <v>2027</v>
      </c>
      <c r="M218" s="130">
        <v>2028</v>
      </c>
      <c r="N218" s="130">
        <v>2029</v>
      </c>
      <c r="O218" s="130">
        <v>2030</v>
      </c>
      <c r="P218" s="130">
        <v>2031</v>
      </c>
      <c r="Q218" s="130">
        <v>2032</v>
      </c>
      <c r="R218" s="130">
        <v>2033</v>
      </c>
      <c r="S218" s="130">
        <v>2034</v>
      </c>
      <c r="T218" s="130">
        <v>2035</v>
      </c>
      <c r="U218" s="130">
        <v>2036</v>
      </c>
      <c r="V218" s="130">
        <v>2037</v>
      </c>
      <c r="W218" s="130">
        <v>2038</v>
      </c>
      <c r="X218" s="130">
        <v>2039</v>
      </c>
      <c r="Y218" s="130">
        <v>2040</v>
      </c>
      <c r="Z218" s="130">
        <v>2041</v>
      </c>
      <c r="AA218" s="130">
        <v>2042</v>
      </c>
      <c r="AB218" s="130">
        <v>2043</v>
      </c>
      <c r="AC218" s="130">
        <v>2044</v>
      </c>
      <c r="AD218" s="130">
        <v>2045</v>
      </c>
      <c r="AE218" s="130">
        <v>2046</v>
      </c>
      <c r="AF218" s="130">
        <v>2047</v>
      </c>
      <c r="AG218" s="130">
        <v>2048</v>
      </c>
      <c r="AH218" s="130">
        <v>2049</v>
      </c>
      <c r="AI218" s="130">
        <v>2050</v>
      </c>
    </row>
    <row r="219" spans="1:35" s="28" customFormat="1" hidden="1" x14ac:dyDescent="0.25">
      <c r="A219" s="129" t="s">
        <v>221</v>
      </c>
      <c r="B219" s="130">
        <v>-436</v>
      </c>
      <c r="C219" s="130">
        <v>-423</v>
      </c>
      <c r="D219" s="130">
        <v>-411</v>
      </c>
      <c r="E219" s="130">
        <v>-398</v>
      </c>
      <c r="F219" s="130">
        <v>-384</v>
      </c>
      <c r="G219" s="130">
        <v>-371</v>
      </c>
      <c r="H219" s="130">
        <v>-357</v>
      </c>
      <c r="I219" s="130">
        <v>-343</v>
      </c>
      <c r="J219" s="130">
        <v>-290</v>
      </c>
      <c r="K219" s="130">
        <v>-244</v>
      </c>
      <c r="L219" s="130">
        <v>-223</v>
      </c>
      <c r="M219" s="130">
        <v>-209</v>
      </c>
      <c r="N219" s="130">
        <v>-111</v>
      </c>
      <c r="O219" s="130">
        <v>201</v>
      </c>
      <c r="P219" s="130">
        <v>362</v>
      </c>
      <c r="Q219" s="130">
        <v>388</v>
      </c>
      <c r="R219" s="130">
        <v>457</v>
      </c>
      <c r="S219" s="130">
        <v>475</v>
      </c>
      <c r="T219" s="130">
        <v>477</v>
      </c>
      <c r="U219" s="135">
        <v>474</v>
      </c>
      <c r="V219" s="135">
        <v>481</v>
      </c>
      <c r="W219" s="135">
        <v>531</v>
      </c>
      <c r="X219" s="135">
        <v>613</v>
      </c>
      <c r="Y219" s="135">
        <v>380</v>
      </c>
      <c r="Z219" s="135">
        <v>283</v>
      </c>
      <c r="AA219" s="135">
        <v>274</v>
      </c>
      <c r="AB219" s="135">
        <v>226</v>
      </c>
      <c r="AC219" s="135">
        <v>223</v>
      </c>
      <c r="AD219" s="135">
        <v>212</v>
      </c>
      <c r="AE219" s="135">
        <v>209</v>
      </c>
      <c r="AF219" s="135">
        <v>212</v>
      </c>
      <c r="AG219" s="135">
        <v>175</v>
      </c>
      <c r="AH219" s="135">
        <v>29</v>
      </c>
      <c r="AI219" s="135">
        <v>26</v>
      </c>
    </row>
    <row r="220" spans="1:35" s="28" customFormat="1" ht="15.75" x14ac:dyDescent="0.25">
      <c r="A220" s="131" t="s">
        <v>220</v>
      </c>
      <c r="B220" s="132">
        <v>142.9</v>
      </c>
      <c r="C220" s="132">
        <v>142.69999999999999</v>
      </c>
      <c r="D220" s="132">
        <v>142.19999999999999</v>
      </c>
      <c r="E220" s="132">
        <v>142.19999999999999</v>
      </c>
      <c r="F220" s="132">
        <v>141.69999999999999</v>
      </c>
      <c r="G220" s="132">
        <v>141.6</v>
      </c>
      <c r="H220" s="132">
        <v>141.5</v>
      </c>
      <c r="I220" s="132">
        <v>141.69999999999999</v>
      </c>
      <c r="J220" s="132">
        <v>141.5</v>
      </c>
      <c r="K220" s="132">
        <v>141.19999999999999</v>
      </c>
      <c r="L220" s="132">
        <v>141.5</v>
      </c>
      <c r="M220" s="132">
        <v>142.1</v>
      </c>
      <c r="N220" s="132">
        <v>142.4</v>
      </c>
      <c r="O220" s="132">
        <v>142.80000000000001</v>
      </c>
      <c r="P220" s="132">
        <v>143.30000000000001</v>
      </c>
      <c r="Q220" s="132">
        <v>144</v>
      </c>
      <c r="R220" s="132">
        <v>145</v>
      </c>
      <c r="S220" s="132">
        <v>146.30000000000001</v>
      </c>
      <c r="T220" s="132">
        <v>147.80000000000001</v>
      </c>
      <c r="U220" s="133">
        <f>T220*1.005</f>
        <v>148.53899999999999</v>
      </c>
      <c r="V220" s="133">
        <f t="shared" ref="V220:AI220" si="42">U220*1.005</f>
        <v>149.28169499999998</v>
      </c>
      <c r="W220" s="133">
        <f t="shared" si="42"/>
        <v>150.02810347499997</v>
      </c>
      <c r="X220" s="133">
        <f t="shared" si="42"/>
        <v>150.77824399237494</v>
      </c>
      <c r="Y220" s="133">
        <f t="shared" si="42"/>
        <v>151.53213521233681</v>
      </c>
      <c r="Z220" s="133">
        <f t="shared" si="42"/>
        <v>152.28979588839849</v>
      </c>
      <c r="AA220" s="133">
        <f t="shared" si="42"/>
        <v>153.05124486784047</v>
      </c>
      <c r="AB220" s="133">
        <f t="shared" si="42"/>
        <v>153.81650109217966</v>
      </c>
      <c r="AC220" s="133">
        <f t="shared" si="42"/>
        <v>154.58558359764055</v>
      </c>
      <c r="AD220" s="133">
        <f t="shared" si="42"/>
        <v>155.35851151562875</v>
      </c>
      <c r="AE220" s="133">
        <f t="shared" si="42"/>
        <v>156.13530407320687</v>
      </c>
      <c r="AF220" s="133">
        <f t="shared" si="42"/>
        <v>156.9159805935729</v>
      </c>
      <c r="AG220" s="133">
        <f t="shared" si="42"/>
        <v>157.70056049654073</v>
      </c>
      <c r="AH220" s="133">
        <f t="shared" si="42"/>
        <v>158.48906329902343</v>
      </c>
      <c r="AI220" s="133">
        <f t="shared" si="42"/>
        <v>159.28150861551853</v>
      </c>
    </row>
    <row r="221" spans="1:35" ht="15.75" x14ac:dyDescent="0.25">
      <c r="A221" s="131" t="s">
        <v>222</v>
      </c>
      <c r="B221" s="134">
        <f>(B219*0.88)/(B220*0.82)*0.75</f>
        <v>-2.4557510795541826</v>
      </c>
      <c r="C221" s="134">
        <f t="shared" ref="C221:AI221" si="43">(C219*0.88)/(C220*0.82)*0.75</f>
        <v>-2.3858683576324204</v>
      </c>
      <c r="D221" s="134">
        <f t="shared" si="43"/>
        <v>-2.3263352886693425</v>
      </c>
      <c r="E221" s="134">
        <f t="shared" si="43"/>
        <v>-2.2527529072759087</v>
      </c>
      <c r="F221" s="134">
        <f t="shared" si="43"/>
        <v>-2.1811797511059092</v>
      </c>
      <c r="G221" s="134">
        <f t="shared" si="43"/>
        <v>-2.1088259611409677</v>
      </c>
      <c r="H221" s="134">
        <f t="shared" si="43"/>
        <v>-2.0306817202447647</v>
      </c>
      <c r="I221" s="134">
        <f t="shared" si="43"/>
        <v>-1.9482933714305386</v>
      </c>
      <c r="J221" s="134">
        <f t="shared" si="43"/>
        <v>-1.649573386193226</v>
      </c>
      <c r="K221" s="134">
        <f t="shared" si="43"/>
        <v>-1.3908657500172739</v>
      </c>
      <c r="L221" s="134">
        <f t="shared" si="43"/>
        <v>-1.2684650521416878</v>
      </c>
      <c r="M221" s="134">
        <f t="shared" si="43"/>
        <v>-1.1838107825131736</v>
      </c>
      <c r="N221" s="134">
        <f t="shared" si="43"/>
        <v>-0.62739791723759941</v>
      </c>
      <c r="O221" s="134">
        <f t="shared" si="43"/>
        <v>1.1329165812666531</v>
      </c>
      <c r="P221" s="134">
        <f t="shared" si="43"/>
        <v>2.0332578761935562</v>
      </c>
      <c r="Q221" s="134">
        <f t="shared" si="43"/>
        <v>2.1686991869918697</v>
      </c>
      <c r="R221" s="134">
        <f t="shared" si="43"/>
        <v>2.5367535744322964</v>
      </c>
      <c r="S221" s="134">
        <f t="shared" si="43"/>
        <v>2.6132404181184667</v>
      </c>
      <c r="T221" s="134">
        <f t="shared" si="43"/>
        <v>2.5976104821941317</v>
      </c>
      <c r="U221" s="134">
        <f t="shared" si="43"/>
        <v>2.5684311535822326</v>
      </c>
      <c r="V221" s="134">
        <f t="shared" si="43"/>
        <v>2.5933945984697906</v>
      </c>
      <c r="W221" s="134">
        <f t="shared" si="43"/>
        <v>2.8487345637456354</v>
      </c>
      <c r="X221" s="134">
        <f t="shared" si="43"/>
        <v>3.2722906888834076</v>
      </c>
      <c r="Y221" s="134">
        <f t="shared" si="43"/>
        <v>2.0184078981531082</v>
      </c>
      <c r="Z221" s="134">
        <f t="shared" si="43"/>
        <v>1.4957042031351917</v>
      </c>
      <c r="AA221" s="134">
        <f t="shared" si="43"/>
        <v>1.4409329735036569</v>
      </c>
      <c r="AB221" s="134">
        <f t="shared" si="43"/>
        <v>1.1825937902161689</v>
      </c>
      <c r="AC221" s="134">
        <f t="shared" si="43"/>
        <v>1.1610901916004304</v>
      </c>
      <c r="AD221" s="134">
        <f t="shared" si="43"/>
        <v>1.0983250590959608</v>
      </c>
      <c r="AE221" s="134">
        <f t="shared" si="43"/>
        <v>1.0773957446308824</v>
      </c>
      <c r="AF221" s="134">
        <f t="shared" si="43"/>
        <v>1.0874236371336954</v>
      </c>
      <c r="AG221" s="134">
        <f t="shared" si="43"/>
        <v>0.89317157842108674</v>
      </c>
      <c r="AH221" s="134">
        <f t="shared" si="43"/>
        <v>0.14727491556054878</v>
      </c>
      <c r="AI221" s="134">
        <f t="shared" si="43"/>
        <v>0.13138266613739127</v>
      </c>
    </row>
    <row r="222" spans="1:35" ht="15.75" x14ac:dyDescent="0.25">
      <c r="A222" s="38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</row>
    <row r="223" spans="1:35" ht="15.75" x14ac:dyDescent="0.25">
      <c r="A223" s="38"/>
      <c r="B223" s="42">
        <v>-436</v>
      </c>
      <c r="C223" s="42">
        <v>-410</v>
      </c>
      <c r="D223" s="42">
        <v>-384</v>
      </c>
      <c r="E223" s="42">
        <v>-358</v>
      </c>
      <c r="F223" s="42">
        <v>-332</v>
      </c>
      <c r="G223" s="42">
        <v>-305</v>
      </c>
      <c r="H223" s="42">
        <v>-278</v>
      </c>
      <c r="I223" s="42">
        <v>-251</v>
      </c>
      <c r="J223" s="42">
        <v>-185</v>
      </c>
      <c r="K223" s="42">
        <v>-128</v>
      </c>
      <c r="L223" s="42">
        <v>-96</v>
      </c>
      <c r="M223" s="42">
        <v>-71</v>
      </c>
      <c r="N223" s="42">
        <v>37</v>
      </c>
      <c r="O223" s="42">
        <v>357</v>
      </c>
      <c r="P223" s="42">
        <v>517</v>
      </c>
      <c r="Q223" s="42">
        <v>537</v>
      </c>
      <c r="R223" s="42">
        <v>598</v>
      </c>
      <c r="S223" s="42">
        <v>607</v>
      </c>
      <c r="T223" s="42">
        <v>599</v>
      </c>
      <c r="U223" s="28">
        <v>585</v>
      </c>
      <c r="V223" s="28">
        <v>581</v>
      </c>
      <c r="W223" s="28">
        <v>619</v>
      </c>
      <c r="X223" s="28">
        <v>688</v>
      </c>
      <c r="Y223" s="28">
        <v>439</v>
      </c>
      <c r="Z223" s="28">
        <v>332</v>
      </c>
      <c r="AA223" s="28">
        <v>316</v>
      </c>
      <c r="AB223" s="28">
        <v>261</v>
      </c>
      <c r="AC223" s="28">
        <v>253</v>
      </c>
      <c r="AD223" s="28">
        <v>236</v>
      </c>
      <c r="AE223" s="28">
        <v>227</v>
      </c>
      <c r="AF223" s="28">
        <v>225</v>
      </c>
      <c r="AG223" s="28">
        <v>182</v>
      </c>
      <c r="AH223" s="28">
        <v>31</v>
      </c>
      <c r="AI223" s="28">
        <v>27</v>
      </c>
    </row>
    <row r="224" spans="1:35" ht="15.75" x14ac:dyDescent="0.25">
      <c r="A224" s="131" t="s">
        <v>222</v>
      </c>
      <c r="B224" s="134">
        <f>(B223*0.88)/(B220*0.82)*0.75</f>
        <v>-2.4557510795541826</v>
      </c>
      <c r="C224" s="134">
        <f t="shared" ref="C224:AI224" si="44">(C223*0.88)/(C220*0.82)*0.75</f>
        <v>-2.3125437981779964</v>
      </c>
      <c r="D224" s="134">
        <f t="shared" si="44"/>
        <v>-2.1735103426983642</v>
      </c>
      <c r="E224" s="134">
        <f t="shared" si="44"/>
        <v>-2.0263455799114958</v>
      </c>
      <c r="F224" s="134">
        <f t="shared" si="44"/>
        <v>-1.8858116598103178</v>
      </c>
      <c r="G224" s="134">
        <f t="shared" si="44"/>
        <v>-1.7336709384042992</v>
      </c>
      <c r="H224" s="134">
        <f t="shared" si="44"/>
        <v>-1.5813151771093685</v>
      </c>
      <c r="I224" s="134">
        <f t="shared" si="44"/>
        <v>-1.4257190560614146</v>
      </c>
      <c r="J224" s="134">
        <f t="shared" si="44"/>
        <v>-1.052314056709472</v>
      </c>
      <c r="K224" s="134">
        <f t="shared" si="44"/>
        <v>-0.7296344918123403</v>
      </c>
      <c r="L224" s="134">
        <f t="shared" si="44"/>
        <v>-0.54606567267086104</v>
      </c>
      <c r="M224" s="134">
        <f t="shared" si="44"/>
        <v>-0.40215581606906853</v>
      </c>
      <c r="N224" s="134">
        <f t="shared" si="44"/>
        <v>0.20913263907919977</v>
      </c>
      <c r="O224" s="134">
        <f t="shared" si="44"/>
        <v>2.0121951219512195</v>
      </c>
      <c r="P224" s="134">
        <f t="shared" si="44"/>
        <v>2.9038517182101335</v>
      </c>
      <c r="Q224" s="134">
        <f t="shared" si="44"/>
        <v>3.0015243902439024</v>
      </c>
      <c r="R224" s="134">
        <f t="shared" si="44"/>
        <v>3.3194280908326328</v>
      </c>
      <c r="S224" s="134">
        <f t="shared" si="44"/>
        <v>3.3394461764166508</v>
      </c>
      <c r="T224" s="134">
        <f t="shared" si="44"/>
        <v>3.261988844516321</v>
      </c>
      <c r="U224" s="134">
        <f t="shared" si="44"/>
        <v>3.1698992085350337</v>
      </c>
      <c r="V224" s="134">
        <f t="shared" si="44"/>
        <v>3.1325618746589359</v>
      </c>
      <c r="W224" s="134">
        <f t="shared" si="44"/>
        <v>3.3208412334435935</v>
      </c>
      <c r="X224" s="134">
        <f t="shared" si="44"/>
        <v>3.6726525186815406</v>
      </c>
      <c r="Y224" s="134">
        <f t="shared" si="44"/>
        <v>2.3317922823400385</v>
      </c>
      <c r="Z224" s="134">
        <f t="shared" si="44"/>
        <v>1.7546777224059493</v>
      </c>
      <c r="AA224" s="134">
        <f t="shared" si="44"/>
        <v>1.6618059110480128</v>
      </c>
      <c r="AB224" s="134">
        <f t="shared" si="44"/>
        <v>1.3657388462230979</v>
      </c>
      <c r="AC224" s="134">
        <f t="shared" si="44"/>
        <v>1.317290665806766</v>
      </c>
      <c r="AD224" s="134">
        <f t="shared" si="44"/>
        <v>1.2226637450313524</v>
      </c>
      <c r="AE224" s="134">
        <f t="shared" si="44"/>
        <v>1.1701858087617718</v>
      </c>
      <c r="AF224" s="134">
        <f t="shared" si="44"/>
        <v>1.1541052752598184</v>
      </c>
      <c r="AG224" s="134">
        <f t="shared" si="44"/>
        <v>0.92889844155793022</v>
      </c>
      <c r="AH224" s="134">
        <f t="shared" si="44"/>
        <v>0.1574318062888625</v>
      </c>
      <c r="AI224" s="134">
        <f t="shared" si="44"/>
        <v>0.13643584560421404</v>
      </c>
    </row>
    <row r="225" spans="1:20" ht="15.75" x14ac:dyDescent="0.25">
      <c r="A225" s="38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</row>
    <row r="226" spans="1:20" ht="15.75" x14ac:dyDescent="0.25">
      <c r="A226" s="38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</row>
    <row r="227" spans="1:20" ht="15.75" x14ac:dyDescent="0.25">
      <c r="A227" s="38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</row>
    <row r="228" spans="1:20" ht="15.75" x14ac:dyDescent="0.25">
      <c r="A228" s="38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</row>
    <row r="229" spans="1:20" ht="15.75" x14ac:dyDescent="0.25">
      <c r="A229" s="38"/>
      <c r="B229" s="42">
        <v>162</v>
      </c>
      <c r="C229" s="42">
        <v>226</v>
      </c>
      <c r="D229" s="42">
        <v>279</v>
      </c>
      <c r="E229" s="42">
        <v>322</v>
      </c>
      <c r="F229" s="42">
        <v>365</v>
      </c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</row>
    <row r="230" spans="1:20" ht="15.75" x14ac:dyDescent="0.25">
      <c r="A230" s="38"/>
      <c r="B230" s="42">
        <v>292</v>
      </c>
      <c r="C230" s="42">
        <v>300</v>
      </c>
      <c r="D230" s="42">
        <v>306</v>
      </c>
      <c r="E230" s="42">
        <v>315</v>
      </c>
      <c r="F230" s="42">
        <v>322</v>
      </c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</row>
    <row r="231" spans="1:20" ht="15.75" x14ac:dyDescent="0.25">
      <c r="A231" s="38"/>
      <c r="B231" s="42">
        <v>490</v>
      </c>
      <c r="C231" s="42">
        <v>503</v>
      </c>
      <c r="D231" s="42">
        <v>516</v>
      </c>
      <c r="E231" s="42">
        <v>530</v>
      </c>
      <c r="F231" s="42">
        <v>543</v>
      </c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</row>
    <row r="232" spans="1:20" s="28" customFormat="1" ht="15.75" x14ac:dyDescent="0.25">
      <c r="A232" s="38"/>
      <c r="B232" s="42">
        <v>18</v>
      </c>
      <c r="C232" s="42">
        <v>18</v>
      </c>
      <c r="D232" s="42">
        <v>18</v>
      </c>
      <c r="E232" s="42">
        <v>18</v>
      </c>
      <c r="F232" s="42">
        <v>18</v>
      </c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</row>
    <row r="233" spans="1:20" ht="15.75" x14ac:dyDescent="0.25">
      <c r="A233" s="38" t="s">
        <v>223</v>
      </c>
      <c r="B233" s="42">
        <f>SUM(B229:B232)</f>
        <v>962</v>
      </c>
      <c r="C233" s="42">
        <f t="shared" ref="C233:F233" si="45">SUM(C229:C232)</f>
        <v>1047</v>
      </c>
      <c r="D233" s="42">
        <f t="shared" si="45"/>
        <v>1119</v>
      </c>
      <c r="E233" s="42">
        <f t="shared" si="45"/>
        <v>1185</v>
      </c>
      <c r="F233" s="42">
        <f t="shared" si="45"/>
        <v>1248</v>
      </c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</row>
    <row r="234" spans="1:20" ht="15.75" x14ac:dyDescent="0.25">
      <c r="A234" s="38" t="s">
        <v>224</v>
      </c>
      <c r="B234" s="42">
        <f>B233*0.75+C233*0.25</f>
        <v>983.25</v>
      </c>
      <c r="C234" s="42">
        <f>C233*0.75+D233*0.25</f>
        <v>1065</v>
      </c>
      <c r="D234" s="42">
        <f>D233*0.75+E233*0.25</f>
        <v>1135.5</v>
      </c>
      <c r="E234" s="42">
        <f>E233*0.75+F233*0.25</f>
        <v>1200.75</v>
      </c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</row>
    <row r="235" spans="1:20" ht="15.75" x14ac:dyDescent="0.25">
      <c r="A235" s="38"/>
      <c r="B235" s="42" t="s">
        <v>225</v>
      </c>
      <c r="C235" s="42" t="s">
        <v>226</v>
      </c>
      <c r="D235" s="42" t="s">
        <v>227</v>
      </c>
      <c r="E235" s="42" t="s">
        <v>228</v>
      </c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</row>
    <row r="236" spans="1:20" ht="15.75" x14ac:dyDescent="0.25">
      <c r="A236" s="38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</row>
    <row r="237" spans="1:20" ht="15.75" x14ac:dyDescent="0.25">
      <c r="A237" s="38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</row>
    <row r="238" spans="1:20" ht="15.75" x14ac:dyDescent="0.25">
      <c r="A238" s="38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</row>
    <row r="239" spans="1:20" ht="15.75" x14ac:dyDescent="0.25">
      <c r="A239" s="38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</row>
    <row r="240" spans="1:20" ht="15.75" x14ac:dyDescent="0.25">
      <c r="A240" s="28"/>
      <c r="B240" s="28">
        <v>2017</v>
      </c>
      <c r="C240" s="28">
        <v>2018</v>
      </c>
      <c r="D240" s="28">
        <v>2019</v>
      </c>
      <c r="E240" s="28">
        <v>2020</v>
      </c>
      <c r="F240" s="28">
        <v>2021</v>
      </c>
      <c r="G240" s="28">
        <v>2022</v>
      </c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</row>
    <row r="241" spans="1:20" s="28" customFormat="1" ht="15.75" x14ac:dyDescent="0.25">
      <c r="A241" s="28" t="s">
        <v>3</v>
      </c>
      <c r="B241" s="28">
        <v>292</v>
      </c>
      <c r="C241" s="28">
        <v>300</v>
      </c>
      <c r="D241" s="28">
        <v>306</v>
      </c>
      <c r="E241" s="28">
        <v>315</v>
      </c>
      <c r="F241" s="28">
        <v>322</v>
      </c>
      <c r="G241" s="28">
        <v>329</v>
      </c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</row>
    <row r="242" spans="1:20" s="28" customFormat="1" ht="15.75" x14ac:dyDescent="0.25">
      <c r="A242" s="28" t="s">
        <v>127</v>
      </c>
      <c r="B242" s="28">
        <v>108</v>
      </c>
      <c r="C242" s="28">
        <v>150</v>
      </c>
      <c r="D242" s="28">
        <v>186</v>
      </c>
      <c r="E242" s="28">
        <v>215</v>
      </c>
      <c r="F242" s="28">
        <v>243</v>
      </c>
      <c r="G242" s="28">
        <v>272</v>
      </c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</row>
    <row r="243" spans="1:20" ht="15.75" x14ac:dyDescent="0.25">
      <c r="A243" s="28" t="s">
        <v>46</v>
      </c>
      <c r="B243" s="28">
        <f>SUM(B241:B242)</f>
        <v>400</v>
      </c>
      <c r="C243" s="28">
        <f t="shared" ref="C243:G243" si="46">SUM(C241:C242)</f>
        <v>450</v>
      </c>
      <c r="D243" s="28">
        <f t="shared" si="46"/>
        <v>492</v>
      </c>
      <c r="E243" s="28">
        <f t="shared" si="46"/>
        <v>530</v>
      </c>
      <c r="F243" s="28">
        <f t="shared" si="46"/>
        <v>565</v>
      </c>
      <c r="G243" s="28">
        <f t="shared" si="46"/>
        <v>601</v>
      </c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</row>
    <row r="244" spans="1:20" ht="15.75" x14ac:dyDescent="0.25">
      <c r="A244" s="28" t="s">
        <v>189</v>
      </c>
      <c r="B244" s="19">
        <f>B241/OPO!E8*0.75</f>
        <v>1.5325402379286215</v>
      </c>
      <c r="C244" s="19">
        <f>C241/OPO!F8*0.75</f>
        <v>1.5767344078486336</v>
      </c>
      <c r="D244" s="19">
        <f>D241/OPO!G8*0.75</f>
        <v>1.6139240506329116</v>
      </c>
      <c r="E244" s="19">
        <f>E241/OPO!H8*0.75</f>
        <v>1.6613924050632913</v>
      </c>
      <c r="F244" s="19">
        <f>F241/OPO!I8*0.75</f>
        <v>1.7043048694424843</v>
      </c>
      <c r="G244" s="19">
        <f>G241/OPO!J8*0.75</f>
        <v>1.7425847457627119</v>
      </c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</row>
    <row r="245" spans="1:20" s="28" customFormat="1" ht="15.75" x14ac:dyDescent="0.25">
      <c r="B245" s="19">
        <f>B242/OPO!E8*0.75</f>
        <v>0.56682995101469558</v>
      </c>
      <c r="C245" s="19">
        <f>C242/OPO!F8*0.75</f>
        <v>0.78836720392431681</v>
      </c>
      <c r="D245" s="19">
        <f>D242/OPO!G8*0.75</f>
        <v>0.98101265822784811</v>
      </c>
      <c r="E245" s="19">
        <f>E242/OPO!H8*0.75</f>
        <v>1.1339662447257384</v>
      </c>
      <c r="F245" s="19">
        <f>F242/OPO!I8*0.75</f>
        <v>1.2861679604798872</v>
      </c>
      <c r="G245" s="19">
        <f>G242/OPO!J8*0.75</f>
        <v>1.4406779661016951</v>
      </c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</row>
    <row r="246" spans="1:20" s="28" customFormat="1" ht="15.75" x14ac:dyDescent="0.25">
      <c r="A246" s="28" t="s">
        <v>46</v>
      </c>
      <c r="B246" s="19">
        <f>B244+B245</f>
        <v>2.099370188943317</v>
      </c>
      <c r="C246" s="19">
        <f t="shared" ref="C246:G246" si="47">C244+C245</f>
        <v>2.3651016117729506</v>
      </c>
      <c r="D246" s="19">
        <f t="shared" si="47"/>
        <v>2.5949367088607596</v>
      </c>
      <c r="E246" s="19">
        <f t="shared" si="47"/>
        <v>2.7953586497890299</v>
      </c>
      <c r="F246" s="19">
        <f t="shared" si="47"/>
        <v>2.9904728299223713</v>
      </c>
      <c r="G246" s="19">
        <f t="shared" si="47"/>
        <v>3.183262711864407</v>
      </c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</row>
    <row r="247" spans="1:20" s="28" customFormat="1" ht="15.75" x14ac:dyDescent="0.25"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</row>
    <row r="248" spans="1:20" s="28" customFormat="1" ht="15.75" x14ac:dyDescent="0.25"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s="28" customFormat="1" ht="15.75" x14ac:dyDescent="0.25">
      <c r="B249" s="28" t="s">
        <v>197</v>
      </c>
      <c r="C249" s="28" t="s">
        <v>198</v>
      </c>
      <c r="D249" s="28" t="s">
        <v>199</v>
      </c>
      <c r="E249" s="28" t="s">
        <v>200</v>
      </c>
      <c r="F249" s="28" t="s">
        <v>201</v>
      </c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15.75" x14ac:dyDescent="0.25">
      <c r="A250" s="28"/>
      <c r="B250" s="54">
        <f>B243*0.75+C243*0.25</f>
        <v>412.5</v>
      </c>
      <c r="C250" s="54">
        <f t="shared" ref="C250:F250" si="48">C243*0.75+D243*0.25</f>
        <v>460.5</v>
      </c>
      <c r="D250" s="54">
        <f t="shared" si="48"/>
        <v>501.5</v>
      </c>
      <c r="E250" s="54">
        <f t="shared" si="48"/>
        <v>538.75</v>
      </c>
      <c r="F250" s="54">
        <f t="shared" si="48"/>
        <v>574</v>
      </c>
      <c r="G250" s="28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15.75" x14ac:dyDescent="0.25">
      <c r="A251" s="38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</row>
    <row r="252" spans="1:20" ht="15.75" x14ac:dyDescent="0.25">
      <c r="A252" s="38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</row>
    <row r="253" spans="1:20" x14ac:dyDescent="0.25">
      <c r="L253">
        <v>162</v>
      </c>
      <c r="M253">
        <v>292</v>
      </c>
      <c r="N253">
        <v>490</v>
      </c>
      <c r="O253">
        <v>18</v>
      </c>
    </row>
    <row r="254" spans="1:20" x14ac:dyDescent="0.25">
      <c r="K254">
        <v>108</v>
      </c>
      <c r="M254">
        <v>292</v>
      </c>
      <c r="O254">
        <v>18</v>
      </c>
    </row>
  </sheetData>
  <mergeCells count="7">
    <mergeCell ref="B207:G207"/>
    <mergeCell ref="J105:K106"/>
    <mergeCell ref="A105:A107"/>
    <mergeCell ref="B105:C106"/>
    <mergeCell ref="D105:E106"/>
    <mergeCell ref="F105:G106"/>
    <mergeCell ref="H105:I106"/>
  </mergeCells>
  <pageMargins left="0.7" right="0.7" top="0.75" bottom="0.75" header="0.3" footer="0.3"/>
  <ignoredErrors>
    <ignoredError sqref="B78:T78 B10:C10 C13 B12:C12 C11" formulaRange="1"/>
    <ignoredError sqref="B13" formula="1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L144"/>
  <sheetViews>
    <sheetView topLeftCell="A121" workbookViewId="0">
      <selection activeCell="K140" sqref="K140"/>
    </sheetView>
  </sheetViews>
  <sheetFormatPr defaultRowHeight="15" x14ac:dyDescent="0.25"/>
  <cols>
    <col min="1" max="1" width="31.140625" bestFit="1" customWidth="1"/>
  </cols>
  <sheetData>
    <row r="1" spans="1:9" x14ac:dyDescent="0.25">
      <c r="A1" s="8" t="s">
        <v>30</v>
      </c>
    </row>
    <row r="2" spans="1:9" x14ac:dyDescent="0.25">
      <c r="A2" s="8" t="s">
        <v>25</v>
      </c>
      <c r="B2" s="8">
        <v>2015</v>
      </c>
      <c r="C2" s="8">
        <v>2016</v>
      </c>
      <c r="D2" s="8">
        <v>2017</v>
      </c>
      <c r="E2" s="8">
        <v>2018</v>
      </c>
      <c r="F2" s="8">
        <v>2019</v>
      </c>
      <c r="G2" s="8">
        <v>2020</v>
      </c>
    </row>
    <row r="3" spans="1:9" x14ac:dyDescent="0.25">
      <c r="A3" t="s">
        <v>23</v>
      </c>
      <c r="B3" s="9">
        <v>21.66</v>
      </c>
      <c r="C3" s="9">
        <v>18.137578551912288</v>
      </c>
      <c r="D3" s="9">
        <v>24.413435684932196</v>
      </c>
      <c r="E3" s="9">
        <v>26.784111045206206</v>
      </c>
      <c r="F3" s="9">
        <v>28.783430480219216</v>
      </c>
      <c r="G3" s="9">
        <v>32.939740255736361</v>
      </c>
    </row>
    <row r="4" spans="1:9" x14ac:dyDescent="0.25">
      <c r="A4" t="s">
        <v>24</v>
      </c>
      <c r="B4" s="9">
        <v>38.299999999999997</v>
      </c>
      <c r="C4" s="9">
        <v>48.442899310476243</v>
      </c>
      <c r="D4" s="9">
        <v>48.234040074444835</v>
      </c>
      <c r="E4" s="9">
        <v>47.333817496478076</v>
      </c>
      <c r="F4" s="9">
        <v>46.698657527002887</v>
      </c>
      <c r="G4" s="9">
        <v>49.298898232405485</v>
      </c>
    </row>
    <row r="5" spans="1:9" x14ac:dyDescent="0.25">
      <c r="A5" t="s">
        <v>9</v>
      </c>
      <c r="B5" s="9">
        <v>10.199999999999999</v>
      </c>
      <c r="C5" s="9">
        <v>10.925982133909445</v>
      </c>
      <c r="D5" s="9">
        <v>11.193661565385689</v>
      </c>
      <c r="E5" s="9">
        <v>11.456586755726445</v>
      </c>
      <c r="F5" s="9">
        <v>11.787144150450029</v>
      </c>
      <c r="G5" s="9">
        <v>12.540408615251835</v>
      </c>
    </row>
    <row r="6" spans="1:9" ht="30" x14ac:dyDescent="0.25">
      <c r="A6" s="13" t="s">
        <v>26</v>
      </c>
      <c r="B6" s="9">
        <v>3.8</v>
      </c>
      <c r="C6" s="9">
        <v>7.2319462453065579</v>
      </c>
      <c r="D6" s="9">
        <f>7.61681369982821+'Ministry Inputs '!B13</f>
        <v>8.4168136998282108</v>
      </c>
      <c r="E6" s="9">
        <f>7.80705804110448+'Ministry Inputs '!C13</f>
        <v>8.6270580411044797</v>
      </c>
      <c r="F6" s="9">
        <f>8.03439782790135+'Ministry Inputs '!D13</f>
        <v>8.8643978279013496</v>
      </c>
      <c r="G6" s="9">
        <f>8.23408720501318+'Ministry Inputs '!E13</f>
        <v>9.08408720501318</v>
      </c>
    </row>
    <row r="7" spans="1:9" x14ac:dyDescent="0.25">
      <c r="A7" t="s">
        <v>10</v>
      </c>
      <c r="B7" s="9">
        <v>7</v>
      </c>
      <c r="C7" s="9">
        <v>7</v>
      </c>
      <c r="D7" s="9">
        <v>7</v>
      </c>
      <c r="E7" s="106">
        <v>1.75</v>
      </c>
      <c r="F7" s="9">
        <v>0</v>
      </c>
      <c r="G7" s="9">
        <v>0</v>
      </c>
    </row>
    <row r="8" spans="1:9" ht="15.75" thickBot="1" x14ac:dyDescent="0.3">
      <c r="A8" s="15" t="s">
        <v>27</v>
      </c>
      <c r="B8" s="16">
        <f t="shared" ref="B8:G8" si="0">SUM(B3:B7)</f>
        <v>80.959999999999994</v>
      </c>
      <c r="C8" s="16">
        <f t="shared" si="0"/>
        <v>91.738406241604537</v>
      </c>
      <c r="D8" s="16">
        <f t="shared" si="0"/>
        <v>99.257951024590923</v>
      </c>
      <c r="E8" s="16">
        <f t="shared" si="0"/>
        <v>95.951573338515203</v>
      </c>
      <c r="F8" s="16">
        <f t="shared" si="0"/>
        <v>96.133629985573492</v>
      </c>
      <c r="G8" s="16">
        <f t="shared" si="0"/>
        <v>103.86313430840686</v>
      </c>
    </row>
    <row r="9" spans="1:9" x14ac:dyDescent="0.25">
      <c r="A9" t="s">
        <v>28</v>
      </c>
      <c r="B9" s="7"/>
      <c r="C9" s="7"/>
      <c r="D9" s="10">
        <f>'Ministry Inputs '!B12</f>
        <v>-4.68</v>
      </c>
      <c r="E9" s="10">
        <f>'Ministry Inputs '!C12</f>
        <v>-4.66</v>
      </c>
      <c r="F9" s="10">
        <f>'Ministry Inputs '!D12</f>
        <v>-4.79</v>
      </c>
      <c r="G9" s="10">
        <f>'Ministry Inputs '!E12</f>
        <v>-4.74</v>
      </c>
    </row>
    <row r="10" spans="1:9" ht="15.75" thickBot="1" x14ac:dyDescent="0.3">
      <c r="A10" s="11" t="s">
        <v>29</v>
      </c>
      <c r="B10" s="17">
        <f t="shared" ref="B10:G10" si="1">B8+B9</f>
        <v>80.959999999999994</v>
      </c>
      <c r="C10" s="17">
        <f t="shared" si="1"/>
        <v>91.738406241604537</v>
      </c>
      <c r="D10" s="17">
        <f t="shared" si="1"/>
        <v>94.577951024590931</v>
      </c>
      <c r="E10" s="17">
        <f t="shared" si="1"/>
        <v>91.291573338515207</v>
      </c>
      <c r="F10" s="17">
        <f t="shared" si="1"/>
        <v>91.343629985573486</v>
      </c>
      <c r="G10" s="17">
        <f t="shared" si="1"/>
        <v>99.123134308406861</v>
      </c>
      <c r="H10" s="18">
        <f>G10/B10-1</f>
        <v>0.22434701467893858</v>
      </c>
      <c r="I10" s="8" t="s">
        <v>22</v>
      </c>
    </row>
    <row r="11" spans="1:9" ht="15.75" thickTop="1" x14ac:dyDescent="0.25"/>
    <row r="13" spans="1:9" x14ac:dyDescent="0.25">
      <c r="A13" s="8" t="s">
        <v>16</v>
      </c>
    </row>
    <row r="14" spans="1:9" x14ac:dyDescent="0.25">
      <c r="A14" t="s">
        <v>35</v>
      </c>
    </row>
    <row r="15" spans="1:9" x14ac:dyDescent="0.25">
      <c r="A15" t="s">
        <v>18</v>
      </c>
    </row>
    <row r="16" spans="1:9" x14ac:dyDescent="0.25">
      <c r="A16" t="s">
        <v>19</v>
      </c>
    </row>
    <row r="17" spans="1:12" x14ac:dyDescent="0.25">
      <c r="A17" t="s">
        <v>36</v>
      </c>
    </row>
    <row r="18" spans="1:12" x14ac:dyDescent="0.25">
      <c r="A18" t="s">
        <v>37</v>
      </c>
    </row>
    <row r="19" spans="1:12" x14ac:dyDescent="0.25">
      <c r="A19" t="s">
        <v>38</v>
      </c>
    </row>
    <row r="22" spans="1:12" x14ac:dyDescent="0.25">
      <c r="A22" t="str">
        <f>A10</f>
        <v>Total After Proceeds Recycling</v>
      </c>
    </row>
    <row r="23" spans="1:12" x14ac:dyDescent="0.25">
      <c r="A23" t="s">
        <v>39</v>
      </c>
    </row>
    <row r="26" spans="1:12" x14ac:dyDescent="0.25">
      <c r="B26">
        <v>2010</v>
      </c>
      <c r="C26">
        <v>2011</v>
      </c>
      <c r="D26">
        <v>2012</v>
      </c>
      <c r="E26">
        <v>2013</v>
      </c>
      <c r="F26">
        <v>2014</v>
      </c>
      <c r="G26">
        <v>2015</v>
      </c>
      <c r="H26">
        <v>2016</v>
      </c>
      <c r="I26">
        <v>2017</v>
      </c>
      <c r="J26">
        <v>2018</v>
      </c>
      <c r="K26">
        <v>2019</v>
      </c>
      <c r="L26">
        <v>2020</v>
      </c>
    </row>
    <row r="27" spans="1:12" x14ac:dyDescent="0.25">
      <c r="A27" t="s">
        <v>149</v>
      </c>
      <c r="B27">
        <v>84.13000000000001</v>
      </c>
      <c r="C27">
        <v>75.949999999999989</v>
      </c>
      <c r="D27">
        <v>72.47</v>
      </c>
      <c r="E27">
        <v>79.87</v>
      </c>
      <c r="F27">
        <v>83.35</v>
      </c>
      <c r="G27">
        <v>84.289999999999992</v>
      </c>
      <c r="H27">
        <v>85</v>
      </c>
      <c r="I27" s="14">
        <f>D10</f>
        <v>94.577951024590931</v>
      </c>
      <c r="J27" s="14">
        <f t="shared" ref="J27:L27" si="2">E10</f>
        <v>91.291573338515207</v>
      </c>
      <c r="K27" s="14">
        <f t="shared" si="2"/>
        <v>91.343629985573486</v>
      </c>
      <c r="L27" s="14">
        <f t="shared" si="2"/>
        <v>99.123134308406861</v>
      </c>
    </row>
    <row r="28" spans="1:12" x14ac:dyDescent="0.25">
      <c r="A28" t="s">
        <v>145</v>
      </c>
      <c r="E28">
        <v>79</v>
      </c>
      <c r="F28">
        <v>87</v>
      </c>
      <c r="G28">
        <v>92</v>
      </c>
      <c r="H28">
        <v>96</v>
      </c>
      <c r="I28">
        <v>100</v>
      </c>
      <c r="J28">
        <v>105</v>
      </c>
      <c r="K28">
        <v>102</v>
      </c>
      <c r="L28">
        <v>104</v>
      </c>
    </row>
    <row r="29" spans="1:12" x14ac:dyDescent="0.25">
      <c r="A29" t="s">
        <v>148</v>
      </c>
      <c r="E29">
        <f>E27</f>
        <v>79.87</v>
      </c>
      <c r="F29" s="28">
        <f t="shared" ref="F29:L29" si="3">F27</f>
        <v>83.35</v>
      </c>
      <c r="G29" s="28">
        <f t="shared" si="3"/>
        <v>84.289999999999992</v>
      </c>
      <c r="H29" s="28">
        <f t="shared" si="3"/>
        <v>85</v>
      </c>
      <c r="I29" s="19">
        <f t="shared" si="3"/>
        <v>94.577951024590931</v>
      </c>
      <c r="J29" s="19">
        <f t="shared" si="3"/>
        <v>91.291573338515207</v>
      </c>
      <c r="K29" s="19">
        <f t="shared" si="3"/>
        <v>91.343629985573486</v>
      </c>
      <c r="L29" s="19">
        <f t="shared" si="3"/>
        <v>99.123134308406861</v>
      </c>
    </row>
    <row r="44" spans="1:5" x14ac:dyDescent="0.25">
      <c r="B44">
        <v>2017</v>
      </c>
      <c r="C44">
        <v>2018</v>
      </c>
      <c r="D44">
        <v>2019</v>
      </c>
      <c r="E44">
        <v>2020</v>
      </c>
    </row>
    <row r="45" spans="1:5" x14ac:dyDescent="0.25">
      <c r="A45" t="s">
        <v>42</v>
      </c>
      <c r="B45" s="14">
        <f>D10</f>
        <v>94.577951024590931</v>
      </c>
      <c r="C45" s="14">
        <f t="shared" ref="C45:E45" si="4">E10</f>
        <v>91.291573338515207</v>
      </c>
      <c r="D45" s="14">
        <f t="shared" si="4"/>
        <v>91.343629985573486</v>
      </c>
      <c r="E45" s="14">
        <f t="shared" si="4"/>
        <v>99.123134308406861</v>
      </c>
    </row>
    <row r="46" spans="1:5" x14ac:dyDescent="0.25">
      <c r="A46" t="s">
        <v>43</v>
      </c>
      <c r="B46" s="14">
        <f>'HOEP and GA'!C29</f>
        <v>24.12214201075745</v>
      </c>
      <c r="C46" s="14">
        <f>'HOEP and GA'!D29</f>
        <v>23.2077795363953</v>
      </c>
      <c r="D46" s="14">
        <f>'HOEP and GA'!E29</f>
        <v>22.447412240232289</v>
      </c>
      <c r="E46" s="14">
        <f>'HOEP and GA'!F29</f>
        <v>23.23265954180863</v>
      </c>
    </row>
    <row r="47" spans="1:5" x14ac:dyDescent="0.25">
      <c r="A47" s="28" t="s">
        <v>43</v>
      </c>
      <c r="B47" s="14">
        <f>B45+B46</f>
        <v>118.70009303534837</v>
      </c>
      <c r="C47" s="14">
        <f t="shared" ref="C47:E47" si="5">C45+C46</f>
        <v>114.4993528749105</v>
      </c>
      <c r="D47" s="14">
        <f t="shared" si="5"/>
        <v>113.79104222580577</v>
      </c>
      <c r="E47" s="14">
        <f t="shared" si="5"/>
        <v>122.35579385021549</v>
      </c>
    </row>
    <row r="49" spans="1:5" x14ac:dyDescent="0.25">
      <c r="B49">
        <v>2017</v>
      </c>
      <c r="C49">
        <v>2018</v>
      </c>
      <c r="D49">
        <v>2019</v>
      </c>
      <c r="E49">
        <v>2020</v>
      </c>
    </row>
    <row r="50" spans="1:5" x14ac:dyDescent="0.25">
      <c r="A50" t="s">
        <v>42</v>
      </c>
      <c r="B50" s="14">
        <f>D10</f>
        <v>94.577951024590931</v>
      </c>
      <c r="C50" s="14">
        <f t="shared" ref="C50:E50" si="6">E10</f>
        <v>91.291573338515207</v>
      </c>
      <c r="D50" s="14">
        <f t="shared" si="6"/>
        <v>91.343629985573486</v>
      </c>
      <c r="E50" s="14">
        <f t="shared" si="6"/>
        <v>99.123134308406861</v>
      </c>
    </row>
    <row r="51" spans="1:5" x14ac:dyDescent="0.25">
      <c r="A51" t="s">
        <v>41</v>
      </c>
      <c r="B51">
        <f>-121.3/143</f>
        <v>-0.84825174825174821</v>
      </c>
      <c r="C51" s="28">
        <f>-139.8/143</f>
        <v>-0.97762237762237769</v>
      </c>
      <c r="D51" s="28">
        <f>-153/143</f>
        <v>-1.06993006993007</v>
      </c>
      <c r="E51" s="28">
        <f>-158.3/143</f>
        <v>-1.1069930069930072</v>
      </c>
    </row>
    <row r="52" spans="1:5" x14ac:dyDescent="0.25">
      <c r="A52" t="s">
        <v>40</v>
      </c>
      <c r="B52">
        <f>-292/143*12/18</f>
        <v>-1.3613053613053614</v>
      </c>
      <c r="C52" s="20">
        <f>B52*1.027</f>
        <v>-1.398060606060606</v>
      </c>
      <c r="D52" s="20">
        <f>C52*1.022</f>
        <v>-1.4288179393939393</v>
      </c>
      <c r="E52" s="20">
        <f>D52*1.028</f>
        <v>-1.4688248416969696</v>
      </c>
    </row>
    <row r="80" spans="1:1" x14ac:dyDescent="0.25">
      <c r="A80" s="8" t="s">
        <v>151</v>
      </c>
    </row>
    <row r="81" spans="1:5" x14ac:dyDescent="0.25">
      <c r="B81">
        <v>2017</v>
      </c>
      <c r="C81">
        <v>2018</v>
      </c>
      <c r="D81">
        <v>2019</v>
      </c>
      <c r="E81">
        <v>2020</v>
      </c>
    </row>
    <row r="82" spans="1:5" x14ac:dyDescent="0.25">
      <c r="A82" t="s">
        <v>148</v>
      </c>
      <c r="B82" s="14">
        <f>D10</f>
        <v>94.577951024590931</v>
      </c>
      <c r="C82" s="14">
        <f t="shared" ref="C82:E82" si="7">E10</f>
        <v>91.291573338515207</v>
      </c>
      <c r="D82" s="14">
        <f t="shared" si="7"/>
        <v>91.343629985573486</v>
      </c>
      <c r="E82" s="14">
        <f t="shared" si="7"/>
        <v>99.123134308406861</v>
      </c>
    </row>
    <row r="83" spans="1:5" x14ac:dyDescent="0.25">
      <c r="A83" t="s">
        <v>152</v>
      </c>
      <c r="B83" s="14">
        <f>B82-7</f>
        <v>87.577951024590931</v>
      </c>
      <c r="C83" s="14">
        <f>C82-1.75</f>
        <v>89.541573338515207</v>
      </c>
      <c r="D83" s="14">
        <f>D82</f>
        <v>91.343629985573486</v>
      </c>
      <c r="E83" s="14">
        <f>E82</f>
        <v>99.123134308406861</v>
      </c>
    </row>
    <row r="84" spans="1:5" x14ac:dyDescent="0.25">
      <c r="A84" t="s">
        <v>153</v>
      </c>
      <c r="B84" s="14">
        <f>B82-3.5</f>
        <v>91.077951024590931</v>
      </c>
      <c r="C84" s="14">
        <f>C82-0.875</f>
        <v>90.416573338515207</v>
      </c>
      <c r="D84" s="14">
        <f>D82</f>
        <v>91.343629985573486</v>
      </c>
      <c r="E84" s="14">
        <f>E82</f>
        <v>99.123134308406861</v>
      </c>
    </row>
    <row r="102" spans="1:6" x14ac:dyDescent="0.25">
      <c r="A102" s="8" t="s">
        <v>150</v>
      </c>
    </row>
    <row r="103" spans="1:6" x14ac:dyDescent="0.25">
      <c r="B103">
        <v>2017</v>
      </c>
      <c r="C103">
        <v>2018</v>
      </c>
      <c r="D103" s="28">
        <v>2019</v>
      </c>
      <c r="E103" s="28">
        <v>2020</v>
      </c>
      <c r="F103" s="28">
        <v>2021</v>
      </c>
    </row>
    <row r="104" spans="1:6" x14ac:dyDescent="0.25">
      <c r="A104" s="28" t="s">
        <v>154</v>
      </c>
      <c r="B104" s="14">
        <f>D10</f>
        <v>94.577951024590931</v>
      </c>
      <c r="C104" s="14">
        <f t="shared" ref="C104:F104" si="8">E10</f>
        <v>91.291573338515207</v>
      </c>
      <c r="D104" s="14">
        <f t="shared" si="8"/>
        <v>91.343629985573486</v>
      </c>
      <c r="E104" s="14">
        <f t="shared" si="8"/>
        <v>99.123134308406861</v>
      </c>
      <c r="F104" s="14">
        <f t="shared" si="8"/>
        <v>0.22434701467893858</v>
      </c>
    </row>
    <row r="105" spans="1:6" x14ac:dyDescent="0.25">
      <c r="A105" t="s">
        <v>155</v>
      </c>
      <c r="B105">
        <v>0</v>
      </c>
      <c r="C105">
        <v>0</v>
      </c>
      <c r="D105">
        <v>0</v>
      </c>
      <c r="E105" s="19">
        <f>-300/OPO!G8</f>
        <v>-2.109704641350211</v>
      </c>
      <c r="F105" s="19">
        <f>300/OPO!I8</f>
        <v>2.1171489061397319</v>
      </c>
    </row>
    <row r="106" spans="1:6" x14ac:dyDescent="0.25">
      <c r="B106" s="14">
        <f>B104+B105</f>
        <v>94.577951024590931</v>
      </c>
      <c r="C106" s="14">
        <f t="shared" ref="C106:F106" si="9">C104+C105</f>
        <v>91.291573338515207</v>
      </c>
      <c r="D106" s="14">
        <f t="shared" si="9"/>
        <v>91.343629985573486</v>
      </c>
      <c r="E106" s="14">
        <f t="shared" si="9"/>
        <v>97.013429667056656</v>
      </c>
      <c r="F106" s="14">
        <f t="shared" si="9"/>
        <v>2.3414959208186703</v>
      </c>
    </row>
    <row r="129" spans="1:7" x14ac:dyDescent="0.25">
      <c r="A129" t="s">
        <v>192</v>
      </c>
    </row>
    <row r="130" spans="1:7" x14ac:dyDescent="0.25">
      <c r="B130" s="28">
        <v>2017</v>
      </c>
      <c r="C130" s="28">
        <v>2018</v>
      </c>
      <c r="D130" s="28">
        <v>2019</v>
      </c>
      <c r="E130" s="28">
        <v>2020</v>
      </c>
      <c r="F130" s="28">
        <v>2021</v>
      </c>
      <c r="G130" s="28">
        <v>2022</v>
      </c>
    </row>
    <row r="131" spans="1:7" x14ac:dyDescent="0.25">
      <c r="B131" s="19">
        <f>'Residential Bill'!B78/OPO!E8*12/18</f>
        <v>2.8201539538138558</v>
      </c>
      <c r="C131" s="19">
        <f>'Residential Bill'!C78/OPO!F8*12/18</f>
        <v>3.0506890913338003</v>
      </c>
      <c r="D131" s="19">
        <f>'Residential Bill'!D78/OPO!G8*12/18</f>
        <v>2.4706985466479137</v>
      </c>
      <c r="E131" s="19">
        <f>'Residential Bill'!E78/OPO!H8*12/18</f>
        <v>2.5597749648382564</v>
      </c>
      <c r="F131" s="19">
        <f>'Residential Bill'!F78/OPO!I8*12/18</f>
        <v>2.1336156198541523</v>
      </c>
      <c r="G131" s="19">
        <f>'Residential Bill'!G78/OPO!J8*12/18</f>
        <v>2.1351224105461397</v>
      </c>
    </row>
    <row r="134" spans="1:7" x14ac:dyDescent="0.25">
      <c r="A134" s="28"/>
      <c r="B134" s="28">
        <v>2017</v>
      </c>
      <c r="C134" s="28">
        <v>2018</v>
      </c>
      <c r="D134" s="28">
        <v>2019</v>
      </c>
      <c r="E134" s="28">
        <v>2020</v>
      </c>
      <c r="F134" s="28">
        <v>2021</v>
      </c>
      <c r="G134" s="28">
        <v>2022</v>
      </c>
    </row>
    <row r="135" spans="1:7" x14ac:dyDescent="0.25">
      <c r="A135" s="28" t="s">
        <v>3</v>
      </c>
      <c r="B135" s="28">
        <v>292</v>
      </c>
      <c r="C135" s="28">
        <v>300</v>
      </c>
      <c r="D135" s="28">
        <v>306</v>
      </c>
      <c r="E135" s="28">
        <v>315</v>
      </c>
      <c r="F135" s="28">
        <v>322</v>
      </c>
      <c r="G135" s="28">
        <v>329</v>
      </c>
    </row>
    <row r="136" spans="1:7" x14ac:dyDescent="0.25">
      <c r="A136" s="28" t="s">
        <v>127</v>
      </c>
      <c r="B136" s="28">
        <v>108</v>
      </c>
      <c r="C136" s="28">
        <v>150</v>
      </c>
      <c r="D136" s="28">
        <v>186</v>
      </c>
      <c r="E136" s="28">
        <v>215</v>
      </c>
      <c r="F136" s="28">
        <v>243</v>
      </c>
      <c r="G136" s="28">
        <v>272</v>
      </c>
    </row>
    <row r="137" spans="1:7" x14ac:dyDescent="0.25">
      <c r="A137" s="28" t="s">
        <v>46</v>
      </c>
      <c r="B137" s="28">
        <f>SUM(B135:B136)</f>
        <v>400</v>
      </c>
      <c r="C137" s="28">
        <f t="shared" ref="C137:G137" si="10">SUM(C135:C136)</f>
        <v>450</v>
      </c>
      <c r="D137" s="28">
        <f t="shared" si="10"/>
        <v>492</v>
      </c>
      <c r="E137" s="28">
        <f t="shared" si="10"/>
        <v>530</v>
      </c>
      <c r="F137" s="28">
        <f t="shared" si="10"/>
        <v>565</v>
      </c>
      <c r="G137" s="28">
        <f t="shared" si="10"/>
        <v>601</v>
      </c>
    </row>
    <row r="138" spans="1:7" x14ac:dyDescent="0.25">
      <c r="A138" s="28" t="s">
        <v>189</v>
      </c>
      <c r="B138" s="19">
        <f>B135/OPO!E8</f>
        <v>2.0433869839048286</v>
      </c>
      <c r="C138" s="19">
        <f>C135/OPO!F8</f>
        <v>2.102312543798178</v>
      </c>
      <c r="D138" s="19">
        <f>D135/OPO!G8</f>
        <v>2.1518987341772156</v>
      </c>
      <c r="E138" s="19">
        <f>E135/OPO!H8</f>
        <v>2.2151898734177218</v>
      </c>
      <c r="F138" s="19">
        <f>F135/OPO!I8</f>
        <v>2.2724064925899792</v>
      </c>
      <c r="G138" s="19">
        <f>G135/OPO!J8</f>
        <v>2.3234463276836159</v>
      </c>
    </row>
    <row r="139" spans="1:7" x14ac:dyDescent="0.25">
      <c r="A139" s="28"/>
      <c r="B139" s="19">
        <f>B136/OPO!E8</f>
        <v>0.7557732680195941</v>
      </c>
      <c r="C139" s="19">
        <f>C136/OPO!F8</f>
        <v>1.051156271899089</v>
      </c>
      <c r="D139" s="19">
        <f>D136/OPO!G8</f>
        <v>1.3080168776371308</v>
      </c>
      <c r="E139" s="19">
        <f>E136/OPO!H8</f>
        <v>1.5119549929676512</v>
      </c>
      <c r="F139" s="19">
        <f>F136/OPO!I8</f>
        <v>1.714890613973183</v>
      </c>
      <c r="G139" s="19">
        <f>G136/OPO!J8</f>
        <v>1.9209039548022599</v>
      </c>
    </row>
    <row r="140" spans="1:7" x14ac:dyDescent="0.25">
      <c r="A140" s="28" t="s">
        <v>46</v>
      </c>
      <c r="B140" s="19">
        <f>B138+B139</f>
        <v>2.7991602519244227</v>
      </c>
      <c r="C140" s="19">
        <f t="shared" ref="C140:G140" si="11">C138+C139</f>
        <v>3.1534688156972672</v>
      </c>
      <c r="D140" s="19">
        <f t="shared" si="11"/>
        <v>3.4599156118143464</v>
      </c>
      <c r="E140" s="19">
        <f t="shared" si="11"/>
        <v>3.7271448663853732</v>
      </c>
      <c r="F140" s="19">
        <f t="shared" si="11"/>
        <v>3.9872971065631622</v>
      </c>
      <c r="G140" s="19">
        <f t="shared" si="11"/>
        <v>4.2443502824858754</v>
      </c>
    </row>
    <row r="141" spans="1:7" x14ac:dyDescent="0.25">
      <c r="A141" s="28"/>
      <c r="B141" s="28"/>
      <c r="C141" s="28"/>
      <c r="D141" s="28"/>
      <c r="E141" s="28"/>
      <c r="F141" s="28"/>
      <c r="G141" s="28"/>
    </row>
    <row r="142" spans="1:7" x14ac:dyDescent="0.25">
      <c r="A142" s="28"/>
      <c r="B142" s="28"/>
      <c r="C142" s="28"/>
      <c r="D142" s="28"/>
      <c r="E142" s="28"/>
      <c r="F142" s="28"/>
      <c r="G142" s="28"/>
    </row>
    <row r="143" spans="1:7" x14ac:dyDescent="0.25">
      <c r="A143" s="28"/>
      <c r="B143" s="28" t="s">
        <v>197</v>
      </c>
      <c r="C143" s="28" t="s">
        <v>198</v>
      </c>
      <c r="D143" s="28" t="s">
        <v>199</v>
      </c>
      <c r="E143" s="28" t="s">
        <v>200</v>
      </c>
      <c r="F143" s="28" t="s">
        <v>201</v>
      </c>
      <c r="G143" s="28"/>
    </row>
    <row r="144" spans="1:7" x14ac:dyDescent="0.25">
      <c r="A144" s="28"/>
      <c r="B144" s="54">
        <f>B137*0.75+C137*0.25</f>
        <v>412.5</v>
      </c>
      <c r="C144" s="54">
        <f t="shared" ref="C144:F144" si="12">C137*0.75+D137*0.25</f>
        <v>460.5</v>
      </c>
      <c r="D144" s="54">
        <f t="shared" si="12"/>
        <v>501.5</v>
      </c>
      <c r="E144" s="54">
        <f t="shared" si="12"/>
        <v>538.75</v>
      </c>
      <c r="F144" s="54">
        <f t="shared" si="12"/>
        <v>574</v>
      </c>
      <c r="G144" s="28"/>
    </row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4:W29"/>
  <sheetViews>
    <sheetView workbookViewId="0">
      <selection activeCell="C8" sqref="C8"/>
    </sheetView>
  </sheetViews>
  <sheetFormatPr defaultRowHeight="15" x14ac:dyDescent="0.25"/>
  <cols>
    <col min="2" max="2" width="19" customWidth="1"/>
  </cols>
  <sheetData>
    <row r="4" spans="2:23" x14ac:dyDescent="0.25">
      <c r="B4" s="28" t="s">
        <v>58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6" spans="2:23" x14ac:dyDescent="0.25">
      <c r="B6" s="31" t="s">
        <v>59</v>
      </c>
      <c r="C6" s="32">
        <v>2015</v>
      </c>
      <c r="D6" s="32">
        <v>2016</v>
      </c>
      <c r="E6" s="32">
        <v>2017</v>
      </c>
      <c r="F6" s="32">
        <v>2018</v>
      </c>
      <c r="G6" s="32">
        <v>2019</v>
      </c>
      <c r="H6" s="32">
        <v>2020</v>
      </c>
      <c r="I6" s="32">
        <v>2021</v>
      </c>
      <c r="J6" s="32">
        <v>2022</v>
      </c>
      <c r="K6" s="32">
        <v>2023</v>
      </c>
      <c r="L6" s="32">
        <v>2024</v>
      </c>
      <c r="M6" s="32">
        <v>2025</v>
      </c>
      <c r="N6" s="32">
        <v>2026</v>
      </c>
      <c r="O6" s="32">
        <v>2027</v>
      </c>
      <c r="P6" s="32">
        <v>2028</v>
      </c>
      <c r="Q6" s="32">
        <v>2029</v>
      </c>
      <c r="R6" s="32">
        <v>2030</v>
      </c>
      <c r="S6" s="32">
        <v>2031</v>
      </c>
      <c r="T6" s="32">
        <v>2032</v>
      </c>
      <c r="U6" s="32">
        <v>2033</v>
      </c>
      <c r="V6" s="32">
        <v>2034</v>
      </c>
      <c r="W6" s="32">
        <v>2035</v>
      </c>
    </row>
    <row r="7" spans="2:23" x14ac:dyDescent="0.25">
      <c r="B7" s="33" t="s">
        <v>60</v>
      </c>
      <c r="C7" s="34">
        <v>142.5</v>
      </c>
      <c r="D7" s="34">
        <v>143</v>
      </c>
      <c r="E7" s="34">
        <v>141.9</v>
      </c>
      <c r="F7" s="34">
        <v>140.6</v>
      </c>
      <c r="G7" s="34">
        <v>138.9</v>
      </c>
      <c r="H7" s="34">
        <v>137.69999999999999</v>
      </c>
      <c r="I7" s="34">
        <v>136.1</v>
      </c>
      <c r="J7" s="34">
        <v>135</v>
      </c>
      <c r="K7" s="34">
        <v>134.1</v>
      </c>
      <c r="L7" s="34">
        <v>133.5</v>
      </c>
      <c r="M7" s="34">
        <v>132.5</v>
      </c>
      <c r="N7" s="34">
        <v>131.69999999999999</v>
      </c>
      <c r="O7" s="34">
        <v>131.19999999999999</v>
      </c>
      <c r="P7" s="34">
        <v>131</v>
      </c>
      <c r="Q7" s="34">
        <v>130.80000000000001</v>
      </c>
      <c r="R7" s="34">
        <v>130.69999999999999</v>
      </c>
      <c r="S7" s="34">
        <v>130.69999999999999</v>
      </c>
      <c r="T7" s="34">
        <v>131</v>
      </c>
      <c r="U7" s="34">
        <v>131.5</v>
      </c>
      <c r="V7" s="34">
        <v>132.30000000000001</v>
      </c>
      <c r="W7" s="34">
        <v>133.4</v>
      </c>
    </row>
    <row r="8" spans="2:23" x14ac:dyDescent="0.25">
      <c r="B8" s="29" t="s">
        <v>61</v>
      </c>
      <c r="C8" s="35">
        <v>142.5</v>
      </c>
      <c r="D8" s="35">
        <v>143.4</v>
      </c>
      <c r="E8" s="35">
        <v>142.9</v>
      </c>
      <c r="F8" s="35">
        <v>142.69999999999999</v>
      </c>
      <c r="G8" s="35">
        <v>142.19999999999999</v>
      </c>
      <c r="H8" s="35">
        <v>142.19999999999999</v>
      </c>
      <c r="I8" s="35">
        <v>141.69999999999999</v>
      </c>
      <c r="J8" s="35">
        <v>141.6</v>
      </c>
      <c r="K8" s="35">
        <v>141.5</v>
      </c>
      <c r="L8" s="35">
        <v>141.69999999999999</v>
      </c>
      <c r="M8" s="35">
        <v>141.5</v>
      </c>
      <c r="N8" s="35">
        <v>141.19999999999999</v>
      </c>
      <c r="O8" s="35">
        <v>141.5</v>
      </c>
      <c r="P8" s="35">
        <v>142.1</v>
      </c>
      <c r="Q8" s="35">
        <v>142.4</v>
      </c>
      <c r="R8" s="35">
        <v>142.80000000000001</v>
      </c>
      <c r="S8" s="35">
        <v>143.30000000000001</v>
      </c>
      <c r="T8" s="35">
        <v>144</v>
      </c>
      <c r="U8" s="35">
        <v>145</v>
      </c>
      <c r="V8" s="35">
        <v>146.30000000000001</v>
      </c>
      <c r="W8" s="35">
        <v>147.80000000000001</v>
      </c>
    </row>
    <row r="9" spans="2:23" x14ac:dyDescent="0.25">
      <c r="B9" s="29" t="s">
        <v>62</v>
      </c>
      <c r="C9" s="35">
        <v>142.5</v>
      </c>
      <c r="D9" s="35">
        <v>143.5</v>
      </c>
      <c r="E9" s="35">
        <v>143.19999999999999</v>
      </c>
      <c r="F9" s="35">
        <v>143.69999999999999</v>
      </c>
      <c r="G9" s="35">
        <v>144.19999999999999</v>
      </c>
      <c r="H9" s="35">
        <v>145.1</v>
      </c>
      <c r="I9" s="35">
        <v>145.6</v>
      </c>
      <c r="J9" s="35">
        <v>146.6</v>
      </c>
      <c r="K9" s="35">
        <v>147.69999999999999</v>
      </c>
      <c r="L9" s="35">
        <v>149.30000000000001</v>
      </c>
      <c r="M9" s="35">
        <v>150.4</v>
      </c>
      <c r="N9" s="35">
        <v>151.69999999999999</v>
      </c>
      <c r="O9" s="35">
        <v>153.5</v>
      </c>
      <c r="P9" s="35">
        <v>155.9</v>
      </c>
      <c r="Q9" s="35">
        <v>158</v>
      </c>
      <c r="R9" s="35">
        <v>160.5</v>
      </c>
      <c r="S9" s="35">
        <v>163.1</v>
      </c>
      <c r="T9" s="35">
        <v>166.2</v>
      </c>
      <c r="U9" s="35">
        <v>169.4</v>
      </c>
      <c r="V9" s="35">
        <v>173.1</v>
      </c>
      <c r="W9" s="35">
        <v>177.1</v>
      </c>
    </row>
    <row r="10" spans="2:23" x14ac:dyDescent="0.25">
      <c r="B10" s="30" t="s">
        <v>63</v>
      </c>
      <c r="C10" s="36">
        <v>142.5</v>
      </c>
      <c r="D10" s="36">
        <v>143.5</v>
      </c>
      <c r="E10" s="36">
        <v>143.19999999999999</v>
      </c>
      <c r="F10" s="36">
        <v>144.30000000000001</v>
      </c>
      <c r="G10" s="36">
        <v>145.30000000000001</v>
      </c>
      <c r="H10" s="36">
        <v>146.9</v>
      </c>
      <c r="I10" s="36">
        <v>148.1</v>
      </c>
      <c r="J10" s="36">
        <v>149.9</v>
      </c>
      <c r="K10" s="36">
        <v>151.9</v>
      </c>
      <c r="L10" s="36">
        <v>154.4</v>
      </c>
      <c r="M10" s="36">
        <v>156.5</v>
      </c>
      <c r="N10" s="36">
        <v>158.80000000000001</v>
      </c>
      <c r="O10" s="36">
        <v>161.69999999999999</v>
      </c>
      <c r="P10" s="36">
        <v>165.3</v>
      </c>
      <c r="Q10" s="36">
        <v>168.6</v>
      </c>
      <c r="R10" s="36">
        <v>172.4</v>
      </c>
      <c r="S10" s="36">
        <v>176.3</v>
      </c>
      <c r="T10" s="36">
        <v>181</v>
      </c>
      <c r="U10" s="36">
        <v>185.6</v>
      </c>
      <c r="V10" s="36">
        <v>191</v>
      </c>
      <c r="W10" s="36">
        <v>196.7</v>
      </c>
    </row>
    <row r="12" spans="2:23" x14ac:dyDescent="0.25">
      <c r="I12">
        <f>190/I8*0.75</f>
        <v>1.0056457304163726</v>
      </c>
      <c r="J12">
        <f>195/J8*0.75</f>
        <v>1.0328389830508475</v>
      </c>
    </row>
    <row r="13" spans="2:23" x14ac:dyDescent="0.25">
      <c r="I13">
        <f>190/I8</f>
        <v>1.3408609738884969</v>
      </c>
      <c r="J13">
        <f>195/J8</f>
        <v>1.3771186440677967</v>
      </c>
    </row>
    <row r="17" spans="2:22" x14ac:dyDescent="0.25">
      <c r="B17" s="53" t="s">
        <v>75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1"/>
      <c r="N17" s="51"/>
      <c r="O17" s="51"/>
      <c r="P17" s="51"/>
      <c r="Q17" s="51"/>
      <c r="R17" s="51"/>
      <c r="S17" s="50"/>
      <c r="T17" s="50"/>
      <c r="U17" s="50"/>
      <c r="V17" s="50"/>
    </row>
    <row r="18" spans="2:22" x14ac:dyDescent="0.25">
      <c r="B18" s="45" t="s">
        <v>74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</row>
    <row r="19" spans="2:22" x14ac:dyDescent="0.25">
      <c r="B19" s="49"/>
      <c r="C19" s="48">
        <v>2016</v>
      </c>
      <c r="D19" s="48">
        <v>2017</v>
      </c>
      <c r="E19" s="48">
        <v>2018</v>
      </c>
      <c r="F19" s="48">
        <v>2019</v>
      </c>
      <c r="G19" s="48">
        <v>2020</v>
      </c>
      <c r="H19" s="47">
        <v>2021</v>
      </c>
      <c r="I19" s="47">
        <v>2022</v>
      </c>
      <c r="J19" s="47">
        <v>2023</v>
      </c>
      <c r="K19" s="47">
        <v>2024</v>
      </c>
      <c r="L19" s="47">
        <v>2025</v>
      </c>
      <c r="M19" s="47">
        <v>2026</v>
      </c>
      <c r="N19" s="47">
        <v>2027</v>
      </c>
      <c r="O19" s="47">
        <v>2028</v>
      </c>
      <c r="P19" s="47">
        <v>2029</v>
      </c>
      <c r="Q19" s="47">
        <v>2030</v>
      </c>
      <c r="R19" s="47">
        <v>2031</v>
      </c>
      <c r="S19" s="47">
        <v>2032</v>
      </c>
      <c r="T19" s="47">
        <v>2033</v>
      </c>
      <c r="U19" s="47">
        <v>2034</v>
      </c>
      <c r="V19" s="47">
        <v>2035</v>
      </c>
    </row>
    <row r="20" spans="2:22" x14ac:dyDescent="0.25">
      <c r="B20" s="45" t="s">
        <v>73</v>
      </c>
      <c r="C20" s="46">
        <v>511</v>
      </c>
      <c r="D20" s="46">
        <v>540</v>
      </c>
      <c r="E20" s="46">
        <v>587.5</v>
      </c>
      <c r="F20" s="46">
        <v>458.5</v>
      </c>
      <c r="G20" s="46">
        <v>477.5</v>
      </c>
      <c r="H20" s="46">
        <v>385</v>
      </c>
      <c r="I20" s="46">
        <v>385</v>
      </c>
      <c r="J20" s="46">
        <v>385</v>
      </c>
      <c r="K20" s="46">
        <v>385</v>
      </c>
      <c r="L20" s="46">
        <v>385</v>
      </c>
      <c r="M20" s="46">
        <v>385</v>
      </c>
      <c r="N20" s="46">
        <v>385</v>
      </c>
      <c r="O20" s="46">
        <v>385</v>
      </c>
      <c r="P20" s="46">
        <v>385</v>
      </c>
      <c r="Q20" s="46">
        <v>385</v>
      </c>
      <c r="R20" s="46">
        <v>385</v>
      </c>
      <c r="S20" s="46">
        <v>385</v>
      </c>
      <c r="T20" s="46">
        <v>385</v>
      </c>
      <c r="U20" s="46">
        <v>385</v>
      </c>
      <c r="V20" s="46">
        <v>385</v>
      </c>
    </row>
    <row r="21" spans="2:22" x14ac:dyDescent="0.25">
      <c r="B21" s="45" t="s">
        <v>72</v>
      </c>
      <c r="C21" s="37">
        <v>41</v>
      </c>
      <c r="D21" s="37">
        <v>55</v>
      </c>
      <c r="E21" s="37">
        <v>56</v>
      </c>
      <c r="F21" s="37">
        <v>59</v>
      </c>
      <c r="G21" s="37">
        <v>59</v>
      </c>
      <c r="H21" s="37">
        <v>59</v>
      </c>
      <c r="I21" s="37">
        <v>59</v>
      </c>
      <c r="J21" s="37">
        <v>76</v>
      </c>
      <c r="K21" s="37">
        <v>93</v>
      </c>
      <c r="L21" s="37">
        <v>110</v>
      </c>
      <c r="M21" s="37">
        <v>110</v>
      </c>
      <c r="N21" s="37">
        <v>110</v>
      </c>
      <c r="O21" s="37">
        <v>110</v>
      </c>
      <c r="P21" s="37">
        <v>110</v>
      </c>
      <c r="Q21" s="37">
        <v>110</v>
      </c>
      <c r="R21" s="37">
        <v>110</v>
      </c>
      <c r="S21" s="37">
        <v>110</v>
      </c>
      <c r="T21" s="37">
        <v>110</v>
      </c>
      <c r="U21" s="37">
        <v>110</v>
      </c>
      <c r="V21" s="37">
        <v>110</v>
      </c>
    </row>
    <row r="22" spans="2:22" x14ac:dyDescent="0.25">
      <c r="B22" s="45" t="s">
        <v>71</v>
      </c>
      <c r="C22" s="44">
        <v>9.5</v>
      </c>
      <c r="D22" s="44">
        <v>9.5</v>
      </c>
      <c r="E22" s="44">
        <v>9.5</v>
      </c>
      <c r="F22" s="44">
        <v>9.5</v>
      </c>
      <c r="G22" s="44">
        <v>9.5</v>
      </c>
      <c r="H22" s="44">
        <v>9.5</v>
      </c>
      <c r="I22" s="44">
        <v>9.5</v>
      </c>
      <c r="J22" s="44">
        <v>9.5</v>
      </c>
      <c r="K22" s="44">
        <v>9.5</v>
      </c>
      <c r="L22" s="44">
        <v>9.5</v>
      </c>
      <c r="M22" s="44">
        <v>9.5</v>
      </c>
      <c r="N22" s="44">
        <v>9.5</v>
      </c>
      <c r="O22" s="44">
        <v>9.5</v>
      </c>
      <c r="P22" s="44">
        <v>9.5</v>
      </c>
      <c r="Q22" s="44">
        <v>9.5</v>
      </c>
      <c r="R22" s="44">
        <v>9.5</v>
      </c>
      <c r="S22" s="44">
        <v>9.5</v>
      </c>
      <c r="T22" s="44">
        <v>9.5</v>
      </c>
      <c r="U22" s="44">
        <v>9.5</v>
      </c>
      <c r="V22" s="44">
        <v>9.5</v>
      </c>
    </row>
    <row r="23" spans="2:22" x14ac:dyDescent="0.25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2:22" x14ac:dyDescent="0.25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  <row r="25" spans="2:22" x14ac:dyDescent="0.25">
      <c r="B25" s="43" t="s">
        <v>70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  <row r="26" spans="2:22" x14ac:dyDescent="0.25">
      <c r="B26" s="43" t="s">
        <v>69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2:22" x14ac:dyDescent="0.25">
      <c r="B27" s="43" t="s">
        <v>68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2:22" x14ac:dyDescent="0.25">
      <c r="B28" s="28" t="s">
        <v>67</v>
      </c>
      <c r="C28" s="28">
        <v>64</v>
      </c>
      <c r="D28" s="28">
        <v>147</v>
      </c>
      <c r="E28" s="28">
        <v>158</v>
      </c>
      <c r="F28" s="28">
        <v>80</v>
      </c>
      <c r="G28" s="28">
        <v>61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</row>
    <row r="29" spans="2:22" x14ac:dyDescent="0.25">
      <c r="B29" s="28" t="s">
        <v>66</v>
      </c>
      <c r="C29" s="28">
        <v>393</v>
      </c>
      <c r="D29" s="28">
        <v>404</v>
      </c>
      <c r="E29" s="28">
        <v>454</v>
      </c>
      <c r="F29" s="28">
        <v>407</v>
      </c>
      <c r="G29" s="28">
        <v>457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workbookViewId="0">
      <selection activeCell="D29" sqref="D29"/>
    </sheetView>
  </sheetViews>
  <sheetFormatPr defaultRowHeight="15" x14ac:dyDescent="0.25"/>
  <cols>
    <col min="1" max="1" width="46.85546875" style="28" customWidth="1"/>
    <col min="2" max="9" width="5.5703125" style="28" bestFit="1" customWidth="1"/>
    <col min="10" max="20" width="5.7109375" style="28" bestFit="1" customWidth="1"/>
    <col min="21" max="21" width="5.7109375" style="28" customWidth="1"/>
    <col min="22" max="22" width="2.7109375" style="28" customWidth="1"/>
    <col min="23" max="23" width="49.7109375" style="28" customWidth="1"/>
    <col min="24" max="33" width="7.42578125" style="28" customWidth="1"/>
    <col min="34" max="16384" width="9.140625" style="28"/>
  </cols>
  <sheetData>
    <row r="1" spans="1:33" ht="18.75" x14ac:dyDescent="0.3">
      <c r="A1" s="55" t="s">
        <v>78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33" ht="15.75" x14ac:dyDescent="0.25">
      <c r="A2" s="57" t="s">
        <v>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33" ht="15.75" thickBot="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33" ht="16.5" thickBot="1" x14ac:dyDescent="0.3">
      <c r="A4" s="58"/>
      <c r="B4" s="59">
        <v>2014</v>
      </c>
      <c r="C4" s="59">
        <v>2015</v>
      </c>
      <c r="D4" s="59">
        <v>2016</v>
      </c>
      <c r="E4" s="59">
        <v>2017</v>
      </c>
      <c r="F4" s="59">
        <v>2018</v>
      </c>
      <c r="G4" s="59">
        <v>2019</v>
      </c>
      <c r="H4" s="59">
        <v>2020</v>
      </c>
      <c r="I4" s="59">
        <v>2021</v>
      </c>
      <c r="J4" s="59">
        <v>2022</v>
      </c>
      <c r="K4" s="59">
        <v>2023</v>
      </c>
      <c r="L4" s="59">
        <v>2024</v>
      </c>
      <c r="M4" s="59">
        <v>2025</v>
      </c>
      <c r="N4" s="59">
        <v>2026</v>
      </c>
      <c r="O4" s="59">
        <v>2027</v>
      </c>
      <c r="P4" s="59">
        <v>2028</v>
      </c>
      <c r="Q4" s="59">
        <v>2029</v>
      </c>
      <c r="R4" s="59">
        <v>2030</v>
      </c>
      <c r="S4" s="59">
        <v>2031</v>
      </c>
      <c r="T4" s="59">
        <v>2032</v>
      </c>
      <c r="U4" s="60">
        <v>2033</v>
      </c>
      <c r="W4" s="61"/>
      <c r="X4" s="62">
        <v>2014</v>
      </c>
      <c r="Y4" s="62">
        <v>2015</v>
      </c>
      <c r="Z4" s="62">
        <v>2016</v>
      </c>
      <c r="AA4" s="62">
        <v>2017</v>
      </c>
      <c r="AB4" s="62">
        <v>2018</v>
      </c>
      <c r="AC4" s="62">
        <v>2019</v>
      </c>
      <c r="AD4" s="62">
        <v>2020</v>
      </c>
      <c r="AE4" s="62">
        <v>2021</v>
      </c>
      <c r="AF4" s="62">
        <v>2022</v>
      </c>
      <c r="AG4" s="63">
        <v>2023</v>
      </c>
    </row>
    <row r="5" spans="1:33" ht="15.75" x14ac:dyDescent="0.25">
      <c r="A5" s="64" t="s">
        <v>80</v>
      </c>
      <c r="B5" s="65">
        <f>[2]Summary!C17</f>
        <v>320</v>
      </c>
      <c r="C5" s="65">
        <f>[2]Summary!D17</f>
        <v>340</v>
      </c>
      <c r="D5" s="65">
        <f>[2]Summary!E17</f>
        <v>350</v>
      </c>
      <c r="E5" s="65">
        <f>[2]Summary!F17</f>
        <v>350</v>
      </c>
      <c r="F5" s="65">
        <f>[2]Summary!G17</f>
        <v>360</v>
      </c>
      <c r="G5" s="65">
        <f>[2]Summary!H17</f>
        <v>350</v>
      </c>
      <c r="H5" s="65">
        <f>[2]Summary!I17</f>
        <v>330</v>
      </c>
      <c r="I5" s="65">
        <f>[2]Summary!J17</f>
        <v>310</v>
      </c>
      <c r="J5" s="65">
        <f>[2]Summary!K17</f>
        <v>300</v>
      </c>
      <c r="K5" s="65">
        <f>[2]Summary!L17</f>
        <v>300</v>
      </c>
      <c r="L5" s="66">
        <f>[2]Summary!M17</f>
        <v>300</v>
      </c>
      <c r="M5" s="66">
        <f>[2]Summary!N17</f>
        <v>300</v>
      </c>
      <c r="N5" s="66">
        <f>[2]Summary!O17</f>
        <v>300</v>
      </c>
      <c r="O5" s="66">
        <f>[2]Summary!P17</f>
        <v>300</v>
      </c>
      <c r="P5" s="66">
        <f>[2]Summary!Q17</f>
        <v>300</v>
      </c>
      <c r="Q5" s="66">
        <f>[2]Summary!R17</f>
        <v>300</v>
      </c>
      <c r="R5" s="66">
        <f>[2]Summary!S17</f>
        <v>300</v>
      </c>
      <c r="S5" s="66">
        <f>[2]Summary!T17</f>
        <v>300</v>
      </c>
      <c r="T5" s="66">
        <f>[2]Summary!U17</f>
        <v>300</v>
      </c>
      <c r="U5" s="67">
        <v>300</v>
      </c>
      <c r="W5" s="68" t="s">
        <v>80</v>
      </c>
      <c r="X5" s="65">
        <f t="shared" ref="X5:AG6" si="0">B5</f>
        <v>320</v>
      </c>
      <c r="Y5" s="65">
        <f t="shared" si="0"/>
        <v>340</v>
      </c>
      <c r="Z5" s="65">
        <f t="shared" si="0"/>
        <v>350</v>
      </c>
      <c r="AA5" s="65">
        <f t="shared" si="0"/>
        <v>350</v>
      </c>
      <c r="AB5" s="65">
        <f t="shared" si="0"/>
        <v>360</v>
      </c>
      <c r="AC5" s="65">
        <f t="shared" si="0"/>
        <v>350</v>
      </c>
      <c r="AD5" s="65">
        <f t="shared" si="0"/>
        <v>330</v>
      </c>
      <c r="AE5" s="65">
        <f t="shared" si="0"/>
        <v>310</v>
      </c>
      <c r="AF5" s="65">
        <f t="shared" si="0"/>
        <v>300</v>
      </c>
      <c r="AG5" s="69">
        <f t="shared" si="0"/>
        <v>300</v>
      </c>
    </row>
    <row r="6" spans="1:33" ht="15.75" x14ac:dyDescent="0.25">
      <c r="A6" s="64" t="s">
        <v>81</v>
      </c>
      <c r="B6" s="70">
        <f>B5/142*1.08*0.8</f>
        <v>1.9470422535211271</v>
      </c>
      <c r="C6" s="70">
        <f>C5/142*1.08*0.8</f>
        <v>2.0687323943661973</v>
      </c>
      <c r="D6" s="70">
        <f t="shared" ref="D6:N6" si="1">D5/142*1.08*0.8</f>
        <v>2.1295774647887327</v>
      </c>
      <c r="E6" s="70">
        <f t="shared" si="1"/>
        <v>2.1295774647887327</v>
      </c>
      <c r="F6" s="70">
        <f t="shared" si="1"/>
        <v>2.1904225352112681</v>
      </c>
      <c r="G6" s="70">
        <f>G5/142*1.08*0.8</f>
        <v>2.1295774647887327</v>
      </c>
      <c r="H6" s="70">
        <f t="shared" si="1"/>
        <v>2.0078873239436623</v>
      </c>
      <c r="I6" s="70">
        <f t="shared" si="1"/>
        <v>1.886197183098592</v>
      </c>
      <c r="J6" s="70">
        <f t="shared" si="1"/>
        <v>1.8253521126760566</v>
      </c>
      <c r="K6" s="70">
        <f t="shared" si="1"/>
        <v>1.8253521126760566</v>
      </c>
      <c r="L6" s="66">
        <f t="shared" si="1"/>
        <v>1.8253521126760566</v>
      </c>
      <c r="M6" s="66">
        <f t="shared" si="1"/>
        <v>1.8253521126760566</v>
      </c>
      <c r="N6" s="66">
        <f t="shared" si="1"/>
        <v>1.8253521126760566</v>
      </c>
      <c r="O6" s="66">
        <f>O5/142*1.08*0.8</f>
        <v>1.8253521126760566</v>
      </c>
      <c r="P6" s="66">
        <f t="shared" ref="P6:U6" si="2">P5/142*1.08*0.8</f>
        <v>1.8253521126760566</v>
      </c>
      <c r="Q6" s="66">
        <f t="shared" si="2"/>
        <v>1.8253521126760566</v>
      </c>
      <c r="R6" s="66">
        <f t="shared" si="2"/>
        <v>1.8253521126760566</v>
      </c>
      <c r="S6" s="66">
        <f t="shared" si="2"/>
        <v>1.8253521126760566</v>
      </c>
      <c r="T6" s="66">
        <f t="shared" si="2"/>
        <v>1.8253521126760566</v>
      </c>
      <c r="U6" s="67">
        <f t="shared" si="2"/>
        <v>1.8253521126760566</v>
      </c>
      <c r="W6" s="68" t="s">
        <v>81</v>
      </c>
      <c r="X6" s="70">
        <f t="shared" si="0"/>
        <v>1.9470422535211271</v>
      </c>
      <c r="Y6" s="70">
        <f t="shared" si="0"/>
        <v>2.0687323943661973</v>
      </c>
      <c r="Z6" s="70">
        <f t="shared" si="0"/>
        <v>2.1295774647887327</v>
      </c>
      <c r="AA6" s="70">
        <f t="shared" si="0"/>
        <v>2.1295774647887327</v>
      </c>
      <c r="AB6" s="70">
        <f t="shared" si="0"/>
        <v>2.1904225352112681</v>
      </c>
      <c r="AC6" s="70">
        <f t="shared" si="0"/>
        <v>2.1295774647887327</v>
      </c>
      <c r="AD6" s="70">
        <f t="shared" si="0"/>
        <v>2.0078873239436623</v>
      </c>
      <c r="AE6" s="70">
        <f t="shared" si="0"/>
        <v>1.886197183098592</v>
      </c>
      <c r="AF6" s="70">
        <f t="shared" si="0"/>
        <v>1.8253521126760566</v>
      </c>
      <c r="AG6" s="71">
        <f t="shared" si="0"/>
        <v>1.8253521126760566</v>
      </c>
    </row>
    <row r="7" spans="1:33" ht="15.75" x14ac:dyDescent="0.25">
      <c r="A7" s="64" t="s">
        <v>82</v>
      </c>
      <c r="B7" s="72">
        <f>B5/10</f>
        <v>32</v>
      </c>
      <c r="C7" s="72">
        <f>B7</f>
        <v>32</v>
      </c>
      <c r="D7" s="72">
        <f t="shared" ref="D7:S16" si="3">C7</f>
        <v>32</v>
      </c>
      <c r="E7" s="72">
        <f t="shared" si="3"/>
        <v>32</v>
      </c>
      <c r="F7" s="72">
        <f t="shared" si="3"/>
        <v>32</v>
      </c>
      <c r="G7" s="72">
        <f t="shared" si="3"/>
        <v>32</v>
      </c>
      <c r="H7" s="72">
        <f t="shared" si="3"/>
        <v>32</v>
      </c>
      <c r="I7" s="72">
        <f t="shared" si="3"/>
        <v>32</v>
      </c>
      <c r="J7" s="72">
        <f t="shared" si="3"/>
        <v>32</v>
      </c>
      <c r="K7" s="72">
        <f t="shared" si="3"/>
        <v>32</v>
      </c>
      <c r="L7" s="66"/>
      <c r="M7" s="66"/>
      <c r="N7" s="66"/>
      <c r="O7" s="66"/>
      <c r="P7" s="66"/>
      <c r="Q7" s="66"/>
      <c r="R7" s="66"/>
      <c r="S7" s="66"/>
      <c r="T7" s="66"/>
      <c r="U7" s="67"/>
      <c r="W7" s="68"/>
      <c r="X7" s="66"/>
      <c r="Y7" s="66"/>
      <c r="Z7" s="66"/>
      <c r="AA7" s="66"/>
      <c r="AB7" s="66"/>
      <c r="AC7" s="66"/>
      <c r="AD7" s="66"/>
      <c r="AE7" s="66"/>
      <c r="AF7" s="66"/>
      <c r="AG7" s="67"/>
    </row>
    <row r="8" spans="1:33" ht="15.75" x14ac:dyDescent="0.25">
      <c r="A8" s="64" t="s">
        <v>83</v>
      </c>
      <c r="B8" s="70"/>
      <c r="C8" s="72">
        <f>C5/10</f>
        <v>34</v>
      </c>
      <c r="D8" s="72">
        <f>C8</f>
        <v>34</v>
      </c>
      <c r="E8" s="72">
        <f t="shared" si="3"/>
        <v>34</v>
      </c>
      <c r="F8" s="72">
        <f t="shared" si="3"/>
        <v>34</v>
      </c>
      <c r="G8" s="72">
        <f t="shared" si="3"/>
        <v>34</v>
      </c>
      <c r="H8" s="72">
        <f t="shared" si="3"/>
        <v>34</v>
      </c>
      <c r="I8" s="72">
        <f t="shared" si="3"/>
        <v>34</v>
      </c>
      <c r="J8" s="72">
        <f t="shared" si="3"/>
        <v>34</v>
      </c>
      <c r="K8" s="72">
        <f t="shared" si="3"/>
        <v>34</v>
      </c>
      <c r="L8" s="72">
        <f t="shared" si="3"/>
        <v>34</v>
      </c>
      <c r="M8" s="66"/>
      <c r="N8" s="66"/>
      <c r="O8" s="66"/>
      <c r="P8" s="66"/>
      <c r="Q8" s="66"/>
      <c r="R8" s="66"/>
      <c r="S8" s="66"/>
      <c r="T8" s="66"/>
      <c r="U8" s="67"/>
      <c r="W8" s="68"/>
      <c r="X8" s="66"/>
      <c r="Y8" s="66"/>
      <c r="Z8" s="66"/>
      <c r="AA8" s="66"/>
      <c r="AB8" s="66"/>
      <c r="AC8" s="66"/>
      <c r="AD8" s="66"/>
      <c r="AE8" s="66"/>
      <c r="AF8" s="66"/>
      <c r="AG8" s="67"/>
    </row>
    <row r="9" spans="1:33" ht="15.75" x14ac:dyDescent="0.25">
      <c r="A9" s="64" t="s">
        <v>84</v>
      </c>
      <c r="B9" s="70"/>
      <c r="C9" s="70"/>
      <c r="D9" s="72">
        <f>D5/10</f>
        <v>35</v>
      </c>
      <c r="E9" s="72">
        <f>D9</f>
        <v>35</v>
      </c>
      <c r="F9" s="72">
        <f t="shared" si="3"/>
        <v>35</v>
      </c>
      <c r="G9" s="72">
        <f t="shared" si="3"/>
        <v>35</v>
      </c>
      <c r="H9" s="72">
        <f t="shared" si="3"/>
        <v>35</v>
      </c>
      <c r="I9" s="72">
        <f t="shared" si="3"/>
        <v>35</v>
      </c>
      <c r="J9" s="72">
        <f t="shared" si="3"/>
        <v>35</v>
      </c>
      <c r="K9" s="72">
        <f t="shared" si="3"/>
        <v>35</v>
      </c>
      <c r="L9" s="72">
        <f t="shared" si="3"/>
        <v>35</v>
      </c>
      <c r="M9" s="72">
        <f t="shared" si="3"/>
        <v>35</v>
      </c>
      <c r="N9" s="66"/>
      <c r="O9" s="66"/>
      <c r="P9" s="66"/>
      <c r="Q9" s="66"/>
      <c r="R9" s="66"/>
      <c r="S9" s="66"/>
      <c r="T9" s="66"/>
      <c r="U9" s="67"/>
      <c r="W9" s="68"/>
      <c r="X9" s="66"/>
      <c r="Y9" s="66"/>
      <c r="Z9" s="66"/>
      <c r="AA9" s="66"/>
      <c r="AB9" s="66"/>
      <c r="AC9" s="66"/>
      <c r="AD9" s="66"/>
      <c r="AE9" s="66"/>
      <c r="AF9" s="66"/>
      <c r="AG9" s="67"/>
    </row>
    <row r="10" spans="1:33" ht="15.75" x14ac:dyDescent="0.25">
      <c r="A10" s="64" t="s">
        <v>85</v>
      </c>
      <c r="B10" s="70"/>
      <c r="C10" s="70"/>
      <c r="D10" s="70"/>
      <c r="E10" s="72">
        <f>E5/10</f>
        <v>35</v>
      </c>
      <c r="F10" s="72">
        <f>E10</f>
        <v>35</v>
      </c>
      <c r="G10" s="72">
        <f t="shared" si="3"/>
        <v>35</v>
      </c>
      <c r="H10" s="72">
        <f t="shared" si="3"/>
        <v>35</v>
      </c>
      <c r="I10" s="72">
        <f t="shared" si="3"/>
        <v>35</v>
      </c>
      <c r="J10" s="72">
        <f t="shared" si="3"/>
        <v>35</v>
      </c>
      <c r="K10" s="72">
        <f t="shared" si="3"/>
        <v>35</v>
      </c>
      <c r="L10" s="72">
        <f t="shared" si="3"/>
        <v>35</v>
      </c>
      <c r="M10" s="72">
        <f t="shared" si="3"/>
        <v>35</v>
      </c>
      <c r="N10" s="72">
        <f t="shared" si="3"/>
        <v>35</v>
      </c>
      <c r="O10" s="66"/>
      <c r="P10" s="66"/>
      <c r="Q10" s="66"/>
      <c r="R10" s="66"/>
      <c r="S10" s="66"/>
      <c r="T10" s="66"/>
      <c r="U10" s="67"/>
      <c r="W10" s="68"/>
      <c r="X10" s="66"/>
      <c r="Y10" s="66"/>
      <c r="Z10" s="66"/>
      <c r="AA10" s="66"/>
      <c r="AB10" s="66"/>
      <c r="AC10" s="66"/>
      <c r="AD10" s="66"/>
      <c r="AE10" s="66"/>
      <c r="AF10" s="66"/>
      <c r="AG10" s="67"/>
    </row>
    <row r="11" spans="1:33" ht="15.75" x14ac:dyDescent="0.25">
      <c r="A11" s="64" t="s">
        <v>86</v>
      </c>
      <c r="B11" s="70"/>
      <c r="C11" s="70"/>
      <c r="D11" s="70"/>
      <c r="E11" s="70"/>
      <c r="F11" s="72">
        <f>F5/10</f>
        <v>36</v>
      </c>
      <c r="G11" s="72">
        <f>F11</f>
        <v>36</v>
      </c>
      <c r="H11" s="72">
        <f t="shared" si="3"/>
        <v>36</v>
      </c>
      <c r="I11" s="72">
        <f t="shared" si="3"/>
        <v>36</v>
      </c>
      <c r="J11" s="72">
        <f t="shared" si="3"/>
        <v>36</v>
      </c>
      <c r="K11" s="72">
        <f t="shared" si="3"/>
        <v>36</v>
      </c>
      <c r="L11" s="72">
        <f t="shared" si="3"/>
        <v>36</v>
      </c>
      <c r="M11" s="72">
        <f t="shared" si="3"/>
        <v>36</v>
      </c>
      <c r="N11" s="72">
        <f t="shared" si="3"/>
        <v>36</v>
      </c>
      <c r="O11" s="72">
        <f t="shared" si="3"/>
        <v>36</v>
      </c>
      <c r="P11" s="66"/>
      <c r="Q11" s="66"/>
      <c r="R11" s="66"/>
      <c r="S11" s="66"/>
      <c r="T11" s="66"/>
      <c r="U11" s="67"/>
      <c r="W11" s="68"/>
      <c r="X11" s="66"/>
      <c r="Y11" s="66"/>
      <c r="Z11" s="66"/>
      <c r="AA11" s="66"/>
      <c r="AB11" s="66"/>
      <c r="AC11" s="66"/>
      <c r="AD11" s="66"/>
      <c r="AE11" s="66"/>
      <c r="AF11" s="66"/>
      <c r="AG11" s="67"/>
    </row>
    <row r="12" spans="1:33" ht="15.75" x14ac:dyDescent="0.25">
      <c r="A12" s="64" t="s">
        <v>87</v>
      </c>
      <c r="B12" s="70"/>
      <c r="C12" s="70"/>
      <c r="D12" s="70"/>
      <c r="E12" s="70"/>
      <c r="F12" s="72"/>
      <c r="G12" s="72">
        <f>G5/10</f>
        <v>35</v>
      </c>
      <c r="H12" s="72">
        <f>G12</f>
        <v>35</v>
      </c>
      <c r="I12" s="72">
        <f t="shared" si="3"/>
        <v>35</v>
      </c>
      <c r="J12" s="72">
        <f t="shared" si="3"/>
        <v>35</v>
      </c>
      <c r="K12" s="72">
        <f t="shared" si="3"/>
        <v>35</v>
      </c>
      <c r="L12" s="72">
        <f t="shared" si="3"/>
        <v>35</v>
      </c>
      <c r="M12" s="72">
        <f t="shared" si="3"/>
        <v>35</v>
      </c>
      <c r="N12" s="72">
        <f t="shared" si="3"/>
        <v>35</v>
      </c>
      <c r="O12" s="72">
        <f t="shared" si="3"/>
        <v>35</v>
      </c>
      <c r="P12" s="72">
        <f t="shared" si="3"/>
        <v>35</v>
      </c>
      <c r="Q12" s="66"/>
      <c r="R12" s="66"/>
      <c r="S12" s="66"/>
      <c r="T12" s="66"/>
      <c r="U12" s="67"/>
      <c r="W12" s="68"/>
      <c r="X12" s="66"/>
      <c r="Y12" s="66"/>
      <c r="Z12" s="66"/>
      <c r="AA12" s="66"/>
      <c r="AB12" s="66"/>
      <c r="AC12" s="66"/>
      <c r="AD12" s="66"/>
      <c r="AE12" s="66"/>
      <c r="AF12" s="66"/>
      <c r="AG12" s="67"/>
    </row>
    <row r="13" spans="1:33" ht="15.75" x14ac:dyDescent="0.25">
      <c r="A13" s="64" t="s">
        <v>88</v>
      </c>
      <c r="B13" s="70"/>
      <c r="C13" s="70"/>
      <c r="D13" s="70"/>
      <c r="E13" s="70"/>
      <c r="F13" s="72"/>
      <c r="G13" s="72"/>
      <c r="H13" s="72">
        <f>H5/10</f>
        <v>33</v>
      </c>
      <c r="I13" s="72">
        <f>H13</f>
        <v>33</v>
      </c>
      <c r="J13" s="72">
        <f t="shared" si="3"/>
        <v>33</v>
      </c>
      <c r="K13" s="72">
        <f t="shared" si="3"/>
        <v>33</v>
      </c>
      <c r="L13" s="72">
        <f t="shared" si="3"/>
        <v>33</v>
      </c>
      <c r="M13" s="72">
        <f t="shared" si="3"/>
        <v>33</v>
      </c>
      <c r="N13" s="72">
        <f t="shared" si="3"/>
        <v>33</v>
      </c>
      <c r="O13" s="72">
        <f t="shared" si="3"/>
        <v>33</v>
      </c>
      <c r="P13" s="72">
        <f t="shared" si="3"/>
        <v>33</v>
      </c>
      <c r="Q13" s="72">
        <f t="shared" si="3"/>
        <v>33</v>
      </c>
      <c r="R13" s="66"/>
      <c r="S13" s="66"/>
      <c r="T13" s="66"/>
      <c r="U13" s="67"/>
      <c r="W13" s="68"/>
      <c r="X13" s="66"/>
      <c r="Y13" s="66"/>
      <c r="Z13" s="66"/>
      <c r="AA13" s="66"/>
      <c r="AB13" s="66"/>
      <c r="AC13" s="66"/>
      <c r="AD13" s="66"/>
      <c r="AE13" s="66"/>
      <c r="AF13" s="66"/>
      <c r="AG13" s="67"/>
    </row>
    <row r="14" spans="1:33" ht="15.75" x14ac:dyDescent="0.25">
      <c r="A14" s="64" t="s">
        <v>89</v>
      </c>
      <c r="B14" s="70"/>
      <c r="C14" s="70"/>
      <c r="D14" s="70"/>
      <c r="E14" s="70"/>
      <c r="F14" s="72"/>
      <c r="G14" s="72"/>
      <c r="H14" s="72"/>
      <c r="I14" s="72">
        <f>I5/10</f>
        <v>31</v>
      </c>
      <c r="J14" s="72">
        <f>I14</f>
        <v>31</v>
      </c>
      <c r="K14" s="72">
        <f>J14</f>
        <v>31</v>
      </c>
      <c r="L14" s="72">
        <f t="shared" si="3"/>
        <v>31</v>
      </c>
      <c r="M14" s="72">
        <f t="shared" si="3"/>
        <v>31</v>
      </c>
      <c r="N14" s="72">
        <f t="shared" si="3"/>
        <v>31</v>
      </c>
      <c r="O14" s="72">
        <f t="shared" si="3"/>
        <v>31</v>
      </c>
      <c r="P14" s="72">
        <f t="shared" si="3"/>
        <v>31</v>
      </c>
      <c r="Q14" s="72">
        <f t="shared" si="3"/>
        <v>31</v>
      </c>
      <c r="R14" s="72">
        <f t="shared" si="3"/>
        <v>31</v>
      </c>
      <c r="S14" s="66"/>
      <c r="T14" s="66"/>
      <c r="U14" s="67"/>
      <c r="W14" s="68"/>
      <c r="X14" s="66"/>
      <c r="Y14" s="66"/>
      <c r="Z14" s="66"/>
      <c r="AA14" s="66"/>
      <c r="AB14" s="66"/>
      <c r="AC14" s="66"/>
      <c r="AD14" s="66"/>
      <c r="AE14" s="66"/>
      <c r="AF14" s="66"/>
      <c r="AG14" s="67"/>
    </row>
    <row r="15" spans="1:33" ht="15.75" x14ac:dyDescent="0.25">
      <c r="A15" s="64" t="s">
        <v>90</v>
      </c>
      <c r="B15" s="70"/>
      <c r="C15" s="70"/>
      <c r="D15" s="70"/>
      <c r="E15" s="70"/>
      <c r="F15" s="72"/>
      <c r="G15" s="72"/>
      <c r="H15" s="72"/>
      <c r="I15" s="72"/>
      <c r="J15" s="72">
        <f>J5/10</f>
        <v>30</v>
      </c>
      <c r="K15" s="72">
        <f>J15</f>
        <v>30</v>
      </c>
      <c r="L15" s="72">
        <f t="shared" si="3"/>
        <v>30</v>
      </c>
      <c r="M15" s="72">
        <f t="shared" si="3"/>
        <v>30</v>
      </c>
      <c r="N15" s="72">
        <f t="shared" si="3"/>
        <v>30</v>
      </c>
      <c r="O15" s="72">
        <f t="shared" si="3"/>
        <v>30</v>
      </c>
      <c r="P15" s="72">
        <f t="shared" si="3"/>
        <v>30</v>
      </c>
      <c r="Q15" s="72">
        <f t="shared" si="3"/>
        <v>30</v>
      </c>
      <c r="R15" s="72">
        <f t="shared" si="3"/>
        <v>30</v>
      </c>
      <c r="S15" s="72">
        <f t="shared" si="3"/>
        <v>30</v>
      </c>
      <c r="T15" s="72"/>
      <c r="U15" s="67"/>
      <c r="W15" s="68"/>
      <c r="X15" s="66"/>
      <c r="Y15" s="66"/>
      <c r="Z15" s="66"/>
      <c r="AA15" s="66"/>
      <c r="AB15" s="66"/>
      <c r="AC15" s="66"/>
      <c r="AD15" s="66"/>
      <c r="AE15" s="66"/>
      <c r="AF15" s="66"/>
      <c r="AG15" s="67"/>
    </row>
    <row r="16" spans="1:33" ht="15.75" x14ac:dyDescent="0.25">
      <c r="A16" s="64" t="s">
        <v>91</v>
      </c>
      <c r="B16" s="70"/>
      <c r="C16" s="70"/>
      <c r="D16" s="70"/>
      <c r="E16" s="70"/>
      <c r="F16" s="72"/>
      <c r="G16" s="72"/>
      <c r="H16" s="72"/>
      <c r="I16" s="72"/>
      <c r="J16" s="72"/>
      <c r="K16" s="72">
        <f>K5/10</f>
        <v>30</v>
      </c>
      <c r="L16" s="72">
        <f>K16</f>
        <v>30</v>
      </c>
      <c r="M16" s="72">
        <f t="shared" si="3"/>
        <v>30</v>
      </c>
      <c r="N16" s="72">
        <f t="shared" si="3"/>
        <v>30</v>
      </c>
      <c r="O16" s="72">
        <f t="shared" si="3"/>
        <v>30</v>
      </c>
      <c r="P16" s="72">
        <f t="shared" si="3"/>
        <v>30</v>
      </c>
      <c r="Q16" s="72">
        <f t="shared" si="3"/>
        <v>30</v>
      </c>
      <c r="R16" s="72">
        <f t="shared" si="3"/>
        <v>30</v>
      </c>
      <c r="S16" s="72">
        <f t="shared" si="3"/>
        <v>30</v>
      </c>
      <c r="T16" s="72">
        <f t="shared" ref="M16:T24" si="4">S16</f>
        <v>30</v>
      </c>
      <c r="U16" s="73"/>
      <c r="W16" s="68"/>
      <c r="X16" s="66"/>
      <c r="Y16" s="66"/>
      <c r="Z16" s="66"/>
      <c r="AA16" s="66"/>
      <c r="AB16" s="66"/>
      <c r="AC16" s="66"/>
      <c r="AD16" s="66"/>
      <c r="AE16" s="66"/>
      <c r="AF16" s="66"/>
      <c r="AG16" s="67"/>
    </row>
    <row r="17" spans="1:33" ht="15.75" x14ac:dyDescent="0.25">
      <c r="A17" s="64" t="s">
        <v>92</v>
      </c>
      <c r="B17" s="70"/>
      <c r="C17" s="70"/>
      <c r="D17" s="70"/>
      <c r="E17" s="70"/>
      <c r="F17" s="72"/>
      <c r="G17" s="72"/>
      <c r="H17" s="72"/>
      <c r="I17" s="72"/>
      <c r="J17" s="72"/>
      <c r="K17" s="72"/>
      <c r="L17" s="72">
        <f>L5/10</f>
        <v>30</v>
      </c>
      <c r="M17" s="72">
        <f t="shared" si="4"/>
        <v>30</v>
      </c>
      <c r="N17" s="72">
        <f t="shared" si="4"/>
        <v>30</v>
      </c>
      <c r="O17" s="72">
        <f t="shared" si="4"/>
        <v>30</v>
      </c>
      <c r="P17" s="72">
        <f t="shared" si="4"/>
        <v>30</v>
      </c>
      <c r="Q17" s="72">
        <f t="shared" si="4"/>
        <v>30</v>
      </c>
      <c r="R17" s="72">
        <f t="shared" si="4"/>
        <v>30</v>
      </c>
      <c r="S17" s="72">
        <f t="shared" si="4"/>
        <v>30</v>
      </c>
      <c r="T17" s="72">
        <f t="shared" si="4"/>
        <v>30</v>
      </c>
      <c r="U17" s="73"/>
      <c r="W17" s="68"/>
      <c r="X17" s="66"/>
      <c r="Y17" s="66"/>
      <c r="Z17" s="66"/>
      <c r="AA17" s="66"/>
      <c r="AB17" s="66"/>
      <c r="AC17" s="66"/>
      <c r="AD17" s="66"/>
      <c r="AE17" s="66"/>
      <c r="AF17" s="66"/>
      <c r="AG17" s="67"/>
    </row>
    <row r="18" spans="1:33" ht="15.75" x14ac:dyDescent="0.25">
      <c r="A18" s="64" t="s">
        <v>93</v>
      </c>
      <c r="B18" s="70"/>
      <c r="C18" s="70"/>
      <c r="D18" s="70"/>
      <c r="E18" s="70"/>
      <c r="F18" s="72"/>
      <c r="G18" s="72"/>
      <c r="H18" s="72"/>
      <c r="I18" s="72"/>
      <c r="J18" s="72"/>
      <c r="K18" s="72"/>
      <c r="L18" s="72"/>
      <c r="M18" s="72">
        <f>M5/10</f>
        <v>30</v>
      </c>
      <c r="N18" s="72">
        <f t="shared" si="4"/>
        <v>30</v>
      </c>
      <c r="O18" s="72">
        <f t="shared" si="4"/>
        <v>30</v>
      </c>
      <c r="P18" s="72">
        <f t="shared" si="4"/>
        <v>30</v>
      </c>
      <c r="Q18" s="72">
        <f t="shared" si="4"/>
        <v>30</v>
      </c>
      <c r="R18" s="72">
        <f t="shared" si="4"/>
        <v>30</v>
      </c>
      <c r="S18" s="72">
        <f t="shared" si="4"/>
        <v>30</v>
      </c>
      <c r="T18" s="72">
        <f t="shared" si="4"/>
        <v>30</v>
      </c>
      <c r="U18" s="73"/>
      <c r="W18" s="68"/>
      <c r="X18" s="66"/>
      <c r="Y18" s="66"/>
      <c r="Z18" s="66"/>
      <c r="AA18" s="66"/>
      <c r="AB18" s="66"/>
      <c r="AC18" s="66"/>
      <c r="AD18" s="66"/>
      <c r="AE18" s="66"/>
      <c r="AF18" s="66"/>
      <c r="AG18" s="67"/>
    </row>
    <row r="19" spans="1:33" ht="15.75" x14ac:dyDescent="0.25">
      <c r="A19" s="64" t="s">
        <v>94</v>
      </c>
      <c r="B19" s="70"/>
      <c r="C19" s="70"/>
      <c r="D19" s="70"/>
      <c r="E19" s="70"/>
      <c r="F19" s="72"/>
      <c r="G19" s="72"/>
      <c r="H19" s="72"/>
      <c r="I19" s="72"/>
      <c r="J19" s="72"/>
      <c r="K19" s="72"/>
      <c r="L19" s="72"/>
      <c r="M19" s="72"/>
      <c r="N19" s="72">
        <f>N5/10</f>
        <v>30</v>
      </c>
      <c r="O19" s="72">
        <f t="shared" si="4"/>
        <v>30</v>
      </c>
      <c r="P19" s="72">
        <f t="shared" si="4"/>
        <v>30</v>
      </c>
      <c r="Q19" s="72">
        <f t="shared" si="4"/>
        <v>30</v>
      </c>
      <c r="R19" s="72">
        <f t="shared" si="4"/>
        <v>30</v>
      </c>
      <c r="S19" s="72">
        <f t="shared" si="4"/>
        <v>30</v>
      </c>
      <c r="T19" s="72">
        <f t="shared" si="4"/>
        <v>30</v>
      </c>
      <c r="U19" s="73"/>
      <c r="W19" s="68"/>
      <c r="X19" s="66"/>
      <c r="Y19" s="66"/>
      <c r="Z19" s="66"/>
      <c r="AA19" s="66"/>
      <c r="AB19" s="66"/>
      <c r="AC19" s="66"/>
      <c r="AD19" s="66"/>
      <c r="AE19" s="66"/>
      <c r="AF19" s="66"/>
      <c r="AG19" s="67"/>
    </row>
    <row r="20" spans="1:33" ht="15.75" x14ac:dyDescent="0.25">
      <c r="A20" s="64" t="s">
        <v>95</v>
      </c>
      <c r="B20" s="70"/>
      <c r="C20" s="70"/>
      <c r="D20" s="70"/>
      <c r="E20" s="70"/>
      <c r="F20" s="72"/>
      <c r="G20" s="72"/>
      <c r="H20" s="72"/>
      <c r="I20" s="72"/>
      <c r="J20" s="72"/>
      <c r="K20" s="72"/>
      <c r="L20" s="72"/>
      <c r="M20" s="72"/>
      <c r="N20" s="72"/>
      <c r="O20" s="72">
        <f>O5/10</f>
        <v>30</v>
      </c>
      <c r="P20" s="72">
        <f t="shared" si="4"/>
        <v>30</v>
      </c>
      <c r="Q20" s="72">
        <f t="shared" si="4"/>
        <v>30</v>
      </c>
      <c r="R20" s="72">
        <f t="shared" si="4"/>
        <v>30</v>
      </c>
      <c r="S20" s="72">
        <f t="shared" si="4"/>
        <v>30</v>
      </c>
      <c r="T20" s="72">
        <f t="shared" si="4"/>
        <v>30</v>
      </c>
      <c r="U20" s="73"/>
      <c r="W20" s="68"/>
      <c r="X20" s="66"/>
      <c r="Y20" s="66"/>
      <c r="Z20" s="66"/>
      <c r="AA20" s="66"/>
      <c r="AB20" s="66"/>
      <c r="AC20" s="66"/>
      <c r="AD20" s="66"/>
      <c r="AE20" s="66"/>
      <c r="AF20" s="66"/>
      <c r="AG20" s="67"/>
    </row>
    <row r="21" spans="1:33" ht="15.75" x14ac:dyDescent="0.25">
      <c r="A21" s="64" t="s">
        <v>96</v>
      </c>
      <c r="B21" s="70"/>
      <c r="C21" s="70"/>
      <c r="D21" s="70"/>
      <c r="E21" s="70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>
        <f>P5/10</f>
        <v>30</v>
      </c>
      <c r="Q21" s="72">
        <f t="shared" si="4"/>
        <v>30</v>
      </c>
      <c r="R21" s="72">
        <f t="shared" si="4"/>
        <v>30</v>
      </c>
      <c r="S21" s="72">
        <f t="shared" si="4"/>
        <v>30</v>
      </c>
      <c r="T21" s="72">
        <f t="shared" si="4"/>
        <v>30</v>
      </c>
      <c r="U21" s="73"/>
      <c r="W21" s="68"/>
      <c r="X21" s="66"/>
      <c r="Y21" s="66"/>
      <c r="Z21" s="66"/>
      <c r="AA21" s="66"/>
      <c r="AB21" s="66"/>
      <c r="AC21" s="66"/>
      <c r="AD21" s="66"/>
      <c r="AE21" s="66"/>
      <c r="AF21" s="66"/>
      <c r="AG21" s="67"/>
    </row>
    <row r="22" spans="1:33" ht="15.75" x14ac:dyDescent="0.25">
      <c r="A22" s="64" t="s">
        <v>97</v>
      </c>
      <c r="B22" s="70"/>
      <c r="C22" s="70"/>
      <c r="D22" s="70"/>
      <c r="E22" s="70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>
        <f>Q5/10</f>
        <v>30</v>
      </c>
      <c r="R22" s="72">
        <f t="shared" si="4"/>
        <v>30</v>
      </c>
      <c r="S22" s="72">
        <f t="shared" si="4"/>
        <v>30</v>
      </c>
      <c r="T22" s="72">
        <f t="shared" si="4"/>
        <v>30</v>
      </c>
      <c r="U22" s="73"/>
      <c r="W22" s="68"/>
      <c r="X22" s="66"/>
      <c r="Y22" s="66"/>
      <c r="Z22" s="66"/>
      <c r="AA22" s="66"/>
      <c r="AB22" s="66"/>
      <c r="AC22" s="66"/>
      <c r="AD22" s="66"/>
      <c r="AE22" s="66"/>
      <c r="AF22" s="66"/>
      <c r="AG22" s="67"/>
    </row>
    <row r="23" spans="1:33" ht="15.75" x14ac:dyDescent="0.25">
      <c r="A23" s="64" t="s">
        <v>98</v>
      </c>
      <c r="B23" s="70"/>
      <c r="C23" s="70"/>
      <c r="D23" s="70"/>
      <c r="E23" s="70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>
        <f>R5/10</f>
        <v>30</v>
      </c>
      <c r="S23" s="72">
        <f t="shared" si="4"/>
        <v>30</v>
      </c>
      <c r="T23" s="72">
        <f t="shared" si="4"/>
        <v>30</v>
      </c>
      <c r="U23" s="73"/>
      <c r="W23" s="68"/>
      <c r="X23" s="66"/>
      <c r="Y23" s="66"/>
      <c r="Z23" s="66"/>
      <c r="AA23" s="66"/>
      <c r="AB23" s="66"/>
      <c r="AC23" s="66"/>
      <c r="AD23" s="66"/>
      <c r="AE23" s="66"/>
      <c r="AF23" s="66"/>
      <c r="AG23" s="67"/>
    </row>
    <row r="24" spans="1:33" ht="15.75" x14ac:dyDescent="0.25">
      <c r="A24" s="64" t="s">
        <v>99</v>
      </c>
      <c r="B24" s="70"/>
      <c r="C24" s="70"/>
      <c r="D24" s="70"/>
      <c r="E24" s="70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>
        <f>S5/10</f>
        <v>30</v>
      </c>
      <c r="T24" s="72">
        <f t="shared" si="4"/>
        <v>30</v>
      </c>
      <c r="U24" s="73"/>
      <c r="W24" s="68"/>
      <c r="X24" s="66"/>
      <c r="Y24" s="66"/>
      <c r="Z24" s="66"/>
      <c r="AA24" s="66"/>
      <c r="AB24" s="66"/>
      <c r="AC24" s="66"/>
      <c r="AD24" s="66"/>
      <c r="AE24" s="66"/>
      <c r="AF24" s="66"/>
      <c r="AG24" s="67"/>
    </row>
    <row r="25" spans="1:33" ht="15.75" x14ac:dyDescent="0.25">
      <c r="A25" s="64" t="s">
        <v>100</v>
      </c>
      <c r="B25" s="70"/>
      <c r="C25" s="70"/>
      <c r="D25" s="70"/>
      <c r="E25" s="70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>
        <f>T5/10</f>
        <v>30</v>
      </c>
      <c r="U25" s="73"/>
      <c r="W25" s="68"/>
      <c r="X25" s="66"/>
      <c r="Y25" s="66"/>
      <c r="Z25" s="66"/>
      <c r="AA25" s="66"/>
      <c r="AB25" s="66"/>
      <c r="AC25" s="66"/>
      <c r="AD25" s="66"/>
      <c r="AE25" s="66"/>
      <c r="AF25" s="66"/>
      <c r="AG25" s="67"/>
    </row>
    <row r="26" spans="1:33" ht="15.75" x14ac:dyDescent="0.25">
      <c r="A26" s="64" t="s">
        <v>101</v>
      </c>
      <c r="B26" s="72">
        <f>SUM(B7:B25)</f>
        <v>32</v>
      </c>
      <c r="C26" s="72">
        <f>SUM(C7:C25)</f>
        <v>66</v>
      </c>
      <c r="D26" s="72">
        <f>SUM(D7:D25)</f>
        <v>101</v>
      </c>
      <c r="E26" s="72">
        <f t="shared" ref="E26:T26" si="5">SUM(E7:E25)</f>
        <v>136</v>
      </c>
      <c r="F26" s="72">
        <f t="shared" si="5"/>
        <v>172</v>
      </c>
      <c r="G26" s="72">
        <f t="shared" si="5"/>
        <v>207</v>
      </c>
      <c r="H26" s="72">
        <f t="shared" si="5"/>
        <v>240</v>
      </c>
      <c r="I26" s="72">
        <f t="shared" si="5"/>
        <v>271</v>
      </c>
      <c r="J26" s="72">
        <f t="shared" si="5"/>
        <v>301</v>
      </c>
      <c r="K26" s="72">
        <f t="shared" si="5"/>
        <v>331</v>
      </c>
      <c r="L26" s="72">
        <f t="shared" si="5"/>
        <v>329</v>
      </c>
      <c r="M26" s="72">
        <f>SUM(M7:M25)</f>
        <v>325</v>
      </c>
      <c r="N26" s="72">
        <f t="shared" si="5"/>
        <v>320</v>
      </c>
      <c r="O26" s="72">
        <f t="shared" si="5"/>
        <v>315</v>
      </c>
      <c r="P26" s="72">
        <f t="shared" si="5"/>
        <v>309</v>
      </c>
      <c r="Q26" s="72">
        <f t="shared" si="5"/>
        <v>304</v>
      </c>
      <c r="R26" s="72">
        <f t="shared" si="5"/>
        <v>301</v>
      </c>
      <c r="S26" s="72">
        <f t="shared" si="5"/>
        <v>300</v>
      </c>
      <c r="T26" s="72">
        <f t="shared" si="5"/>
        <v>300</v>
      </c>
      <c r="U26" s="73">
        <v>300</v>
      </c>
      <c r="W26" s="68" t="s">
        <v>101</v>
      </c>
      <c r="X26" s="72">
        <f t="shared" ref="X26:AG30" si="6">B26</f>
        <v>32</v>
      </c>
      <c r="Y26" s="72">
        <f t="shared" si="6"/>
        <v>66</v>
      </c>
      <c r="Z26" s="72">
        <f t="shared" si="6"/>
        <v>101</v>
      </c>
      <c r="AA26" s="72">
        <f t="shared" si="6"/>
        <v>136</v>
      </c>
      <c r="AB26" s="72">
        <f t="shared" si="6"/>
        <v>172</v>
      </c>
      <c r="AC26" s="72">
        <f t="shared" si="6"/>
        <v>207</v>
      </c>
      <c r="AD26" s="72">
        <f t="shared" si="6"/>
        <v>240</v>
      </c>
      <c r="AE26" s="72">
        <f t="shared" si="6"/>
        <v>271</v>
      </c>
      <c r="AF26" s="72">
        <f t="shared" si="6"/>
        <v>301</v>
      </c>
      <c r="AG26" s="73">
        <f t="shared" si="6"/>
        <v>331</v>
      </c>
    </row>
    <row r="27" spans="1:33" ht="15.75" x14ac:dyDescent="0.25">
      <c r="A27" s="64" t="s">
        <v>102</v>
      </c>
      <c r="B27" s="70">
        <v>3.75</v>
      </c>
      <c r="C27" s="70">
        <f>B27</f>
        <v>3.75</v>
      </c>
      <c r="D27" s="70">
        <f>C27</f>
        <v>3.75</v>
      </c>
      <c r="E27" s="70">
        <f t="shared" ref="E27:U27" si="7">D27</f>
        <v>3.75</v>
      </c>
      <c r="F27" s="70">
        <f t="shared" si="7"/>
        <v>3.75</v>
      </c>
      <c r="G27" s="70">
        <f t="shared" si="7"/>
        <v>3.75</v>
      </c>
      <c r="H27" s="70">
        <f t="shared" si="7"/>
        <v>3.75</v>
      </c>
      <c r="I27" s="70">
        <f t="shared" si="7"/>
        <v>3.75</v>
      </c>
      <c r="J27" s="70">
        <f t="shared" si="7"/>
        <v>3.75</v>
      </c>
      <c r="K27" s="70">
        <f t="shared" si="7"/>
        <v>3.75</v>
      </c>
      <c r="L27" s="70">
        <f t="shared" si="7"/>
        <v>3.75</v>
      </c>
      <c r="M27" s="70">
        <f t="shared" si="7"/>
        <v>3.75</v>
      </c>
      <c r="N27" s="70">
        <f t="shared" si="7"/>
        <v>3.75</v>
      </c>
      <c r="O27" s="70">
        <f t="shared" si="7"/>
        <v>3.75</v>
      </c>
      <c r="P27" s="70">
        <f t="shared" si="7"/>
        <v>3.75</v>
      </c>
      <c r="Q27" s="70">
        <f t="shared" si="7"/>
        <v>3.75</v>
      </c>
      <c r="R27" s="70">
        <f t="shared" si="7"/>
        <v>3.75</v>
      </c>
      <c r="S27" s="70">
        <f t="shared" si="7"/>
        <v>3.75</v>
      </c>
      <c r="T27" s="70">
        <f t="shared" si="7"/>
        <v>3.75</v>
      </c>
      <c r="U27" s="71">
        <f t="shared" si="7"/>
        <v>3.75</v>
      </c>
      <c r="W27" s="68" t="s">
        <v>102</v>
      </c>
      <c r="X27" s="70">
        <f t="shared" si="6"/>
        <v>3.75</v>
      </c>
      <c r="Y27" s="70">
        <f t="shared" si="6"/>
        <v>3.75</v>
      </c>
      <c r="Z27" s="70">
        <f t="shared" si="6"/>
        <v>3.75</v>
      </c>
      <c r="AA27" s="70">
        <f t="shared" si="6"/>
        <v>3.75</v>
      </c>
      <c r="AB27" s="70">
        <f t="shared" si="6"/>
        <v>3.75</v>
      </c>
      <c r="AC27" s="70">
        <f t="shared" si="6"/>
        <v>3.75</v>
      </c>
      <c r="AD27" s="70">
        <f t="shared" si="6"/>
        <v>3.75</v>
      </c>
      <c r="AE27" s="70">
        <f t="shared" si="6"/>
        <v>3.75</v>
      </c>
      <c r="AF27" s="70">
        <f t="shared" si="6"/>
        <v>3.75</v>
      </c>
      <c r="AG27" s="71">
        <f t="shared" si="6"/>
        <v>3.75</v>
      </c>
    </row>
    <row r="28" spans="1:33" ht="15.75" x14ac:dyDescent="0.25">
      <c r="A28" s="64" t="s">
        <v>103</v>
      </c>
      <c r="B28" s="72">
        <f>(B5-B26)*(B27/100)</f>
        <v>10.799999999999999</v>
      </c>
      <c r="C28" s="72">
        <f>(SUM($B5:C5)-SUM($B26:C26))*(C27/100)</f>
        <v>21.074999999999999</v>
      </c>
      <c r="D28" s="72">
        <f>(SUM($B5:D5)-SUM($B26:D26))*(D27/100)</f>
        <v>30.412499999999998</v>
      </c>
      <c r="E28" s="72">
        <f>(SUM($B5:E5)-SUM($B26:E26))*(E27/100)</f>
        <v>38.4375</v>
      </c>
      <c r="F28" s="72">
        <f>(SUM($B5:F5)-SUM($B26:F26))*(F27/100)</f>
        <v>45.487499999999997</v>
      </c>
      <c r="G28" s="72">
        <f>(SUM($B5:G5)-SUM($B26:G26))*(G27/100)</f>
        <v>50.85</v>
      </c>
      <c r="H28" s="72">
        <f>(SUM($B5:H5)-SUM($B26:H26))*(H27/100)</f>
        <v>54.225000000000001</v>
      </c>
      <c r="I28" s="72">
        <f>(SUM($B5:I5)-SUM($B26:I26))*(I27/100)</f>
        <v>55.6875</v>
      </c>
      <c r="J28" s="72">
        <f>(SUM($B5:J5)-SUM($B26:J26))*(J27/100)</f>
        <v>55.65</v>
      </c>
      <c r="K28" s="72">
        <f>(SUM($B5:K5)-SUM($B26:K26))*(K27/100)</f>
        <v>54.487499999999997</v>
      </c>
      <c r="L28" s="72">
        <f>(SUM($B5:L5)-SUM($B26:L26))*(L27/100)</f>
        <v>53.4</v>
      </c>
      <c r="M28" s="72">
        <f>(SUM($B5:M5)-SUM($B26:M26))*(M27/100)</f>
        <v>52.462499999999999</v>
      </c>
      <c r="N28" s="72">
        <f>(SUM($B5:N5)-SUM($B26:N26))*(N27/100)</f>
        <v>51.712499999999999</v>
      </c>
      <c r="O28" s="72">
        <f>(SUM($B5:O5)-SUM($B26:O26))*(O27/100)</f>
        <v>51.15</v>
      </c>
      <c r="P28" s="72">
        <f>(SUM($B5:P5)-SUM($B26:P26))*(P27/100)</f>
        <v>50.8125</v>
      </c>
      <c r="Q28" s="72">
        <f>(SUM($B5:Q5)-SUM($B26:Q26))*(Q27/100)</f>
        <v>50.662500000000001</v>
      </c>
      <c r="R28" s="72">
        <f>(SUM($B5:R5)-SUM($B26:R26))*(R27/100)</f>
        <v>50.625</v>
      </c>
      <c r="S28" s="72">
        <f>(SUM($B5:S5)-SUM($B26:S26))*(S27/100)</f>
        <v>50.625</v>
      </c>
      <c r="T28" s="72">
        <f>(SUM($B5:T5)-SUM($B26:T26))*(T27/100)</f>
        <v>50.625</v>
      </c>
      <c r="U28" s="73">
        <f>(SUM($B5:U5)-SUM($B26:U26))*(U27/100)</f>
        <v>50.625</v>
      </c>
      <c r="W28" s="68" t="s">
        <v>103</v>
      </c>
      <c r="X28" s="72">
        <f t="shared" si="6"/>
        <v>10.799999999999999</v>
      </c>
      <c r="Y28" s="72">
        <f t="shared" si="6"/>
        <v>21.074999999999999</v>
      </c>
      <c r="Z28" s="72">
        <f t="shared" si="6"/>
        <v>30.412499999999998</v>
      </c>
      <c r="AA28" s="72">
        <f t="shared" si="6"/>
        <v>38.4375</v>
      </c>
      <c r="AB28" s="72">
        <f t="shared" si="6"/>
        <v>45.487499999999997</v>
      </c>
      <c r="AC28" s="72">
        <f t="shared" si="6"/>
        <v>50.85</v>
      </c>
      <c r="AD28" s="72">
        <f t="shared" si="6"/>
        <v>54.225000000000001</v>
      </c>
      <c r="AE28" s="72">
        <f t="shared" si="6"/>
        <v>55.6875</v>
      </c>
      <c r="AF28" s="72">
        <f t="shared" si="6"/>
        <v>55.65</v>
      </c>
      <c r="AG28" s="73">
        <f t="shared" si="6"/>
        <v>54.487499999999997</v>
      </c>
    </row>
    <row r="29" spans="1:33" ht="15.75" x14ac:dyDescent="0.25">
      <c r="A29" s="64" t="s">
        <v>104</v>
      </c>
      <c r="B29" s="70">
        <f>SUM(B26+B28)/142*1.08*0.8</f>
        <v>0.2604169014084507</v>
      </c>
      <c r="C29" s="70">
        <f t="shared" ref="C29:T29" si="8">SUM(C26+C28)/142*1.08*0.8</f>
        <v>0.52980845070422544</v>
      </c>
      <c r="D29" s="70">
        <f t="shared" si="8"/>
        <v>0.79958028169014095</v>
      </c>
      <c r="E29" s="70">
        <f t="shared" si="8"/>
        <v>1.0613661971830985</v>
      </c>
      <c r="F29" s="70">
        <f t="shared" si="8"/>
        <v>1.323304225352113</v>
      </c>
      <c r="G29" s="70">
        <f t="shared" si="8"/>
        <v>1.5688901408450706</v>
      </c>
      <c r="H29" s="70">
        <f t="shared" si="8"/>
        <v>1.7902140845070424</v>
      </c>
      <c r="I29" s="70">
        <f t="shared" si="8"/>
        <v>1.9877323943661975</v>
      </c>
      <c r="J29" s="70">
        <f t="shared" si="8"/>
        <v>2.1700394366197187</v>
      </c>
      <c r="K29" s="70">
        <f t="shared" si="8"/>
        <v>2.3455014084507044</v>
      </c>
      <c r="L29" s="70">
        <f t="shared" si="8"/>
        <v>2.3267154929577467</v>
      </c>
      <c r="M29" s="70">
        <f t="shared" si="8"/>
        <v>2.2966732394366196</v>
      </c>
      <c r="N29" s="70">
        <f t="shared" si="8"/>
        <v>2.2616873239436619</v>
      </c>
      <c r="O29" s="70">
        <f t="shared" si="8"/>
        <v>2.2278422535211266</v>
      </c>
      <c r="P29" s="70">
        <f t="shared" si="8"/>
        <v>2.1892816901408452</v>
      </c>
      <c r="Q29" s="70">
        <f t="shared" si="8"/>
        <v>2.1579464788732396</v>
      </c>
      <c r="R29" s="70">
        <f t="shared" si="8"/>
        <v>2.1394647887323948</v>
      </c>
      <c r="S29" s="70">
        <f t="shared" si="8"/>
        <v>2.1333802816901413</v>
      </c>
      <c r="T29" s="70">
        <f t="shared" si="8"/>
        <v>2.1333802816901413</v>
      </c>
      <c r="U29" s="71">
        <f t="shared" ref="U29" si="9">SUM(U26+U28)/142*1.08*0.8</f>
        <v>2.1333802816901413</v>
      </c>
      <c r="W29" s="68" t="s">
        <v>104</v>
      </c>
      <c r="X29" s="70">
        <f t="shared" si="6"/>
        <v>0.2604169014084507</v>
      </c>
      <c r="Y29" s="70">
        <f t="shared" si="6"/>
        <v>0.52980845070422544</v>
      </c>
      <c r="Z29" s="70">
        <f t="shared" si="6"/>
        <v>0.79958028169014095</v>
      </c>
      <c r="AA29" s="70">
        <f t="shared" si="6"/>
        <v>1.0613661971830985</v>
      </c>
      <c r="AB29" s="70">
        <f t="shared" si="6"/>
        <v>1.323304225352113</v>
      </c>
      <c r="AC29" s="70">
        <f t="shared" si="6"/>
        <v>1.5688901408450706</v>
      </c>
      <c r="AD29" s="70">
        <f t="shared" si="6"/>
        <v>1.7902140845070424</v>
      </c>
      <c r="AE29" s="70">
        <f t="shared" si="6"/>
        <v>1.9877323943661975</v>
      </c>
      <c r="AF29" s="70">
        <f t="shared" si="6"/>
        <v>2.1700394366197187</v>
      </c>
      <c r="AG29" s="71">
        <f t="shared" si="6"/>
        <v>2.3455014084507044</v>
      </c>
    </row>
    <row r="30" spans="1:33" ht="16.5" thickBot="1" x14ac:dyDescent="0.3">
      <c r="A30" s="74" t="s">
        <v>105</v>
      </c>
      <c r="B30" s="75">
        <f>B6-B29</f>
        <v>1.6866253521126764</v>
      </c>
      <c r="C30" s="75">
        <f t="shared" ref="C30:U30" si="10">C6-C29</f>
        <v>1.5389239436619717</v>
      </c>
      <c r="D30" s="75">
        <f t="shared" si="10"/>
        <v>1.3299971830985917</v>
      </c>
      <c r="E30" s="75">
        <f t="shared" si="10"/>
        <v>1.0682112676056341</v>
      </c>
      <c r="F30" s="75">
        <f t="shared" si="10"/>
        <v>0.86711830985915506</v>
      </c>
      <c r="G30" s="75">
        <f t="shared" si="10"/>
        <v>0.56068732394366205</v>
      </c>
      <c r="H30" s="75">
        <f t="shared" si="10"/>
        <v>0.21767323943661987</v>
      </c>
      <c r="I30" s="75">
        <f t="shared" si="10"/>
        <v>-0.10153521126760556</v>
      </c>
      <c r="J30" s="75">
        <f t="shared" si="10"/>
        <v>-0.34468732394366208</v>
      </c>
      <c r="K30" s="75">
        <f t="shared" si="10"/>
        <v>-0.52014929577464786</v>
      </c>
      <c r="L30" s="75">
        <f t="shared" si="10"/>
        <v>-0.50136338028169014</v>
      </c>
      <c r="M30" s="75">
        <f t="shared" si="10"/>
        <v>-0.47132112676056304</v>
      </c>
      <c r="N30" s="75">
        <f t="shared" si="10"/>
        <v>-0.43633521126760533</v>
      </c>
      <c r="O30" s="75">
        <f t="shared" si="10"/>
        <v>-0.40249014084507007</v>
      </c>
      <c r="P30" s="75">
        <f t="shared" si="10"/>
        <v>-0.3639295774647886</v>
      </c>
      <c r="Q30" s="75">
        <f t="shared" si="10"/>
        <v>-0.33259436619718308</v>
      </c>
      <c r="R30" s="75">
        <f t="shared" si="10"/>
        <v>-0.31411267605633819</v>
      </c>
      <c r="S30" s="75">
        <f t="shared" si="10"/>
        <v>-0.3080281690140847</v>
      </c>
      <c r="T30" s="75">
        <f t="shared" si="10"/>
        <v>-0.3080281690140847</v>
      </c>
      <c r="U30" s="76">
        <f t="shared" si="10"/>
        <v>-0.3080281690140847</v>
      </c>
      <c r="W30" s="68" t="s">
        <v>106</v>
      </c>
      <c r="X30" s="70">
        <f t="shared" si="6"/>
        <v>1.6866253521126764</v>
      </c>
      <c r="Y30" s="70">
        <f t="shared" si="6"/>
        <v>1.5389239436619717</v>
      </c>
      <c r="Z30" s="70">
        <f t="shared" si="6"/>
        <v>1.3299971830985917</v>
      </c>
      <c r="AA30" s="70">
        <f t="shared" si="6"/>
        <v>1.0682112676056341</v>
      </c>
      <c r="AB30" s="70">
        <f t="shared" si="6"/>
        <v>0.86711830985915506</v>
      </c>
      <c r="AC30" s="70">
        <f t="shared" si="6"/>
        <v>0.56068732394366205</v>
      </c>
      <c r="AD30" s="70">
        <f t="shared" si="6"/>
        <v>0.21767323943661987</v>
      </c>
      <c r="AE30" s="70">
        <f t="shared" si="6"/>
        <v>-0.10153521126760556</v>
      </c>
      <c r="AF30" s="70">
        <f t="shared" si="6"/>
        <v>-0.34468732394366208</v>
      </c>
      <c r="AG30" s="71">
        <f t="shared" si="6"/>
        <v>-0.52014929577464786</v>
      </c>
    </row>
    <row r="31" spans="1:33" ht="16.5" thickBot="1" x14ac:dyDescent="0.3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W31" s="61"/>
      <c r="X31" s="62">
        <v>2024</v>
      </c>
      <c r="Y31" s="62">
        <v>2025</v>
      </c>
      <c r="Z31" s="62">
        <v>2026</v>
      </c>
      <c r="AA31" s="62">
        <v>2027</v>
      </c>
      <c r="AB31" s="62">
        <v>2028</v>
      </c>
      <c r="AC31" s="62">
        <v>2029</v>
      </c>
      <c r="AD31" s="62">
        <v>2030</v>
      </c>
      <c r="AE31" s="62">
        <v>2031</v>
      </c>
      <c r="AF31" s="62">
        <v>2032</v>
      </c>
      <c r="AG31" s="63">
        <v>2033</v>
      </c>
    </row>
    <row r="32" spans="1:33" ht="15.75" x14ac:dyDescent="0.25">
      <c r="A32" s="38"/>
      <c r="B32" s="77"/>
      <c r="C32" s="77"/>
      <c r="D32" s="77"/>
      <c r="E32" s="77"/>
      <c r="F32" s="77"/>
      <c r="G32" s="77"/>
      <c r="H32" s="77"/>
      <c r="I32" s="77"/>
      <c r="J32" s="77"/>
      <c r="K32" s="77"/>
      <c r="W32" s="68" t="s">
        <v>80</v>
      </c>
      <c r="X32" s="66">
        <f t="shared" ref="X32:AG33" si="11">L5</f>
        <v>300</v>
      </c>
      <c r="Y32" s="66">
        <f t="shared" si="11"/>
        <v>300</v>
      </c>
      <c r="Z32" s="66">
        <f t="shared" si="11"/>
        <v>300</v>
      </c>
      <c r="AA32" s="66">
        <f t="shared" si="11"/>
        <v>300</v>
      </c>
      <c r="AB32" s="66">
        <f t="shared" si="11"/>
        <v>300</v>
      </c>
      <c r="AC32" s="66">
        <f t="shared" si="11"/>
        <v>300</v>
      </c>
      <c r="AD32" s="66">
        <f t="shared" si="11"/>
        <v>300</v>
      </c>
      <c r="AE32" s="66">
        <f t="shared" si="11"/>
        <v>300</v>
      </c>
      <c r="AF32" s="66">
        <f t="shared" si="11"/>
        <v>300</v>
      </c>
      <c r="AG32" s="67">
        <f t="shared" si="11"/>
        <v>300</v>
      </c>
    </row>
    <row r="33" spans="1:33" ht="15.75" x14ac:dyDescent="0.25">
      <c r="A33" s="38"/>
      <c r="W33" s="68" t="s">
        <v>81</v>
      </c>
      <c r="X33" s="78">
        <f t="shared" si="11"/>
        <v>1.8253521126760566</v>
      </c>
      <c r="Y33" s="78">
        <f t="shared" si="11"/>
        <v>1.8253521126760566</v>
      </c>
      <c r="Z33" s="78">
        <f t="shared" si="11"/>
        <v>1.8253521126760566</v>
      </c>
      <c r="AA33" s="78">
        <f t="shared" si="11"/>
        <v>1.8253521126760566</v>
      </c>
      <c r="AB33" s="78">
        <f t="shared" si="11"/>
        <v>1.8253521126760566</v>
      </c>
      <c r="AC33" s="78">
        <f t="shared" si="11"/>
        <v>1.8253521126760566</v>
      </c>
      <c r="AD33" s="78">
        <f t="shared" si="11"/>
        <v>1.8253521126760566</v>
      </c>
      <c r="AE33" s="78">
        <f t="shared" si="11"/>
        <v>1.8253521126760566</v>
      </c>
      <c r="AF33" s="78">
        <f t="shared" si="11"/>
        <v>1.8253521126760566</v>
      </c>
      <c r="AG33" s="79">
        <f t="shared" si="11"/>
        <v>1.8253521126760566</v>
      </c>
    </row>
    <row r="34" spans="1:33" ht="15.75" x14ac:dyDescent="0.25">
      <c r="A34" s="38"/>
      <c r="W34" s="68" t="s">
        <v>101</v>
      </c>
      <c r="X34" s="72">
        <f>L26</f>
        <v>329</v>
      </c>
      <c r="Y34" s="72">
        <f t="shared" ref="Y34:AG38" si="12">M26</f>
        <v>325</v>
      </c>
      <c r="Z34" s="72">
        <f t="shared" si="12"/>
        <v>320</v>
      </c>
      <c r="AA34" s="72">
        <f t="shared" si="12"/>
        <v>315</v>
      </c>
      <c r="AB34" s="72">
        <f t="shared" si="12"/>
        <v>309</v>
      </c>
      <c r="AC34" s="72">
        <f t="shared" si="12"/>
        <v>304</v>
      </c>
      <c r="AD34" s="72">
        <f t="shared" si="12"/>
        <v>301</v>
      </c>
      <c r="AE34" s="72">
        <f t="shared" si="12"/>
        <v>300</v>
      </c>
      <c r="AF34" s="72">
        <f t="shared" si="12"/>
        <v>300</v>
      </c>
      <c r="AG34" s="73">
        <f t="shared" si="12"/>
        <v>300</v>
      </c>
    </row>
    <row r="35" spans="1:33" ht="15.75" x14ac:dyDescent="0.25">
      <c r="W35" s="68" t="s">
        <v>102</v>
      </c>
      <c r="X35" s="70">
        <f t="shared" ref="X35:X38" si="13">L27</f>
        <v>3.75</v>
      </c>
      <c r="Y35" s="70">
        <f t="shared" si="12"/>
        <v>3.75</v>
      </c>
      <c r="Z35" s="70">
        <f t="shared" si="12"/>
        <v>3.75</v>
      </c>
      <c r="AA35" s="70">
        <f t="shared" si="12"/>
        <v>3.75</v>
      </c>
      <c r="AB35" s="70">
        <f t="shared" si="12"/>
        <v>3.75</v>
      </c>
      <c r="AC35" s="70">
        <f t="shared" si="12"/>
        <v>3.75</v>
      </c>
      <c r="AD35" s="70">
        <f t="shared" si="12"/>
        <v>3.75</v>
      </c>
      <c r="AE35" s="70">
        <f t="shared" si="12"/>
        <v>3.75</v>
      </c>
      <c r="AF35" s="70">
        <f t="shared" si="12"/>
        <v>3.75</v>
      </c>
      <c r="AG35" s="71">
        <f t="shared" si="12"/>
        <v>3.75</v>
      </c>
    </row>
    <row r="36" spans="1:33" ht="15.75" x14ac:dyDescent="0.25">
      <c r="W36" s="68" t="s">
        <v>103</v>
      </c>
      <c r="X36" s="72">
        <f t="shared" si="13"/>
        <v>53.4</v>
      </c>
      <c r="Y36" s="72">
        <f t="shared" si="12"/>
        <v>52.462499999999999</v>
      </c>
      <c r="Z36" s="72">
        <f t="shared" si="12"/>
        <v>51.712499999999999</v>
      </c>
      <c r="AA36" s="72">
        <f t="shared" si="12"/>
        <v>51.15</v>
      </c>
      <c r="AB36" s="72">
        <f t="shared" si="12"/>
        <v>50.8125</v>
      </c>
      <c r="AC36" s="72">
        <f t="shared" si="12"/>
        <v>50.662500000000001</v>
      </c>
      <c r="AD36" s="72">
        <f t="shared" si="12"/>
        <v>50.625</v>
      </c>
      <c r="AE36" s="72">
        <f t="shared" si="12"/>
        <v>50.625</v>
      </c>
      <c r="AF36" s="72">
        <f t="shared" si="12"/>
        <v>50.625</v>
      </c>
      <c r="AG36" s="73">
        <f t="shared" si="12"/>
        <v>50.625</v>
      </c>
    </row>
    <row r="37" spans="1:33" ht="15.75" x14ac:dyDescent="0.25">
      <c r="W37" s="68" t="s">
        <v>104</v>
      </c>
      <c r="X37" s="70">
        <f t="shared" si="13"/>
        <v>2.3267154929577467</v>
      </c>
      <c r="Y37" s="70">
        <f t="shared" si="12"/>
        <v>2.2966732394366196</v>
      </c>
      <c r="Z37" s="70">
        <f t="shared" si="12"/>
        <v>2.2616873239436619</v>
      </c>
      <c r="AA37" s="70">
        <f t="shared" si="12"/>
        <v>2.2278422535211266</v>
      </c>
      <c r="AB37" s="70">
        <f t="shared" si="12"/>
        <v>2.1892816901408452</v>
      </c>
      <c r="AC37" s="70">
        <f t="shared" si="12"/>
        <v>2.1579464788732396</v>
      </c>
      <c r="AD37" s="70">
        <f t="shared" si="12"/>
        <v>2.1394647887323948</v>
      </c>
      <c r="AE37" s="70">
        <f t="shared" si="12"/>
        <v>2.1333802816901413</v>
      </c>
      <c r="AF37" s="70">
        <f t="shared" si="12"/>
        <v>2.1333802816901413</v>
      </c>
      <c r="AG37" s="71">
        <f t="shared" si="12"/>
        <v>2.1333802816901413</v>
      </c>
    </row>
    <row r="38" spans="1:33" ht="16.5" thickBot="1" x14ac:dyDescent="0.3">
      <c r="W38" s="80" t="s">
        <v>106</v>
      </c>
      <c r="X38" s="75">
        <f t="shared" si="13"/>
        <v>-0.50136338028169014</v>
      </c>
      <c r="Y38" s="75">
        <f t="shared" si="12"/>
        <v>-0.47132112676056304</v>
      </c>
      <c r="Z38" s="75">
        <f t="shared" si="12"/>
        <v>-0.43633521126760533</v>
      </c>
      <c r="AA38" s="75">
        <f t="shared" si="12"/>
        <v>-0.40249014084507007</v>
      </c>
      <c r="AB38" s="75">
        <f t="shared" si="12"/>
        <v>-0.3639295774647886</v>
      </c>
      <c r="AC38" s="75">
        <f t="shared" si="12"/>
        <v>-0.33259436619718308</v>
      </c>
      <c r="AD38" s="75">
        <f t="shared" si="12"/>
        <v>-0.31411267605633819</v>
      </c>
      <c r="AE38" s="75">
        <f t="shared" si="12"/>
        <v>-0.3080281690140847</v>
      </c>
      <c r="AF38" s="75">
        <f t="shared" si="12"/>
        <v>-0.3080281690140847</v>
      </c>
      <c r="AG38" s="76">
        <f t="shared" si="12"/>
        <v>-0.3080281690140847</v>
      </c>
    </row>
    <row r="45" spans="1:33" x14ac:dyDescent="0.25">
      <c r="B45" s="28">
        <v>3.75</v>
      </c>
      <c r="C45" s="28">
        <v>3.75</v>
      </c>
      <c r="D45" s="28">
        <v>3.75</v>
      </c>
      <c r="E45" s="28">
        <v>3.75</v>
      </c>
      <c r="F45" s="28">
        <v>3.75</v>
      </c>
      <c r="G45" s="28">
        <v>3.75</v>
      </c>
      <c r="H45" s="28">
        <v>3.75</v>
      </c>
      <c r="I45" s="28">
        <v>3.75</v>
      </c>
      <c r="J45" s="28">
        <v>3.75</v>
      </c>
      <c r="K45" s="28">
        <v>3.75</v>
      </c>
      <c r="L45" s="28">
        <v>3.75</v>
      </c>
      <c r="M45" s="28">
        <v>3.75</v>
      </c>
      <c r="N45" s="28">
        <v>3.75</v>
      </c>
      <c r="O45" s="28">
        <v>3.75</v>
      </c>
      <c r="P45" s="28">
        <v>3.75</v>
      </c>
      <c r="Q45" s="28">
        <v>3.75</v>
      </c>
      <c r="R45" s="28">
        <v>3.75</v>
      </c>
      <c r="S45" s="28">
        <v>3.75</v>
      </c>
      <c r="T45" s="28">
        <v>3.75</v>
      </c>
    </row>
    <row r="46" spans="1:33" ht="15.75" x14ac:dyDescent="0.25">
      <c r="B46" s="81">
        <f>B27</f>
        <v>3.75</v>
      </c>
      <c r="C46" s="81">
        <f>B46+0.25</f>
        <v>4</v>
      </c>
      <c r="D46" s="81">
        <f t="shared" ref="D46:T46" si="14">C46+0.25</f>
        <v>4.25</v>
      </c>
      <c r="E46" s="81">
        <f t="shared" si="14"/>
        <v>4.5</v>
      </c>
      <c r="F46" s="81">
        <f t="shared" si="14"/>
        <v>4.75</v>
      </c>
      <c r="G46" s="81">
        <f t="shared" si="14"/>
        <v>5</v>
      </c>
      <c r="H46" s="81">
        <f t="shared" si="14"/>
        <v>5.25</v>
      </c>
      <c r="I46" s="81">
        <f t="shared" si="14"/>
        <v>5.5</v>
      </c>
      <c r="J46" s="81">
        <f t="shared" si="14"/>
        <v>5.75</v>
      </c>
      <c r="K46" s="81">
        <f t="shared" si="14"/>
        <v>6</v>
      </c>
      <c r="L46" s="81">
        <f t="shared" si="14"/>
        <v>6.25</v>
      </c>
      <c r="M46" s="81">
        <f t="shared" si="14"/>
        <v>6.5</v>
      </c>
      <c r="N46" s="81">
        <f t="shared" si="14"/>
        <v>6.75</v>
      </c>
      <c r="O46" s="81">
        <f>N46+0.25</f>
        <v>7</v>
      </c>
      <c r="P46" s="81">
        <f t="shared" si="14"/>
        <v>7.25</v>
      </c>
      <c r="Q46" s="81">
        <f t="shared" si="14"/>
        <v>7.5</v>
      </c>
      <c r="R46" s="81">
        <f t="shared" si="14"/>
        <v>7.75</v>
      </c>
      <c r="S46" s="81">
        <f t="shared" si="14"/>
        <v>8</v>
      </c>
      <c r="T46" s="81">
        <f t="shared" si="14"/>
        <v>8.25</v>
      </c>
      <c r="U46" s="81"/>
    </row>
    <row r="47" spans="1:33" ht="15.75" x14ac:dyDescent="0.25"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33" ht="15.75" x14ac:dyDescent="0.25">
      <c r="B48" s="38">
        <v>1.25</v>
      </c>
      <c r="C48" s="38">
        <v>1.5</v>
      </c>
      <c r="D48" s="38">
        <v>1.75</v>
      </c>
      <c r="E48" s="38">
        <v>2</v>
      </c>
      <c r="F48" s="38">
        <v>2.25</v>
      </c>
      <c r="G48" s="38">
        <v>2.5</v>
      </c>
      <c r="H48" s="38">
        <v>2.75</v>
      </c>
      <c r="I48" s="38">
        <v>3</v>
      </c>
      <c r="J48" s="38">
        <v>3.25</v>
      </c>
      <c r="K48" s="38">
        <v>3.5</v>
      </c>
      <c r="L48" s="28">
        <v>3.75</v>
      </c>
      <c r="M48" s="28">
        <v>4</v>
      </c>
      <c r="N48" s="28">
        <v>4.25</v>
      </c>
      <c r="O48" s="28">
        <v>4.5</v>
      </c>
      <c r="P48" s="28">
        <v>4.75</v>
      </c>
      <c r="Q48" s="28">
        <v>5</v>
      </c>
      <c r="R48" s="28">
        <v>5.25</v>
      </c>
      <c r="S48" s="28">
        <v>5.5</v>
      </c>
      <c r="T48" s="28">
        <v>5.75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workbookViewId="0">
      <selection activeCell="C21" sqref="C21"/>
    </sheetView>
  </sheetViews>
  <sheetFormatPr defaultRowHeight="15" x14ac:dyDescent="0.25"/>
  <cols>
    <col min="1" max="1" width="21" style="28" customWidth="1"/>
    <col min="2" max="2" width="11.7109375" style="28" bestFit="1" customWidth="1"/>
    <col min="3" max="21" width="9.5703125" style="28" bestFit="1" customWidth="1"/>
    <col min="22" max="16384" width="9.140625" style="28"/>
  </cols>
  <sheetData>
    <row r="1" spans="1:21" ht="15.75" x14ac:dyDescent="0.25">
      <c r="A1" s="99" t="s">
        <v>128</v>
      </c>
    </row>
    <row r="3" spans="1:21" x14ac:dyDescent="0.25">
      <c r="A3" s="8" t="s">
        <v>129</v>
      </c>
      <c r="B3" s="8">
        <v>2016</v>
      </c>
      <c r="C3" s="8">
        <v>2017</v>
      </c>
      <c r="D3" s="8">
        <v>2018</v>
      </c>
      <c r="E3" s="8">
        <v>2019</v>
      </c>
      <c r="F3" s="8">
        <v>2020</v>
      </c>
      <c r="G3" s="8">
        <v>2021</v>
      </c>
      <c r="H3" s="8">
        <v>2022</v>
      </c>
      <c r="I3" s="8">
        <v>2023</v>
      </c>
      <c r="J3" s="8">
        <v>2024</v>
      </c>
      <c r="K3" s="8">
        <v>2025</v>
      </c>
      <c r="L3" s="8">
        <v>2026</v>
      </c>
      <c r="M3" s="8">
        <v>2027</v>
      </c>
      <c r="N3" s="8">
        <v>2028</v>
      </c>
      <c r="O3" s="8">
        <v>2029</v>
      </c>
      <c r="P3" s="8">
        <v>2030</v>
      </c>
      <c r="Q3" s="8">
        <v>2031</v>
      </c>
      <c r="R3" s="8">
        <v>2032</v>
      </c>
      <c r="S3" s="8">
        <v>2033</v>
      </c>
      <c r="T3" s="8">
        <v>2034</v>
      </c>
      <c r="U3" s="8">
        <v>2035</v>
      </c>
    </row>
    <row r="4" spans="1:21" x14ac:dyDescent="0.25">
      <c r="A4" s="28" t="s">
        <v>130</v>
      </c>
      <c r="B4" s="14">
        <f>'[3]GAM Class A &amp; B + IEI '!C158</f>
        <v>18.137578551912288</v>
      </c>
      <c r="C4" s="14">
        <f>'[3]GAM Class A &amp; B + IEI '!D158</f>
        <v>23.934740867580583</v>
      </c>
      <c r="D4" s="14">
        <f>'[3]GAM Class A &amp; B + IEI '!E158</f>
        <v>25.744051369863712</v>
      </c>
      <c r="E4" s="14">
        <f>'[3]GAM Class A &amp; B + IEI '!F158</f>
        <v>27.123269406392733</v>
      </c>
      <c r="F4" s="14">
        <f>'[3]GAM Class A &amp; B + IEI '!G158</f>
        <v>30.431228369763481</v>
      </c>
      <c r="G4" s="14">
        <f>'[3]GAM Class A &amp; B + IEI '!H158</f>
        <v>33.925452054794327</v>
      </c>
      <c r="H4" s="14">
        <f>'[3]GAM Class A &amp; B + IEI '!I158</f>
        <v>35.86688013698658</v>
      </c>
      <c r="I4" s="14">
        <f>'[3]GAM Class A &amp; B + IEI '!J158</f>
        <v>40.076464611873007</v>
      </c>
      <c r="J4" s="14">
        <f>'[3]GAM Class A &amp; B + IEI '!K158</f>
        <v>34.547472677595636</v>
      </c>
      <c r="K4" s="14">
        <f>'[3]GAM Class A &amp; B + IEI '!L158</f>
        <v>43.551206621004781</v>
      </c>
      <c r="L4" s="14">
        <f>'[3]GAM Class A &amp; B + IEI '!M158</f>
        <v>38.16356735159826</v>
      </c>
      <c r="M4" s="14">
        <f>'[3]GAM Class A &amp; B + IEI '!N158</f>
        <v>39.191780821917497</v>
      </c>
      <c r="N4" s="14">
        <f>'[3]GAM Class A &amp; B + IEI '!O158</f>
        <v>38.269060792349762</v>
      </c>
      <c r="O4" s="14">
        <f>'[3]GAM Class A &amp; B + IEI '!P158</f>
        <v>39.128205479452575</v>
      </c>
      <c r="P4" s="14">
        <f>'[3]GAM Class A &amp; B + IEI '!Q158</f>
        <v>40.86592237442882</v>
      </c>
      <c r="Q4" s="14">
        <f>'[3]GAM Class A &amp; B + IEI '!R158</f>
        <v>45.925325342465975</v>
      </c>
      <c r="R4" s="14">
        <f>'[3]GAM Class A &amp; B + IEI '!S158</f>
        <v>44.731083788706854</v>
      </c>
      <c r="S4" s="14">
        <f>'[3]GAM Class A &amp; B + IEI '!T158</f>
        <v>46.820198630136503</v>
      </c>
      <c r="T4" s="14">
        <f>'[3]GAM Class A &amp; B + IEI '!U158</f>
        <v>48.132732876712183</v>
      </c>
      <c r="U4" s="14">
        <f>'[3]GAM Class A &amp; B + IEI '!V158</f>
        <v>54.279785388127088</v>
      </c>
    </row>
    <row r="5" spans="1:21" x14ac:dyDescent="0.25">
      <c r="A5" s="28" t="s">
        <v>131</v>
      </c>
      <c r="B5" s="9">
        <f>'[3]GAM Class A &amp; B + IEI '!C155</f>
        <v>48.442899310476243</v>
      </c>
      <c r="C5" s="9">
        <f>'[3]GAM Class A &amp; B + IEI '!D155</f>
        <v>47.28827458278905</v>
      </c>
      <c r="D5" s="9">
        <f>'[3]GAM Class A &amp; B + IEI '!E155</f>
        <v>45.495787674431064</v>
      </c>
      <c r="E5" s="9">
        <f>'[3]GAM Class A &amp; B + IEI '!F155</f>
        <v>44.005187981058278</v>
      </c>
      <c r="F5" s="9">
        <f>'[3]GAM Class A &amp; B + IEI '!G155</f>
        <v>45.544561640154413</v>
      </c>
      <c r="G5" s="9">
        <f>'[3]GAM Class A &amp; B + IEI '!H155</f>
        <v>40.021701842118993</v>
      </c>
      <c r="H5" s="9">
        <f>'[3]GAM Class A &amp; B + IEI '!I155</f>
        <v>38.445023122356282</v>
      </c>
      <c r="I5" s="9">
        <f>'[3]GAM Class A &amp; B + IEI '!J155</f>
        <v>36.215736217027207</v>
      </c>
      <c r="J5" s="9">
        <f>'[3]GAM Class A &amp; B + IEI '!K155</f>
        <v>38.677769662635974</v>
      </c>
      <c r="K5" s="9">
        <f>'[3]GAM Class A &amp; B + IEI '!L155</f>
        <v>35.524161185207525</v>
      </c>
      <c r="L5" s="9">
        <f>'[3]GAM Class A &amp; B + IEI '!M155</f>
        <v>34.048327711824491</v>
      </c>
      <c r="M5" s="9">
        <f>'[3]GAM Class A &amp; B + IEI '!N155</f>
        <v>36.266242154772236</v>
      </c>
      <c r="N5" s="9">
        <f>'[3]GAM Class A &amp; B + IEI '!O155</f>
        <v>35.137300143368101</v>
      </c>
      <c r="O5" s="9">
        <f>'[3]GAM Class A &amp; B + IEI '!P155</f>
        <v>32.404222979079321</v>
      </c>
      <c r="P5" s="9">
        <f>'[3]GAM Class A &amp; B + IEI '!Q155</f>
        <v>30.246183914270162</v>
      </c>
      <c r="Q5" s="9">
        <f>'[3]GAM Class A &amp; B + IEI '!R155</f>
        <v>26.849890487160746</v>
      </c>
      <c r="R5" s="9">
        <f>'[3]GAM Class A &amp; B + IEI '!S155</f>
        <v>26.779522022170557</v>
      </c>
      <c r="S5" s="9">
        <f>'[3]GAM Class A &amp; B + IEI '!T155</f>
        <v>24.339818488688103</v>
      </c>
      <c r="T5" s="9">
        <f>'[3]GAM Class A &amp; B + IEI '!U155</f>
        <v>22.701438696135938</v>
      </c>
      <c r="U5" s="9">
        <f>'[3]GAM Class A &amp; B + IEI '!V155</f>
        <v>16.300553962458302</v>
      </c>
    </row>
    <row r="6" spans="1:21" x14ac:dyDescent="0.25">
      <c r="A6" s="28" t="s">
        <v>132</v>
      </c>
      <c r="B6" s="9">
        <f>'[3]GAM Class A &amp; B + IEI '!C156</f>
        <v>87.157511464340445</v>
      </c>
      <c r="C6" s="9">
        <f>'[3]GAM Class A &amp; B + IEI '!D156</f>
        <v>85.080133368214746</v>
      </c>
      <c r="D6" s="9">
        <f>'[3]GAM Class A &amp; B + IEI '!E156</f>
        <v>81.855126184734573</v>
      </c>
      <c r="E6" s="9">
        <f>'[3]GAM Class A &amp; B + IEI '!F156</f>
        <v>79.173268539690909</v>
      </c>
      <c r="F6" s="9">
        <f>'[3]GAM Class A &amp; B + IEI '!G156</f>
        <v>81.94287934437618</v>
      </c>
      <c r="G6" s="9">
        <f>'[3]GAM Class A &amp; B + IEI '!H156</f>
        <v>72.006258642173123</v>
      </c>
      <c r="H6" s="9">
        <f>'[3]GAM Class A &amp; B + IEI '!I156</f>
        <v>69.169529306206599</v>
      </c>
      <c r="I6" s="9">
        <f>'[3]GAM Class A &amp; B + IEI '!J156</f>
        <v>65.158640160962875</v>
      </c>
      <c r="J6" s="9">
        <f>'[3]GAM Class A &amp; B + IEI '!K156</f>
        <v>69.588282302857365</v>
      </c>
      <c r="K6" s="9">
        <f>'[3]GAM Class A &amp; B + IEI '!L156</f>
        <v>63.914371968467634</v>
      </c>
      <c r="L6" s="9">
        <f>'[3]GAM Class A &amp; B + IEI '!M156</f>
        <v>61.259081415946532</v>
      </c>
      <c r="M6" s="9">
        <f>'[3]GAM Class A &amp; B + IEI '!N156</f>
        <v>65.249509450594317</v>
      </c>
      <c r="N6" s="9">
        <f>'[3]GAM Class A &amp; B + IEI '!O156</f>
        <v>63.218339192371303</v>
      </c>
      <c r="O6" s="9">
        <f>'[3]GAM Class A &amp; B + IEI '!P156</f>
        <v>58.301040523835333</v>
      </c>
      <c r="P6" s="9">
        <f>'[3]GAM Class A &amp; B + IEI '!Q156</f>
        <v>54.418339091658204</v>
      </c>
      <c r="Q6" s="9">
        <f>'[3]GAM Class A &amp; B + IEI '!R156</f>
        <v>48.307794769932656</v>
      </c>
      <c r="R6" s="9">
        <f>'[3]GAM Class A &amp; B + IEI '!S156</f>
        <v>48.181189212019973</v>
      </c>
      <c r="S6" s="9">
        <f>'[3]GAM Class A &amp; B + IEI '!T156</f>
        <v>43.791722608746213</v>
      </c>
      <c r="T6" s="9">
        <f>'[3]GAM Class A &amp; B + IEI '!U156</f>
        <v>40.843981916408509</v>
      </c>
      <c r="U6" s="9">
        <f>'[3]GAM Class A &amp; B + IEI '!V156</f>
        <v>29.32763602261965</v>
      </c>
    </row>
    <row r="8" spans="1:21" x14ac:dyDescent="0.25">
      <c r="A8" s="8" t="s">
        <v>133</v>
      </c>
    </row>
    <row r="9" spans="1:21" x14ac:dyDescent="0.25">
      <c r="A9" s="100" t="s">
        <v>134</v>
      </c>
    </row>
    <row r="10" spans="1:21" x14ac:dyDescent="0.25">
      <c r="A10" s="28" t="s">
        <v>135</v>
      </c>
    </row>
    <row r="11" spans="1:21" x14ac:dyDescent="0.25">
      <c r="A11" s="28" t="s">
        <v>136</v>
      </c>
    </row>
    <row r="13" spans="1:21" x14ac:dyDescent="0.25">
      <c r="A13" s="28" t="s">
        <v>137</v>
      </c>
      <c r="B13" s="101">
        <f>B5*28</f>
        <v>1356.4011806933347</v>
      </c>
      <c r="C13" s="101">
        <f t="shared" ref="C13:U13" si="0">C5*28</f>
        <v>1324.0716883180935</v>
      </c>
      <c r="D13" s="101">
        <f t="shared" si="0"/>
        <v>1273.8820548840697</v>
      </c>
      <c r="E13" s="101">
        <f t="shared" si="0"/>
        <v>1232.1452634696318</v>
      </c>
      <c r="F13" s="101">
        <f t="shared" si="0"/>
        <v>1275.2477259243235</v>
      </c>
      <c r="G13" s="101">
        <f t="shared" si="0"/>
        <v>1120.6076515793318</v>
      </c>
      <c r="H13" s="101">
        <f t="shared" si="0"/>
        <v>1076.4606474259758</v>
      </c>
      <c r="I13" s="101">
        <f t="shared" si="0"/>
        <v>1014.0406140767618</v>
      </c>
      <c r="J13" s="101">
        <f t="shared" si="0"/>
        <v>1082.9775505538073</v>
      </c>
      <c r="K13" s="101">
        <f t="shared" si="0"/>
        <v>994.67651318581068</v>
      </c>
      <c r="L13" s="101">
        <f t="shared" si="0"/>
        <v>953.35317593108573</v>
      </c>
      <c r="M13" s="101">
        <f t="shared" si="0"/>
        <v>1015.4547803336226</v>
      </c>
      <c r="N13" s="101">
        <f t="shared" si="0"/>
        <v>983.84440401430686</v>
      </c>
      <c r="O13" s="101">
        <f t="shared" si="0"/>
        <v>907.318243414221</v>
      </c>
      <c r="P13" s="101">
        <f t="shared" si="0"/>
        <v>846.89314959956459</v>
      </c>
      <c r="Q13" s="101">
        <f t="shared" si="0"/>
        <v>751.79693364050092</v>
      </c>
      <c r="R13" s="101">
        <f t="shared" si="0"/>
        <v>749.82661662077555</v>
      </c>
      <c r="S13" s="101">
        <f t="shared" si="0"/>
        <v>681.51491768326684</v>
      </c>
      <c r="T13" s="101">
        <f t="shared" si="0"/>
        <v>635.64028349180626</v>
      </c>
      <c r="U13" s="101">
        <f t="shared" si="0"/>
        <v>456.41551094883243</v>
      </c>
    </row>
    <row r="14" spans="1:21" x14ac:dyDescent="0.25">
      <c r="A14" s="28" t="s">
        <v>138</v>
      </c>
      <c r="B14" s="101">
        <f>B6*115</f>
        <v>10023.113818399152</v>
      </c>
      <c r="C14" s="101">
        <f t="shared" ref="C14:U14" si="1">C6*115</f>
        <v>9784.2153373446963</v>
      </c>
      <c r="D14" s="101">
        <f t="shared" si="1"/>
        <v>9413.3395112444759</v>
      </c>
      <c r="E14" s="101">
        <f t="shared" si="1"/>
        <v>9104.9258820644554</v>
      </c>
      <c r="F14" s="101">
        <f t="shared" si="1"/>
        <v>9423.4311246032612</v>
      </c>
      <c r="G14" s="101">
        <f t="shared" si="1"/>
        <v>8280.7197438499097</v>
      </c>
      <c r="H14" s="101">
        <f t="shared" si="1"/>
        <v>7954.4958702137592</v>
      </c>
      <c r="I14" s="101">
        <f t="shared" si="1"/>
        <v>7493.2436185107308</v>
      </c>
      <c r="J14" s="101">
        <f t="shared" si="1"/>
        <v>8002.6524648285967</v>
      </c>
      <c r="K14" s="101">
        <f t="shared" si="1"/>
        <v>7350.1527763737777</v>
      </c>
      <c r="L14" s="101">
        <f t="shared" si="1"/>
        <v>7044.7943628338517</v>
      </c>
      <c r="M14" s="101">
        <f t="shared" si="1"/>
        <v>7503.6935868183464</v>
      </c>
      <c r="N14" s="101">
        <f t="shared" si="1"/>
        <v>7270.1090071226999</v>
      </c>
      <c r="O14" s="101">
        <f t="shared" si="1"/>
        <v>6704.6196602410637</v>
      </c>
      <c r="P14" s="101">
        <f t="shared" si="1"/>
        <v>6258.1089955406933</v>
      </c>
      <c r="Q14" s="101">
        <f t="shared" si="1"/>
        <v>5555.3963985422552</v>
      </c>
      <c r="R14" s="101">
        <f t="shared" si="1"/>
        <v>5540.8367593822968</v>
      </c>
      <c r="S14" s="101">
        <f t="shared" si="1"/>
        <v>5036.0481000058144</v>
      </c>
      <c r="T14" s="101">
        <f t="shared" si="1"/>
        <v>4697.0579203869784</v>
      </c>
      <c r="U14" s="101">
        <f t="shared" si="1"/>
        <v>3372.6781426012599</v>
      </c>
    </row>
    <row r="15" spans="1:21" x14ac:dyDescent="0.25">
      <c r="A15" s="28" t="s">
        <v>139</v>
      </c>
      <c r="B15" s="101">
        <f>SUM(B13:B14)</f>
        <v>11379.514999092486</v>
      </c>
      <c r="C15" s="101">
        <f t="shared" ref="C15:U15" si="2">SUM(C13:C14)</f>
        <v>11108.28702566279</v>
      </c>
      <c r="D15" s="101">
        <f t="shared" si="2"/>
        <v>10687.221566128546</v>
      </c>
      <c r="E15" s="101">
        <f t="shared" si="2"/>
        <v>10337.071145534088</v>
      </c>
      <c r="F15" s="101">
        <f t="shared" si="2"/>
        <v>10698.678850527585</v>
      </c>
      <c r="G15" s="101">
        <f t="shared" si="2"/>
        <v>9401.3273954292417</v>
      </c>
      <c r="H15" s="101">
        <f t="shared" si="2"/>
        <v>9030.9565176397355</v>
      </c>
      <c r="I15" s="101">
        <f t="shared" si="2"/>
        <v>8507.2842325874917</v>
      </c>
      <c r="J15" s="101">
        <f t="shared" si="2"/>
        <v>9085.630015382405</v>
      </c>
      <c r="K15" s="101">
        <f t="shared" si="2"/>
        <v>8344.8292895595878</v>
      </c>
      <c r="L15" s="101">
        <f t="shared" si="2"/>
        <v>7998.1475387649371</v>
      </c>
      <c r="M15" s="101">
        <f t="shared" si="2"/>
        <v>8519.1483671519691</v>
      </c>
      <c r="N15" s="101">
        <f t="shared" si="2"/>
        <v>8253.9534111370067</v>
      </c>
      <c r="O15" s="101">
        <f t="shared" si="2"/>
        <v>7611.9379036552846</v>
      </c>
      <c r="P15" s="101">
        <f t="shared" si="2"/>
        <v>7105.0021451402581</v>
      </c>
      <c r="Q15" s="101">
        <f t="shared" si="2"/>
        <v>6307.1933321827564</v>
      </c>
      <c r="R15" s="101">
        <f t="shared" si="2"/>
        <v>6290.6633760030727</v>
      </c>
      <c r="S15" s="101">
        <f t="shared" si="2"/>
        <v>5717.5630176890809</v>
      </c>
      <c r="T15" s="101">
        <f t="shared" si="2"/>
        <v>5332.6982038787846</v>
      </c>
      <c r="U15" s="101">
        <f t="shared" si="2"/>
        <v>3829.0936535500923</v>
      </c>
    </row>
    <row r="16" spans="1:21" x14ac:dyDescent="0.25">
      <c r="B16" s="102">
        <f>B13/B15</f>
        <v>0.11919674791074202</v>
      </c>
      <c r="C16" s="102">
        <f t="shared" ref="C16:U16" si="3">C13/C15</f>
        <v>0.11919674791074199</v>
      </c>
      <c r="D16" s="102">
        <f t="shared" si="3"/>
        <v>0.119196747910742</v>
      </c>
      <c r="E16" s="102">
        <f t="shared" si="3"/>
        <v>0.11919674791074202</v>
      </c>
      <c r="F16" s="102">
        <f t="shared" si="3"/>
        <v>0.11919674791074199</v>
      </c>
      <c r="G16" s="102">
        <f t="shared" si="3"/>
        <v>0.11919674791074197</v>
      </c>
      <c r="H16" s="102">
        <f t="shared" si="3"/>
        <v>0.11919674791074199</v>
      </c>
      <c r="I16" s="102">
        <f t="shared" si="3"/>
        <v>0.11919674791074204</v>
      </c>
      <c r="J16" s="102">
        <f t="shared" si="3"/>
        <v>0.11919674791074197</v>
      </c>
      <c r="K16" s="102">
        <f t="shared" si="3"/>
        <v>0.11919674791074203</v>
      </c>
      <c r="L16" s="102">
        <f t="shared" si="3"/>
        <v>0.11919674791074199</v>
      </c>
      <c r="M16" s="102">
        <f t="shared" si="3"/>
        <v>0.119196747910742</v>
      </c>
      <c r="N16" s="102">
        <f t="shared" si="3"/>
        <v>0.119196747910742</v>
      </c>
      <c r="O16" s="102">
        <f t="shared" si="3"/>
        <v>0.11919674791074202</v>
      </c>
      <c r="P16" s="102">
        <f t="shared" si="3"/>
        <v>0.11919674791074202</v>
      </c>
      <c r="Q16" s="102">
        <f t="shared" si="3"/>
        <v>0.11919674791074202</v>
      </c>
      <c r="R16" s="102">
        <f t="shared" si="3"/>
        <v>0.11919674791074202</v>
      </c>
      <c r="S16" s="102">
        <f t="shared" si="3"/>
        <v>0.11919674791074203</v>
      </c>
      <c r="T16" s="102">
        <f t="shared" si="3"/>
        <v>0.11919674791074203</v>
      </c>
      <c r="U16" s="102">
        <f t="shared" si="3"/>
        <v>0.119196747910742</v>
      </c>
    </row>
    <row r="17" spans="1:21" x14ac:dyDescent="0.25">
      <c r="B17" s="102">
        <f>B14/B15</f>
        <v>0.88080325208925803</v>
      </c>
      <c r="C17" s="102">
        <f t="shared" ref="C17:U17" si="4">C14/C15</f>
        <v>0.88080325208925803</v>
      </c>
      <c r="D17" s="102">
        <f t="shared" si="4"/>
        <v>0.88080325208925792</v>
      </c>
      <c r="E17" s="102">
        <f t="shared" si="4"/>
        <v>0.88080325208925792</v>
      </c>
      <c r="F17" s="102">
        <f t="shared" si="4"/>
        <v>0.88080325208925792</v>
      </c>
      <c r="G17" s="102">
        <f t="shared" si="4"/>
        <v>0.88080325208925803</v>
      </c>
      <c r="H17" s="102">
        <f t="shared" si="4"/>
        <v>0.88080325208925792</v>
      </c>
      <c r="I17" s="102">
        <f t="shared" si="4"/>
        <v>0.88080325208925803</v>
      </c>
      <c r="J17" s="102">
        <f t="shared" si="4"/>
        <v>0.88080325208925792</v>
      </c>
      <c r="K17" s="102">
        <f t="shared" si="4"/>
        <v>0.88080325208925803</v>
      </c>
      <c r="L17" s="102">
        <f t="shared" si="4"/>
        <v>0.88080325208925803</v>
      </c>
      <c r="M17" s="102">
        <f t="shared" si="4"/>
        <v>0.88080325208925803</v>
      </c>
      <c r="N17" s="102">
        <f t="shared" si="4"/>
        <v>0.88080325208925803</v>
      </c>
      <c r="O17" s="102">
        <f t="shared" si="4"/>
        <v>0.88080325208925803</v>
      </c>
      <c r="P17" s="102">
        <f t="shared" si="4"/>
        <v>0.88080325208925792</v>
      </c>
      <c r="Q17" s="102">
        <f t="shared" si="4"/>
        <v>0.88080325208925792</v>
      </c>
      <c r="R17" s="102">
        <f t="shared" si="4"/>
        <v>0.88080325208925792</v>
      </c>
      <c r="S17" s="102">
        <f t="shared" si="4"/>
        <v>0.88080325208925803</v>
      </c>
      <c r="T17" s="102">
        <f t="shared" si="4"/>
        <v>0.88080325208925803</v>
      </c>
      <c r="U17" s="102">
        <f t="shared" si="4"/>
        <v>0.88080325208925803</v>
      </c>
    </row>
    <row r="19" spans="1:21" x14ac:dyDescent="0.25">
      <c r="B19" s="102">
        <v>0.18</v>
      </c>
      <c r="C19" s="102">
        <v>0.18</v>
      </c>
      <c r="D19" s="102">
        <v>0.18</v>
      </c>
      <c r="E19" s="102">
        <v>0.18</v>
      </c>
      <c r="F19" s="102">
        <v>0.18</v>
      </c>
      <c r="G19" s="102">
        <v>0.18</v>
      </c>
      <c r="H19" s="102">
        <v>0.18</v>
      </c>
      <c r="I19" s="102">
        <v>0.18</v>
      </c>
      <c r="J19" s="102">
        <v>0.18</v>
      </c>
      <c r="K19" s="102">
        <v>0.18</v>
      </c>
      <c r="L19" s="102">
        <v>0.18</v>
      </c>
      <c r="M19" s="102">
        <v>0.18</v>
      </c>
      <c r="N19" s="102">
        <v>0.18</v>
      </c>
      <c r="O19" s="102">
        <v>0.18</v>
      </c>
      <c r="P19" s="102">
        <v>0.18</v>
      </c>
      <c r="Q19" s="102">
        <v>0.18</v>
      </c>
      <c r="R19" s="102">
        <v>0.18</v>
      </c>
      <c r="S19" s="102">
        <v>0.18</v>
      </c>
      <c r="T19" s="102">
        <v>0.18</v>
      </c>
      <c r="U19" s="102">
        <v>0.18</v>
      </c>
    </row>
    <row r="20" spans="1:21" x14ac:dyDescent="0.25">
      <c r="B20" s="102">
        <v>0.82</v>
      </c>
      <c r="C20" s="102">
        <v>0.82</v>
      </c>
      <c r="D20" s="102">
        <v>0.82</v>
      </c>
      <c r="E20" s="102">
        <v>0.82</v>
      </c>
      <c r="F20" s="102">
        <v>0.82</v>
      </c>
      <c r="G20" s="102">
        <v>0.82</v>
      </c>
      <c r="H20" s="102">
        <v>0.82</v>
      </c>
      <c r="I20" s="102">
        <v>0.82</v>
      </c>
      <c r="J20" s="102">
        <v>0.82</v>
      </c>
      <c r="K20" s="102">
        <v>0.82</v>
      </c>
      <c r="L20" s="102">
        <v>0.82</v>
      </c>
      <c r="M20" s="102">
        <v>0.82</v>
      </c>
      <c r="N20" s="102">
        <v>0.82</v>
      </c>
      <c r="O20" s="102">
        <v>0.82</v>
      </c>
      <c r="P20" s="102">
        <v>0.82</v>
      </c>
      <c r="Q20" s="102">
        <v>0.82</v>
      </c>
      <c r="R20" s="102">
        <v>0.82</v>
      </c>
      <c r="S20" s="102">
        <v>0.82</v>
      </c>
      <c r="T20" s="102">
        <v>0.82</v>
      </c>
      <c r="U20" s="102">
        <v>0.82</v>
      </c>
    </row>
    <row r="21" spans="1:21" x14ac:dyDescent="0.25">
      <c r="A21" s="28" t="s">
        <v>137</v>
      </c>
      <c r="B21" s="101">
        <f>B15*B19</f>
        <v>2048.3126998366474</v>
      </c>
      <c r="C21" s="101">
        <f t="shared" ref="C21:U21" si="5">C15*C19</f>
        <v>1999.4916646193021</v>
      </c>
      <c r="D21" s="101">
        <f t="shared" si="5"/>
        <v>1923.6998819031382</v>
      </c>
      <c r="E21" s="101">
        <f t="shared" si="5"/>
        <v>1860.6728061961358</v>
      </c>
      <c r="F21" s="101">
        <f t="shared" si="5"/>
        <v>1925.7621930949654</v>
      </c>
      <c r="G21" s="101">
        <f t="shared" si="5"/>
        <v>1692.2389311772633</v>
      </c>
      <c r="H21" s="101">
        <f t="shared" si="5"/>
        <v>1625.5721731751523</v>
      </c>
      <c r="I21" s="101">
        <f t="shared" si="5"/>
        <v>1531.3111618657485</v>
      </c>
      <c r="J21" s="101">
        <f t="shared" si="5"/>
        <v>1635.4134027688328</v>
      </c>
      <c r="K21" s="101">
        <f t="shared" si="5"/>
        <v>1502.0692721207258</v>
      </c>
      <c r="L21" s="101">
        <f t="shared" si="5"/>
        <v>1439.6665569776885</v>
      </c>
      <c r="M21" s="101">
        <f t="shared" si="5"/>
        <v>1533.4467060873544</v>
      </c>
      <c r="N21" s="101">
        <f t="shared" si="5"/>
        <v>1485.7116140046612</v>
      </c>
      <c r="O21" s="101">
        <f t="shared" si="5"/>
        <v>1370.1488226579511</v>
      </c>
      <c r="P21" s="101">
        <f t="shared" si="5"/>
        <v>1278.9003861252463</v>
      </c>
      <c r="Q21" s="101">
        <f t="shared" si="5"/>
        <v>1135.2947997928961</v>
      </c>
      <c r="R21" s="101">
        <f t="shared" si="5"/>
        <v>1132.319407680553</v>
      </c>
      <c r="S21" s="101">
        <f t="shared" si="5"/>
        <v>1029.1613431840344</v>
      </c>
      <c r="T21" s="101">
        <f t="shared" si="5"/>
        <v>959.88567669818121</v>
      </c>
      <c r="U21" s="101">
        <f t="shared" si="5"/>
        <v>689.23685763901653</v>
      </c>
    </row>
    <row r="22" spans="1:21" x14ac:dyDescent="0.25">
      <c r="A22" s="28" t="s">
        <v>138</v>
      </c>
      <c r="B22" s="101">
        <f>B15*B20</f>
        <v>9331.2022992558377</v>
      </c>
      <c r="C22" s="101">
        <f t="shared" ref="C22:U22" si="6">C15*C20</f>
        <v>9108.795361043487</v>
      </c>
      <c r="D22" s="101">
        <f t="shared" si="6"/>
        <v>8763.5216842254067</v>
      </c>
      <c r="E22" s="101">
        <f t="shared" si="6"/>
        <v>8476.3983393379513</v>
      </c>
      <c r="F22" s="101">
        <f t="shared" si="6"/>
        <v>8772.9166574326191</v>
      </c>
      <c r="G22" s="101">
        <f t="shared" si="6"/>
        <v>7709.0884642519777</v>
      </c>
      <c r="H22" s="101">
        <f t="shared" si="6"/>
        <v>7405.3843444645827</v>
      </c>
      <c r="I22" s="101">
        <f t="shared" si="6"/>
        <v>6975.9730707217432</v>
      </c>
      <c r="J22" s="101">
        <f t="shared" si="6"/>
        <v>7450.2166126135717</v>
      </c>
      <c r="K22" s="101">
        <f t="shared" si="6"/>
        <v>6842.7600174388617</v>
      </c>
      <c r="L22" s="101">
        <f t="shared" si="6"/>
        <v>6558.4809817872483</v>
      </c>
      <c r="M22" s="101">
        <f t="shared" si="6"/>
        <v>6985.7016610646142</v>
      </c>
      <c r="N22" s="101">
        <f t="shared" si="6"/>
        <v>6768.2417971323448</v>
      </c>
      <c r="O22" s="101">
        <f t="shared" si="6"/>
        <v>6241.7890809973333</v>
      </c>
      <c r="P22" s="101">
        <f t="shared" si="6"/>
        <v>5826.1017590150113</v>
      </c>
      <c r="Q22" s="101">
        <f t="shared" si="6"/>
        <v>5171.8985323898596</v>
      </c>
      <c r="R22" s="101">
        <f t="shared" si="6"/>
        <v>5158.3439683225197</v>
      </c>
      <c r="S22" s="101">
        <f t="shared" si="6"/>
        <v>4688.4016745050458</v>
      </c>
      <c r="T22" s="101">
        <f t="shared" si="6"/>
        <v>4372.812527180603</v>
      </c>
      <c r="U22" s="101">
        <f t="shared" si="6"/>
        <v>3139.8567959110756</v>
      </c>
    </row>
    <row r="24" spans="1:21" x14ac:dyDescent="0.25">
      <c r="A24" s="8" t="s">
        <v>142</v>
      </c>
    </row>
    <row r="25" spans="1:21" x14ac:dyDescent="0.25">
      <c r="A25" s="28" t="s">
        <v>137</v>
      </c>
      <c r="B25" s="14">
        <f>B21/28</f>
        <v>73.154024994165979</v>
      </c>
      <c r="C25" s="14">
        <f t="shared" ref="C25:U25" si="7">C21/28</f>
        <v>71.410416593546501</v>
      </c>
      <c r="D25" s="14">
        <f t="shared" si="7"/>
        <v>68.703567210826364</v>
      </c>
      <c r="E25" s="14">
        <f t="shared" si="7"/>
        <v>66.452600221290567</v>
      </c>
      <c r="F25" s="14">
        <f t="shared" si="7"/>
        <v>68.777221181963043</v>
      </c>
      <c r="G25" s="14">
        <f t="shared" si="7"/>
        <v>60.437104684902259</v>
      </c>
      <c r="H25" s="14">
        <f t="shared" si="7"/>
        <v>58.056149041969725</v>
      </c>
      <c r="I25" s="14">
        <f t="shared" si="7"/>
        <v>54.689684352348159</v>
      </c>
      <c r="J25" s="14">
        <f t="shared" si="7"/>
        <v>58.407621527458318</v>
      </c>
      <c r="K25" s="14">
        <f t="shared" si="7"/>
        <v>53.645331147168783</v>
      </c>
      <c r="L25" s="14">
        <f t="shared" si="7"/>
        <v>51.416662749203162</v>
      </c>
      <c r="M25" s="14">
        <f t="shared" si="7"/>
        <v>54.765953788834089</v>
      </c>
      <c r="N25" s="14">
        <f t="shared" si="7"/>
        <v>53.06112907159504</v>
      </c>
      <c r="O25" s="14">
        <f t="shared" si="7"/>
        <v>48.933886523498252</v>
      </c>
      <c r="P25" s="14">
        <f t="shared" si="7"/>
        <v>45.675013790187371</v>
      </c>
      <c r="Q25" s="14">
        <f t="shared" si="7"/>
        <v>40.546242849746292</v>
      </c>
      <c r="R25" s="14">
        <f t="shared" si="7"/>
        <v>40.439978845734039</v>
      </c>
      <c r="S25" s="14">
        <f t="shared" si="7"/>
        <v>36.755762256572659</v>
      </c>
      <c r="T25" s="14">
        <f t="shared" si="7"/>
        <v>34.281631310649331</v>
      </c>
      <c r="U25" s="14">
        <f t="shared" si="7"/>
        <v>24.615602058536304</v>
      </c>
    </row>
    <row r="26" spans="1:21" x14ac:dyDescent="0.25">
      <c r="A26" s="28" t="s">
        <v>138</v>
      </c>
      <c r="B26" s="14">
        <f>B22/115</f>
        <v>81.140889558746409</v>
      </c>
      <c r="C26" s="14">
        <f t="shared" ref="C26:U26" si="8">C22/115</f>
        <v>79.206916182986845</v>
      </c>
      <c r="D26" s="14">
        <f t="shared" si="8"/>
        <v>76.204536384568755</v>
      </c>
      <c r="E26" s="14">
        <f t="shared" si="8"/>
        <v>73.707811646416971</v>
      </c>
      <c r="F26" s="14">
        <f t="shared" si="8"/>
        <v>76.286231803761908</v>
      </c>
      <c r="G26" s="14">
        <f t="shared" si="8"/>
        <v>67.035551863060675</v>
      </c>
      <c r="H26" s="14">
        <f t="shared" si="8"/>
        <v>64.394646473605064</v>
      </c>
      <c r="I26" s="14">
        <f t="shared" si="8"/>
        <v>60.660635397580378</v>
      </c>
      <c r="J26" s="14">
        <f t="shared" si="8"/>
        <v>64.784492283596279</v>
      </c>
      <c r="K26" s="14">
        <f t="shared" si="8"/>
        <v>59.502261021207495</v>
      </c>
      <c r="L26" s="14">
        <f t="shared" si="8"/>
        <v>57.03026940684564</v>
      </c>
      <c r="M26" s="14">
        <f t="shared" si="8"/>
        <v>60.74523183534447</v>
      </c>
      <c r="N26" s="14">
        <f t="shared" si="8"/>
        <v>58.854276496802996</v>
      </c>
      <c r="O26" s="14">
        <f t="shared" si="8"/>
        <v>54.27642679128116</v>
      </c>
      <c r="P26" s="14">
        <f t="shared" si="8"/>
        <v>50.661754426217492</v>
      </c>
      <c r="Q26" s="14">
        <f t="shared" si="8"/>
        <v>44.973030716433563</v>
      </c>
      <c r="R26" s="14">
        <f t="shared" si="8"/>
        <v>44.855164941934952</v>
      </c>
      <c r="S26" s="14">
        <f t="shared" si="8"/>
        <v>40.768710213087353</v>
      </c>
      <c r="T26" s="14">
        <f t="shared" si="8"/>
        <v>38.024456758092199</v>
      </c>
      <c r="U26" s="14">
        <f t="shared" si="8"/>
        <v>27.303102573139789</v>
      </c>
    </row>
    <row r="27" spans="1:21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x14ac:dyDescent="0.25">
      <c r="A28" s="8" t="s">
        <v>141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spans="1:21" x14ac:dyDescent="0.25">
      <c r="A29" s="28" t="s">
        <v>137</v>
      </c>
      <c r="B29" s="14">
        <f>B25-B5</f>
        <v>24.711125683689737</v>
      </c>
      <c r="C29" s="14">
        <f t="shared" ref="C29:U29" si="9">C25-C5</f>
        <v>24.12214201075745</v>
      </c>
      <c r="D29" s="14">
        <f t="shared" si="9"/>
        <v>23.2077795363953</v>
      </c>
      <c r="E29" s="14">
        <f t="shared" si="9"/>
        <v>22.447412240232289</v>
      </c>
      <c r="F29" s="14">
        <f t="shared" si="9"/>
        <v>23.23265954180863</v>
      </c>
      <c r="G29" s="14">
        <f t="shared" si="9"/>
        <v>20.415402842783266</v>
      </c>
      <c r="H29" s="14">
        <f t="shared" si="9"/>
        <v>19.611125919613443</v>
      </c>
      <c r="I29" s="14">
        <f t="shared" si="9"/>
        <v>18.473948135320953</v>
      </c>
      <c r="J29" s="14">
        <f t="shared" si="9"/>
        <v>19.729851864822344</v>
      </c>
      <c r="K29" s="14">
        <f t="shared" si="9"/>
        <v>18.121169961961257</v>
      </c>
      <c r="L29" s="14">
        <f t="shared" si="9"/>
        <v>17.368335037378671</v>
      </c>
      <c r="M29" s="14">
        <f t="shared" si="9"/>
        <v>18.499711634061853</v>
      </c>
      <c r="N29" s="14">
        <f t="shared" si="9"/>
        <v>17.923828928226939</v>
      </c>
      <c r="O29" s="14">
        <f t="shared" si="9"/>
        <v>16.529663544418931</v>
      </c>
      <c r="P29" s="14">
        <f t="shared" si="9"/>
        <v>15.428829875917209</v>
      </c>
      <c r="Q29" s="14">
        <f t="shared" si="9"/>
        <v>13.696352362585547</v>
      </c>
      <c r="R29" s="14">
        <f t="shared" si="9"/>
        <v>13.660456823563482</v>
      </c>
      <c r="S29" s="14">
        <f t="shared" si="9"/>
        <v>12.415943767884556</v>
      </c>
      <c r="T29" s="14">
        <f t="shared" si="9"/>
        <v>11.580192614513393</v>
      </c>
      <c r="U29" s="14">
        <f t="shared" si="9"/>
        <v>8.3150480960780015</v>
      </c>
    </row>
    <row r="30" spans="1:21" x14ac:dyDescent="0.25">
      <c r="A30" s="28" t="s">
        <v>138</v>
      </c>
      <c r="B30" s="14">
        <f>B26-B6</f>
        <v>-6.016621905594036</v>
      </c>
      <c r="C30" s="14">
        <f t="shared" ref="C30:U30" si="10">C26-C6</f>
        <v>-5.8732171852279009</v>
      </c>
      <c r="D30" s="14">
        <f t="shared" si="10"/>
        <v>-5.6505898001658181</v>
      </c>
      <c r="E30" s="14">
        <f t="shared" si="10"/>
        <v>-5.465456893273938</v>
      </c>
      <c r="F30" s="14">
        <f t="shared" si="10"/>
        <v>-5.6566475406142729</v>
      </c>
      <c r="G30" s="14">
        <f t="shared" si="10"/>
        <v>-4.9707067791124473</v>
      </c>
      <c r="H30" s="14">
        <f t="shared" si="10"/>
        <v>-4.7748828326015342</v>
      </c>
      <c r="I30" s="14">
        <f t="shared" si="10"/>
        <v>-4.4980047633824967</v>
      </c>
      <c r="J30" s="14">
        <f t="shared" si="10"/>
        <v>-4.8037900192610863</v>
      </c>
      <c r="K30" s="14">
        <f t="shared" si="10"/>
        <v>-4.412110947260139</v>
      </c>
      <c r="L30" s="14">
        <f t="shared" si="10"/>
        <v>-4.2288120091008921</v>
      </c>
      <c r="M30" s="14">
        <f t="shared" si="10"/>
        <v>-4.5042776152498476</v>
      </c>
      <c r="N30" s="14">
        <f t="shared" si="10"/>
        <v>-4.3640626955683075</v>
      </c>
      <c r="O30" s="14">
        <f t="shared" si="10"/>
        <v>-4.0246137325541724</v>
      </c>
      <c r="P30" s="14">
        <f t="shared" si="10"/>
        <v>-3.7565846654407125</v>
      </c>
      <c r="Q30" s="14">
        <f t="shared" si="10"/>
        <v>-3.334764053499093</v>
      </c>
      <c r="R30" s="14">
        <f t="shared" si="10"/>
        <v>-3.3260242700850213</v>
      </c>
      <c r="S30" s="14">
        <f t="shared" si="10"/>
        <v>-3.0230123956588599</v>
      </c>
      <c r="T30" s="14">
        <f t="shared" si="10"/>
        <v>-2.8195251583163099</v>
      </c>
      <c r="U30" s="14">
        <f t="shared" si="10"/>
        <v>-2.0245334494798612</v>
      </c>
    </row>
    <row r="31" spans="1:21" x14ac:dyDescent="0.25">
      <c r="A31" s="103" t="s">
        <v>140</v>
      </c>
      <c r="B31" s="14">
        <f>B30*0.75</f>
        <v>-4.512466429195527</v>
      </c>
      <c r="C31" s="14">
        <f t="shared" ref="C31:U31" si="11">C30*0.75</f>
        <v>-4.4049128889209257</v>
      </c>
      <c r="D31" s="14">
        <f t="shared" si="11"/>
        <v>-4.2379423501243636</v>
      </c>
      <c r="E31" s="14">
        <f t="shared" si="11"/>
        <v>-4.0990926699554535</v>
      </c>
      <c r="F31" s="14">
        <f t="shared" si="11"/>
        <v>-4.2424856554607047</v>
      </c>
      <c r="G31" s="14">
        <f t="shared" si="11"/>
        <v>-3.7280300843343355</v>
      </c>
      <c r="H31" s="14">
        <f t="shared" si="11"/>
        <v>-3.5811621244511507</v>
      </c>
      <c r="I31" s="14">
        <f t="shared" si="11"/>
        <v>-3.3735035725368725</v>
      </c>
      <c r="J31" s="14">
        <f t="shared" si="11"/>
        <v>-3.6028425144458147</v>
      </c>
      <c r="K31" s="14">
        <f t="shared" si="11"/>
        <v>-3.3090832104451042</v>
      </c>
      <c r="L31" s="14">
        <f t="shared" si="11"/>
        <v>-3.171609006825669</v>
      </c>
      <c r="M31" s="14">
        <f t="shared" si="11"/>
        <v>-3.3782082114373857</v>
      </c>
      <c r="N31" s="14">
        <f t="shared" si="11"/>
        <v>-3.2730470216762306</v>
      </c>
      <c r="O31" s="14">
        <f t="shared" si="11"/>
        <v>-3.0184602994156293</v>
      </c>
      <c r="P31" s="14">
        <f t="shared" si="11"/>
        <v>-2.8174384990805343</v>
      </c>
      <c r="Q31" s="14">
        <f t="shared" si="11"/>
        <v>-2.5010730401243197</v>
      </c>
      <c r="R31" s="14">
        <f t="shared" si="11"/>
        <v>-2.494518202563766</v>
      </c>
      <c r="S31" s="14">
        <f t="shared" si="11"/>
        <v>-2.2672592967441449</v>
      </c>
      <c r="T31" s="14">
        <f t="shared" si="11"/>
        <v>-2.1146438687372324</v>
      </c>
      <c r="U31" s="14">
        <f t="shared" si="11"/>
        <v>-1.5184000871098959</v>
      </c>
    </row>
    <row r="33" spans="2:21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spans="2:21" x14ac:dyDescent="0.25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"/>
  <sheetViews>
    <sheetView workbookViewId="0">
      <selection activeCell="Q21" sqref="Q21"/>
    </sheetView>
  </sheetViews>
  <sheetFormatPr defaultRowHeight="15" x14ac:dyDescent="0.25"/>
  <cols>
    <col min="1" max="1" width="9.140625" style="56"/>
    <col min="2" max="2" width="19.7109375" style="56" customWidth="1"/>
    <col min="3" max="6" width="9.140625" style="56"/>
    <col min="7" max="7" width="15.28515625" style="56" customWidth="1"/>
    <col min="8" max="8" width="9.140625" style="56"/>
    <col min="9" max="11" width="9.140625" style="107"/>
    <col min="12" max="16384" width="9.140625" style="56"/>
  </cols>
  <sheetData>
    <row r="2" spans="2:15" x14ac:dyDescent="0.25">
      <c r="C2" s="56" t="s">
        <v>158</v>
      </c>
      <c r="D2" s="56" t="s">
        <v>156</v>
      </c>
      <c r="E2" s="56" t="s">
        <v>186</v>
      </c>
      <c r="H2" s="107" t="s">
        <v>160</v>
      </c>
      <c r="I2" s="107" t="s">
        <v>161</v>
      </c>
      <c r="J2" s="107" t="s">
        <v>162</v>
      </c>
      <c r="K2" s="107" t="s">
        <v>163</v>
      </c>
      <c r="L2" s="107" t="s">
        <v>3</v>
      </c>
      <c r="M2" s="107" t="s">
        <v>164</v>
      </c>
      <c r="N2" s="107" t="s">
        <v>12</v>
      </c>
      <c r="O2" s="107" t="s">
        <v>46</v>
      </c>
    </row>
    <row r="3" spans="2:15" ht="30" x14ac:dyDescent="0.25">
      <c r="B3" s="110" t="s">
        <v>165</v>
      </c>
      <c r="C3" s="56">
        <v>750</v>
      </c>
      <c r="D3" s="56">
        <v>156</v>
      </c>
      <c r="E3" s="109">
        <f>[4]IESO!$H$47</f>
        <v>158.51626977553067</v>
      </c>
      <c r="G3" s="56" t="s">
        <v>157</v>
      </c>
      <c r="H3" s="107">
        <v>82.61</v>
      </c>
      <c r="I3" s="108">
        <v>37.567500000000003</v>
      </c>
      <c r="J3" s="107">
        <v>12.750000000000002</v>
      </c>
      <c r="K3" s="107">
        <v>4.75</v>
      </c>
      <c r="L3" s="107"/>
      <c r="M3" s="108">
        <f>SUM(H3:L3)</f>
        <v>137.67750000000001</v>
      </c>
      <c r="N3" s="108">
        <f>M3*0.13</f>
        <v>17.898075000000002</v>
      </c>
      <c r="O3" s="108">
        <f>M3+N3</f>
        <v>155.57557500000001</v>
      </c>
    </row>
    <row r="4" spans="2:15" ht="30" x14ac:dyDescent="0.25">
      <c r="B4" s="110" t="s">
        <v>166</v>
      </c>
      <c r="C4" s="56">
        <v>1300</v>
      </c>
      <c r="D4" s="109">
        <f>O4</f>
        <v>291.18405000000001</v>
      </c>
      <c r="G4" s="56" t="s">
        <v>159</v>
      </c>
      <c r="H4" s="107">
        <v>143.19</v>
      </c>
      <c r="I4" s="107">
        <f>72.86+1.27+0.69+0.79+(0.0426+0.0001)*C4</f>
        <v>131.12</v>
      </c>
      <c r="J4" s="107">
        <f>(0.00065+0.0046)*C4</f>
        <v>6.8249999999999993</v>
      </c>
      <c r="K4" s="107">
        <f>(0.0036+0.0013+0.0011)*C4+0.25</f>
        <v>8.0500000000000007</v>
      </c>
      <c r="L4" s="107">
        <v>-31.5</v>
      </c>
      <c r="M4" s="108">
        <f>SUM(H4:L4)</f>
        <v>257.685</v>
      </c>
      <c r="N4" s="108">
        <f>M4*0.13</f>
        <v>33.499050000000004</v>
      </c>
      <c r="O4" s="108">
        <f>M4+N4</f>
        <v>291.18405000000001</v>
      </c>
    </row>
    <row r="5" spans="2:15" ht="30" x14ac:dyDescent="0.25">
      <c r="B5" s="110" t="s">
        <v>167</v>
      </c>
      <c r="C5" s="56">
        <v>2500</v>
      </c>
      <c r="D5" s="109">
        <f>O5</f>
        <v>455.99454999999995</v>
      </c>
      <c r="G5" s="56" t="s">
        <v>157</v>
      </c>
      <c r="H5" s="107">
        <v>275.37</v>
      </c>
      <c r="I5" s="108">
        <v>70.414999999999992</v>
      </c>
      <c r="J5" s="108">
        <v>42.5</v>
      </c>
      <c r="K5" s="108">
        <v>15.25</v>
      </c>
      <c r="L5" s="107"/>
      <c r="M5" s="108">
        <f>SUM(H5:L5)</f>
        <v>403.53499999999997</v>
      </c>
      <c r="N5" s="108">
        <f>M5*0.13</f>
        <v>52.45955</v>
      </c>
      <c r="O5" s="108">
        <f>M5+N5</f>
        <v>455.99454999999995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4:O37"/>
  <sheetViews>
    <sheetView workbookViewId="0">
      <selection activeCell="Q27" sqref="Q27"/>
    </sheetView>
  </sheetViews>
  <sheetFormatPr defaultRowHeight="15" x14ac:dyDescent="0.25"/>
  <sheetData>
    <row r="34" spans="2:15" s="28" customFormat="1" x14ac:dyDescent="0.25">
      <c r="D34" s="28">
        <v>2017</v>
      </c>
      <c r="E34" s="28">
        <v>2018</v>
      </c>
      <c r="F34" s="28">
        <v>2019</v>
      </c>
      <c r="G34" s="28">
        <v>2020</v>
      </c>
      <c r="H34" s="28">
        <v>2021</v>
      </c>
      <c r="I34" s="28">
        <v>2022</v>
      </c>
      <c r="J34" s="28">
        <v>2023</v>
      </c>
      <c r="K34" s="28">
        <v>2024</v>
      </c>
      <c r="L34" s="28">
        <v>2025</v>
      </c>
      <c r="M34" s="28">
        <v>2026</v>
      </c>
      <c r="N34" s="28">
        <v>2027</v>
      </c>
      <c r="O34" s="28">
        <v>2028</v>
      </c>
    </row>
    <row r="35" spans="2:15" s="28" customFormat="1" x14ac:dyDescent="0.25">
      <c r="C35" s="111" t="s">
        <v>170</v>
      </c>
      <c r="D35" s="28">
        <v>0</v>
      </c>
      <c r="E35" s="28">
        <v>0</v>
      </c>
      <c r="F35" s="28">
        <v>-0.13</v>
      </c>
      <c r="G35" s="28">
        <v>-0.13</v>
      </c>
      <c r="H35" s="28">
        <v>-0.14000000000000001</v>
      </c>
      <c r="I35" s="28">
        <v>-0.14000000000000001</v>
      </c>
      <c r="J35" s="28">
        <v>-0.39</v>
      </c>
      <c r="K35" s="28">
        <v>-0.47</v>
      </c>
      <c r="L35" s="28">
        <v>-0.77</v>
      </c>
      <c r="M35" s="28">
        <v>-0.84</v>
      </c>
      <c r="N35" s="28">
        <v>-0.85</v>
      </c>
      <c r="O35" s="28">
        <v>-1.1200000000000001</v>
      </c>
    </row>
    <row r="36" spans="2:15" x14ac:dyDescent="0.25">
      <c r="B36" t="s">
        <v>168</v>
      </c>
      <c r="C36" t="s">
        <v>156</v>
      </c>
      <c r="D36">
        <f>D35*1.02^(D34-2016)</f>
        <v>0</v>
      </c>
      <c r="E36" s="28">
        <f t="shared" ref="E36:I36" si="0">E35*1.02^(E34-2016)</f>
        <v>0</v>
      </c>
      <c r="F36" s="19">
        <f t="shared" si="0"/>
        <v>-0.13795704</v>
      </c>
      <c r="G36" s="19">
        <f t="shared" si="0"/>
        <v>-0.14071618080000001</v>
      </c>
      <c r="H36" s="19">
        <f t="shared" si="0"/>
        <v>-0.15457131244800001</v>
      </c>
      <c r="I36" s="19">
        <f t="shared" si="0"/>
        <v>-0.15766273869696001</v>
      </c>
      <c r="J36" s="19">
        <f t="shared" ref="J36" si="1">J35*1.02^(J34-2016)</f>
        <v>-0.44798741038321915</v>
      </c>
      <c r="K36" s="19">
        <f t="shared" ref="K36" si="2">K35*1.02^(K34-2016)</f>
        <v>-0.55067990907106479</v>
      </c>
      <c r="L36" s="19">
        <f t="shared" ref="L36" si="3">L35*1.02^(L34-2016)</f>
        <v>-0.9202212778391794</v>
      </c>
      <c r="M36" s="19">
        <f t="shared" ref="M36" si="4">M35*1.02^(M34-2016)</f>
        <v>-1.023955312795596</v>
      </c>
      <c r="N36" s="19">
        <f t="shared" ref="N36" si="5">N35*1.02^(N34-2016)</f>
        <v>-1.0568681621354541</v>
      </c>
      <c r="O36" s="19">
        <f t="shared" ref="O36" si="6">O35*1.02^(O34-2016)</f>
        <v>-1.4204308099100509</v>
      </c>
    </row>
    <row r="37" spans="2:15" x14ac:dyDescent="0.25">
      <c r="B37" t="s">
        <v>169</v>
      </c>
      <c r="C37" t="s">
        <v>25</v>
      </c>
      <c r="D37">
        <f>D36/0.75</f>
        <v>0</v>
      </c>
      <c r="E37" s="28">
        <f t="shared" ref="E37:I37" si="7">E36/0.75</f>
        <v>0</v>
      </c>
      <c r="F37" s="19">
        <f t="shared" si="7"/>
        <v>-0.18394272</v>
      </c>
      <c r="G37" s="19">
        <f t="shared" si="7"/>
        <v>-0.18762157440000002</v>
      </c>
      <c r="H37" s="19">
        <f t="shared" si="7"/>
        <v>-0.20609508326400003</v>
      </c>
      <c r="I37" s="19">
        <f t="shared" si="7"/>
        <v>-0.21021698492928001</v>
      </c>
      <c r="J37" s="19">
        <f t="shared" ref="J37" si="8">J36/0.75</f>
        <v>-0.5973165471776255</v>
      </c>
      <c r="K37" s="19">
        <f t="shared" ref="K37" si="9">K36/0.75</f>
        <v>-0.73423987876141972</v>
      </c>
      <c r="L37" s="19">
        <f t="shared" ref="L37" si="10">L36/0.75</f>
        <v>-1.2269617037855725</v>
      </c>
      <c r="M37" s="19">
        <f t="shared" ref="M37" si="11">M36/0.75</f>
        <v>-1.3652737503941281</v>
      </c>
      <c r="N37" s="19">
        <f t="shared" ref="N37" si="12">N36/0.75</f>
        <v>-1.4091575495139388</v>
      </c>
      <c r="O37" s="19">
        <f t="shared" ref="O37" si="13">O36/0.75</f>
        <v>-1.8939077465467344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Ministry Inputs </vt:lpstr>
      <vt:lpstr>Residential Bill</vt:lpstr>
      <vt:lpstr>Industrial Rates</vt:lpstr>
      <vt:lpstr>OPO</vt:lpstr>
      <vt:lpstr>10-yr rate</vt:lpstr>
      <vt:lpstr>HOEP and GA</vt:lpstr>
      <vt:lpstr>Res Bills Comparison</vt:lpstr>
      <vt:lpstr>Renewables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Poon</dc:creator>
  <cp:lastModifiedBy>Bergman, Mark (ENERGY)</cp:lastModifiedBy>
  <dcterms:created xsi:type="dcterms:W3CDTF">2016-11-22T20:57:04Z</dcterms:created>
  <dcterms:modified xsi:type="dcterms:W3CDTF">2017-02-21T13:27:51Z</dcterms:modified>
</cp:coreProperties>
</file>