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5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510" activeTab="1"/>
  </bookViews>
  <sheets>
    <sheet name="Sheet1" sheetId="66" r:id="rId1"/>
    <sheet name="Charts" sheetId="62" r:id="rId2"/>
    <sheet name="QC CA Caps" sheetId="71" r:id="rId3"/>
    <sheet name="2020-2030 Caps" sheetId="70" r:id="rId4"/>
    <sheet name="Post-2020Caps_July25Navius FP 2" sheetId="68" r:id="rId5"/>
    <sheet name="Carbon Price Forecast July 2017" sheetId="63" r:id="rId6"/>
    <sheet name="Navius Reference_July252017" sheetId="61" r:id="rId7"/>
    <sheet name="2017 NIR" sheetId="69" r:id="rId8"/>
    <sheet name="Post-2020Caps_July25Navius FixP" sheetId="65" r:id="rId9"/>
    <sheet name="Electricity Sector Emissions" sheetId="18" r:id="rId10"/>
    <sheet name="Allocation_Khalid Aug 2017" sheetId="67" r:id="rId11"/>
    <sheet name="Post-2020Cap_July252017Navius" sheetId="59" r:id="rId12"/>
    <sheet name="Comparing GHG_2016 Reporting" sheetId="64" r:id="rId13"/>
    <sheet name="Summ_Post2020Cap Decline Factor" sheetId="49" r:id="rId14"/>
    <sheet name="October 2016 Proceeds" sheetId="53" r:id="rId15"/>
    <sheet name="Free Allowances" sheetId="56" r:id="rId16"/>
    <sheet name="December 2016_pst 2020 Proceeds" sheetId="51" r:id="rId17"/>
    <sheet name="Demand and Supply Anlaysis" sheetId="55" r:id="rId18"/>
    <sheet name="7.5Mt Elec Cap_Jan6 DS_new EX" sheetId="38" r:id="rId19"/>
    <sheet name="Close the Gap" sheetId="42" r:id="rId20"/>
  </sheets>
  <externalReferences>
    <externalReference r:id="rId21"/>
    <externalReference r:id="rId22"/>
    <externalReference r:id="rId23"/>
    <externalReference r:id="rId24"/>
  </externalReferences>
  <calcPr calcId="152511"/>
  <oleSize ref="C2:AC325"/>
  <fileRecoveryPr autoRecover="0"/>
</workbook>
</file>

<file path=xl/comments1.xml><?xml version="1.0" encoding="utf-8"?>
<comments xmlns="http://schemas.openxmlformats.org/spreadsheetml/2006/main">
  <authors>
    <author>Author</author>
  </authors>
  <commentList>
    <comment ref="B1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Double Check with Eric</t>
        </r>
      </text>
    </comment>
    <comment ref="B14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Double Check with Eric</t>
        </r>
      </text>
    </comment>
    <comment ref="B14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partly covered for incineration of waste category waste (d) 200-300 kt. CO2e.</t>
        </r>
      </text>
    </comment>
  </commentList>
</comments>
</file>

<file path=xl/sharedStrings.xml><?xml version="1.0" encoding="utf-8"?>
<sst xmlns="http://schemas.openxmlformats.org/spreadsheetml/2006/main" count="2341" uniqueCount="783">
  <si>
    <t>kt of CO2e</t>
  </si>
  <si>
    <t>Stationary Combustion Sources</t>
  </si>
  <si>
    <t>Electricity and Heat Generation</t>
  </si>
  <si>
    <t>Manufacturing Industries</t>
  </si>
  <si>
    <t>Construction</t>
  </si>
  <si>
    <t>Residential</t>
  </si>
  <si>
    <t>b.</t>
  </si>
  <si>
    <t>Transport1</t>
  </si>
  <si>
    <t>Civil Aviation (Domestic Aviation)</t>
  </si>
  <si>
    <t>Railways</t>
  </si>
  <si>
    <t>Navigation (Domestic Marine)</t>
  </si>
  <si>
    <t>c.</t>
  </si>
  <si>
    <t>Fugitive Sources2</t>
  </si>
  <si>
    <t>Oil and Natural Gas</t>
  </si>
  <si>
    <t>INDUSTRIAL PROCESSES3</t>
  </si>
  <si>
    <t>Mineral Products</t>
  </si>
  <si>
    <t>Cement Production</t>
  </si>
  <si>
    <t>Lime Production</t>
  </si>
  <si>
    <t>Metal Production</t>
  </si>
  <si>
    <t>Iron and Steel Production</t>
  </si>
  <si>
    <t>Aluminum Production</t>
  </si>
  <si>
    <t>d.</t>
  </si>
  <si>
    <t>e.</t>
  </si>
  <si>
    <t>AGRICULTURE</t>
  </si>
  <si>
    <t>Agriculture Soils</t>
  </si>
  <si>
    <t>WASTE</t>
  </si>
  <si>
    <t>TOTAL (kT CO2 equivalent)</t>
  </si>
  <si>
    <t>Uncovered Emissions</t>
  </si>
  <si>
    <t>Total uncovered emissions</t>
  </si>
  <si>
    <t>Aviation and Marine</t>
  </si>
  <si>
    <t>Covered emissions</t>
  </si>
  <si>
    <t xml:space="preserve">CO2 Transport and Storage </t>
  </si>
  <si>
    <t>Production and Consumption of Halocarbons, SF6 and NF33</t>
  </si>
  <si>
    <t xml:space="preserve">Non-Energy Products from Fuels and Solvent Use </t>
  </si>
  <si>
    <t>f.</t>
  </si>
  <si>
    <t xml:space="preserve">Other Product Manufacture and Use </t>
  </si>
  <si>
    <t>Industry</t>
  </si>
  <si>
    <t>C&amp;I Buildings</t>
  </si>
  <si>
    <t>Residential Buildings</t>
  </si>
  <si>
    <t>Transportation</t>
  </si>
  <si>
    <t>Agriculture and Waste non-energy</t>
  </si>
  <si>
    <t>TOTAL</t>
  </si>
  <si>
    <t>With Current Policy Measures</t>
  </si>
  <si>
    <t>Actuals</t>
  </si>
  <si>
    <t>Reductions</t>
  </si>
  <si>
    <t>Targets</t>
  </si>
  <si>
    <t>Shortfall</t>
  </si>
  <si>
    <t>Req. Reductions</t>
  </si>
  <si>
    <t>Reductions Achieved</t>
  </si>
  <si>
    <t>Progress %</t>
  </si>
  <si>
    <t>1990 Emissions</t>
  </si>
  <si>
    <t>2020 BAU Emissions</t>
  </si>
  <si>
    <t>2020 Emissions Remaining Post-Initiatives</t>
  </si>
  <si>
    <t>1990-2020 Change</t>
  </si>
  <si>
    <t>2020 Emissions Remaining</t>
  </si>
  <si>
    <t>Program Base Year</t>
  </si>
  <si>
    <t>Annual Rate of Decline</t>
  </si>
  <si>
    <t>combustion</t>
  </si>
  <si>
    <t>Combustion</t>
  </si>
  <si>
    <t>Process</t>
  </si>
  <si>
    <t>Electricity</t>
  </si>
  <si>
    <t>pre-2020</t>
  </si>
  <si>
    <t>post 2020</t>
  </si>
  <si>
    <t>Fuels</t>
  </si>
  <si>
    <t>Average rate</t>
  </si>
  <si>
    <t>all sectors equally</t>
  </si>
  <si>
    <t>Transportation Fuel</t>
  </si>
  <si>
    <t>Other Stational Source (mostly NG)</t>
  </si>
  <si>
    <t>Total Covered Emissions</t>
  </si>
  <si>
    <t>Reporting Data</t>
  </si>
  <si>
    <t xml:space="preserve">Table 2: Breakdown of total  MT CO2e emissions (excluding Biomass and CO2 captured) reported annually by sector. </t>
  </si>
  <si>
    <t xml:space="preserve">Electricity Generation </t>
  </si>
  <si>
    <t>Iron and Steel</t>
  </si>
  <si>
    <t>Petroleum Refining</t>
  </si>
  <si>
    <t>Chemical</t>
  </si>
  <si>
    <t>Cement</t>
  </si>
  <si>
    <t>Pulp and Paper</t>
  </si>
  <si>
    <t>Lime</t>
  </si>
  <si>
    <t>Gas Transportation and Distribution</t>
  </si>
  <si>
    <t>Food Processing</t>
  </si>
  <si>
    <t>Other</t>
  </si>
  <si>
    <t>Total</t>
  </si>
  <si>
    <t>Breakdown of "Other"</t>
  </si>
  <si>
    <t>Vehicle Manufacturers</t>
  </si>
  <si>
    <t>Institutions</t>
  </si>
  <si>
    <t>Base Metal</t>
  </si>
  <si>
    <t>District Heating</t>
  </si>
  <si>
    <t>Non-metallic</t>
  </si>
  <si>
    <t>Misc. Industry</t>
  </si>
  <si>
    <t>Oil and Gas</t>
  </si>
  <si>
    <t>Waste Management</t>
  </si>
  <si>
    <t>Major Sector Total</t>
  </si>
  <si>
    <t>Industry Total</t>
  </si>
  <si>
    <t>Electricity Total</t>
  </si>
  <si>
    <t xml:space="preserve">Institution </t>
  </si>
  <si>
    <t>Non-Electricity</t>
  </si>
  <si>
    <t>Large Emitters (LFEs)</t>
  </si>
  <si>
    <t xml:space="preserve">Emissions Forecast adjusted with Reporting data </t>
  </si>
  <si>
    <t>Forecasted LFE and Natural Gas</t>
  </si>
  <si>
    <t>LFE (MT)</t>
  </si>
  <si>
    <t>Nat Gas (MT)</t>
  </si>
  <si>
    <t>2013 Reporting data</t>
  </si>
  <si>
    <t>Buildings</t>
  </si>
  <si>
    <t>Covered Industry+ Buildings - LFEs</t>
  </si>
  <si>
    <t>Kt CO2e</t>
  </si>
  <si>
    <t>Mt CO2e</t>
  </si>
  <si>
    <t>Total Uncovered Emissions</t>
  </si>
  <si>
    <t>% of Coverage</t>
  </si>
  <si>
    <t>Gaps to Close the Target</t>
  </si>
  <si>
    <t>Illustrative Caps (Economy Wide)</t>
  </si>
  <si>
    <t>Electricity and Heat Generation (Domestic)</t>
  </si>
  <si>
    <t>Expected Reductions</t>
  </si>
  <si>
    <t>"Close the Gap to Target" Rate of Cap Decline</t>
  </si>
  <si>
    <t>Equal Reduction for all Covered sectors</t>
  </si>
  <si>
    <t xml:space="preserve">Total </t>
  </si>
  <si>
    <t>Annuel</t>
  </si>
  <si>
    <t>2017-2020</t>
  </si>
  <si>
    <t>2021-2030</t>
  </si>
  <si>
    <t>Target</t>
  </si>
  <si>
    <t>Domestic Emissions (2013 LTEP)</t>
  </si>
  <si>
    <t>2013 LTEP</t>
  </si>
  <si>
    <t>Ontario Reporting Data</t>
  </si>
  <si>
    <t>Reference</t>
  </si>
  <si>
    <t>Source Data for Charts (1990-2030), Mt CO2e</t>
  </si>
  <si>
    <t>Sum</t>
  </si>
  <si>
    <t>Domestic</t>
  </si>
  <si>
    <t>Domestic + Imports</t>
  </si>
  <si>
    <t>Domestic Emissions (2015 SOR)</t>
  </si>
  <si>
    <t>Imports (2015 IESO)</t>
  </si>
  <si>
    <t>Imports (2012 OPA)</t>
  </si>
  <si>
    <t>Electricity Cap (Mt CO2e)  - Option 1 2013 LTEP based</t>
  </si>
  <si>
    <t>Electricity Cap (Mt CO2e)  - Option 2 2015 SOR based</t>
  </si>
  <si>
    <t xml:space="preserve">Electricity Cap (Mt CO2e)  - Option 3  2017 Cap (14 Mt) </t>
  </si>
  <si>
    <t xml:space="preserve">Electricity Cap (Mt CO2e)  - Option 4  2017 Cap (10 Mt) </t>
  </si>
  <si>
    <t>Domestic + Imports - 2013 LTEP based</t>
  </si>
  <si>
    <t xml:space="preserve">Domestic + Imports - 2015 SOR based </t>
  </si>
  <si>
    <t>Domestic + Imports - 2015 SOR based - new slope</t>
  </si>
  <si>
    <t>Domestic + Imports - 2013 LTEP based, new slope</t>
  </si>
  <si>
    <t>Domestic + imports - 2013 LTEP based</t>
  </si>
  <si>
    <t>Domestic + Imports - 2013 LTEP based, new 2017 Cap only (14 Mt)</t>
  </si>
  <si>
    <t>Domestic + Imports - 2013 LTEP based, new 2017 Cap only (10 Mt)</t>
  </si>
  <si>
    <t>Imports (at the sector rate of decline)</t>
  </si>
  <si>
    <t>Large Emitters</t>
  </si>
  <si>
    <t>Illustrative Cap*</t>
  </si>
  <si>
    <t>Total Emissions in Ontario - BAU</t>
  </si>
  <si>
    <t>Total Emissions in Ontario - Policy Case</t>
  </si>
  <si>
    <t>Infograph</t>
  </si>
  <si>
    <t xml:space="preserve">Average (2017-2030) - 2015 IESO imports: </t>
  </si>
  <si>
    <t>2015 IESO - 3.5 Mt the average of 2017-2030</t>
  </si>
  <si>
    <t>Fugitive Sources</t>
  </si>
  <si>
    <t>Dave Sawyers</t>
  </si>
  <si>
    <t>Domestic - Dave Sawyer's forecast</t>
  </si>
  <si>
    <t>Domestic + imports -EnviroEconomics' forecast</t>
  </si>
  <si>
    <t>Domestic + imports -EnviroEconomics' forecast, new 2017 Cap</t>
  </si>
  <si>
    <t>LFE - Khalid's BAU (tonnes)</t>
  </si>
  <si>
    <t>Rate of Decline</t>
  </si>
  <si>
    <t>Rate of Decline 2017-2020 (Total)</t>
  </si>
  <si>
    <t>Rate of Decline 2017-2020 (Annual)</t>
  </si>
  <si>
    <t>Domestic + Imports - 2015 SOR based - (2017-2030) average</t>
  </si>
  <si>
    <t>Domestic + Imports - 2015 SOR based - (2017-2020) average</t>
  </si>
  <si>
    <t xml:space="preserve">Average (2017-2020) - 2015 IESO imports: </t>
  </si>
  <si>
    <t>Scenarios</t>
  </si>
  <si>
    <t>Domestic + Imports - Ministry of Energy proposed</t>
  </si>
  <si>
    <t xml:space="preserve"> Total Emissions in Ontario - BAU</t>
  </si>
  <si>
    <t>Total Covered Emissions - BAU</t>
  </si>
  <si>
    <t>Industry (LFEs)</t>
  </si>
  <si>
    <t>Cap for LFEs</t>
  </si>
  <si>
    <t>Cap for Electricity Sector</t>
  </si>
  <si>
    <t>Electricity (Domestic Only)*</t>
  </si>
  <si>
    <t xml:space="preserve">Transportation  Fuels </t>
  </si>
  <si>
    <t>Cap for Transporation Fuels</t>
  </si>
  <si>
    <t>Cap for Other Fuels</t>
  </si>
  <si>
    <t>Illustrative Cap</t>
  </si>
  <si>
    <t>Effective Decline for Combustion</t>
  </si>
  <si>
    <r>
      <t xml:space="preserve">Economy-Wide Cap 
</t>
    </r>
    <r>
      <rPr>
        <sz val="8"/>
        <color theme="1"/>
        <rFont val="Calibri"/>
        <family val="2"/>
        <scheme val="minor"/>
      </rPr>
      <t>(all covered sectors)</t>
    </r>
  </si>
  <si>
    <r>
      <t>Electricity</t>
    </r>
    <r>
      <rPr>
        <b/>
        <vertAlign val="superscript"/>
        <sz val="8"/>
        <color theme="1"/>
        <rFont val="Calibri"/>
        <family val="2"/>
        <scheme val="minor"/>
      </rPr>
      <t>**</t>
    </r>
  </si>
  <si>
    <r>
      <t xml:space="preserve"> Fuels Sector 
</t>
    </r>
    <r>
      <rPr>
        <sz val="8"/>
        <color theme="1"/>
        <rFont val="Calibri"/>
        <family val="2"/>
        <scheme val="minor"/>
      </rPr>
      <t>(incl. Small- and Medium-Sized Firms)</t>
    </r>
  </si>
  <si>
    <t>Effective Decline
for Total Industry</t>
  </si>
  <si>
    <t>Other Fuels (including  SMEs)</t>
  </si>
  <si>
    <t>Electricity + Fuels</t>
  </si>
  <si>
    <t>Cap on Covered Emissions</t>
  </si>
  <si>
    <t>DS Growth Rate (industry emissions) applied to reporting data</t>
  </si>
  <si>
    <t>Carbon Prices (nominal CAD$/tonne)</t>
  </si>
  <si>
    <t>Proceeds (Nominal million$, assuming 5% stratigic reserve, free allocation to LFEs)</t>
  </si>
  <si>
    <t>Value of Allowances Distributed Free of Charge (Nominal $ millions,  assuming 5% stratigic reserve)</t>
  </si>
  <si>
    <t>post 2021</t>
  </si>
  <si>
    <t>post 2022</t>
  </si>
  <si>
    <t>2017-2020 Average</t>
  </si>
  <si>
    <t>2021-2030 Average</t>
  </si>
  <si>
    <t>B</t>
  </si>
  <si>
    <t>F</t>
  </si>
  <si>
    <t>A</t>
  </si>
  <si>
    <t xml:space="preserve">New Exchange Rate  Preliminary 2016 </t>
  </si>
  <si>
    <t>Decline from 2017-2020</t>
  </si>
  <si>
    <t>Averaged annual decline during 2017-2020</t>
  </si>
  <si>
    <t xml:space="preserve"> Process Emissons, as percentage of total Ontario emisssions</t>
  </si>
  <si>
    <t>Process Emissons (42% of total LFEs, Mt)</t>
  </si>
  <si>
    <t>BAU emissions for LFEs (Mt)</t>
  </si>
  <si>
    <t>why is the carbon price in the unlinked C&amp;T scenario so much higher than in the tax scenario? If there are $69 reductions out there in the economy why would anyone pay $157? Same aggregate reductions achieved right?</t>
  </si>
  <si>
    <t>Why is leakage way higher in tax scenario if the price is way lower?</t>
  </si>
  <si>
    <t>Also ask Rosalyn her opinion.</t>
  </si>
  <si>
    <t xml:space="preserve">And how she calculated the reserve relative to cap in her spreadsheet.  We set aside the reserve, and had 18.7 of compliance, with proceeds calculated to no include the reserve.  </t>
  </si>
  <si>
    <t>Exch rate sensitivity:</t>
  </si>
  <si>
    <t>For Cap Option with Electricity Sector Cap at 7.5 Mt -  4.57% cap decline factor for industry combustion (2017-2020), 3.267% for 2021-2030</t>
  </si>
  <si>
    <t>Cogen Switch</t>
  </si>
  <si>
    <t>Exch Rate ch</t>
  </si>
  <si>
    <t>Estimated Auction Proceeds</t>
  </si>
  <si>
    <r>
      <t>Carbon Prices</t>
    </r>
    <r>
      <rPr>
        <sz val="9"/>
        <color theme="1"/>
        <rFont val="Calibri"/>
        <family val="2"/>
        <scheme val="minor"/>
      </rPr>
      <t xml:space="preserve"> (nominal CAD$/tonne CO2e)</t>
    </r>
  </si>
  <si>
    <t>10% Advance Auction Switch</t>
  </si>
  <si>
    <t>Total Capped Allowances (Mt, including imports)</t>
  </si>
  <si>
    <r>
      <rPr>
        <b/>
        <sz val="9"/>
        <color theme="1"/>
        <rFont val="Calibri"/>
        <family val="2"/>
        <scheme val="minor"/>
      </rPr>
      <t>Strategic Reserves</t>
    </r>
    <r>
      <rPr>
        <sz val="9"/>
        <color theme="1"/>
        <rFont val="Calibri"/>
        <family val="2"/>
        <scheme val="minor"/>
      </rPr>
      <t xml:space="preserve"> (Mt, assuming 5% of total budget)</t>
    </r>
  </si>
  <si>
    <t>2020 cap</t>
  </si>
  <si>
    <r>
      <rPr>
        <b/>
        <sz val="9"/>
        <color theme="1"/>
        <rFont val="Calibri"/>
        <family val="2"/>
        <scheme val="minor"/>
      </rPr>
      <t>Allowances Free of Charge</t>
    </r>
    <r>
      <rPr>
        <sz val="9"/>
        <color theme="1"/>
        <rFont val="Calibri"/>
        <family val="2"/>
        <scheme val="minor"/>
      </rPr>
      <t xml:space="preserve"> - Capped allowance for LFEs (Mt)</t>
    </r>
  </si>
  <si>
    <t>Update mostly Cogen related (mt)</t>
  </si>
  <si>
    <t>Total Allowances free of charge (mt)</t>
  </si>
  <si>
    <t>Advance Auction (10% of the 2020 capped allowances)</t>
  </si>
  <si>
    <r>
      <t>Auctioned Allowances</t>
    </r>
    <r>
      <rPr>
        <sz val="9"/>
        <color theme="1"/>
        <rFont val="Calibri"/>
        <family val="2"/>
        <scheme val="minor"/>
      </rPr>
      <t xml:space="preserve"> (Mt)</t>
    </r>
  </si>
  <si>
    <r>
      <rPr>
        <b/>
        <sz val="9"/>
        <color theme="1"/>
        <rFont val="Calibri"/>
        <family val="2"/>
        <scheme val="minor"/>
      </rPr>
      <t>Electricity</t>
    </r>
    <r>
      <rPr>
        <sz val="9"/>
        <color theme="1"/>
        <rFont val="Calibri"/>
        <family val="2"/>
        <scheme val="minor"/>
      </rPr>
      <t xml:space="preserve"> (Mt,including Imports)</t>
    </r>
  </si>
  <si>
    <r>
      <rPr>
        <b/>
        <sz val="9"/>
        <color theme="1"/>
        <rFont val="Calibri"/>
        <family val="2"/>
        <scheme val="minor"/>
      </rPr>
      <t>Fuels</t>
    </r>
    <r>
      <rPr>
        <sz val="9"/>
        <color theme="1"/>
        <rFont val="Calibri"/>
        <family val="2"/>
        <scheme val="minor"/>
      </rPr>
      <t xml:space="preserve"> (Mt)</t>
    </r>
  </si>
  <si>
    <r>
      <rPr>
        <b/>
        <sz val="9"/>
        <color theme="1"/>
        <rFont val="Calibri"/>
        <family val="2"/>
        <scheme val="minor"/>
      </rPr>
      <t>Auction Proceeds</t>
    </r>
    <r>
      <rPr>
        <sz val="9"/>
        <color theme="1"/>
        <rFont val="Calibri"/>
        <family val="2"/>
        <scheme val="minor"/>
      </rPr>
      <t xml:space="preserve"> by Calendar Year ($ millions)</t>
    </r>
  </si>
  <si>
    <t>Auctioned Proceeds by Quarter ($ million)</t>
  </si>
  <si>
    <t>Fiscal year</t>
  </si>
  <si>
    <t>2016/17</t>
  </si>
  <si>
    <t>2017/18</t>
  </si>
  <si>
    <t>2018/19</t>
  </si>
  <si>
    <t>2019/20</t>
  </si>
  <si>
    <t>2020/21</t>
  </si>
  <si>
    <t>Value of Free Allowances by Fiscal Year ($ millions)</t>
  </si>
  <si>
    <t>Auction Proceeds with Prudence (a 15% discount), by Fiscal Year ($ millions)</t>
  </si>
  <si>
    <t>Average</t>
  </si>
  <si>
    <r>
      <rPr>
        <b/>
        <sz val="9"/>
        <color theme="1"/>
        <rFont val="Calibri"/>
        <family val="2"/>
        <scheme val="minor"/>
      </rPr>
      <t>Value of Free Allowances</t>
    </r>
    <r>
      <rPr>
        <sz val="9"/>
        <color theme="1"/>
        <rFont val="Calibri"/>
        <family val="2"/>
        <scheme val="minor"/>
      </rPr>
      <t xml:space="preserve"> by Calendar Year ($ millions)</t>
    </r>
  </si>
  <si>
    <t>rosalyn's</t>
  </si>
  <si>
    <t>Value of Free Allowances by Quarter ($ million)</t>
  </si>
  <si>
    <t>change -Rosalyn's with Cogen</t>
  </si>
  <si>
    <t>Rosalyn with advance auction</t>
  </si>
  <si>
    <t>change with Rosalyn's with advance auction</t>
  </si>
  <si>
    <t>change with Rosalyn's with advance auction &amp; cogen</t>
  </si>
  <si>
    <t>Proceeds Analysis with Cogen and Advance Auction (May 2, 2016)</t>
  </si>
  <si>
    <t>Preliminary Proceeds  Estimates $M (In fiscal years)</t>
  </si>
  <si>
    <t>2016-17</t>
  </si>
  <si>
    <t>2017-18</t>
  </si>
  <si>
    <t>2018-19</t>
  </si>
  <si>
    <t>2019-20</t>
  </si>
  <si>
    <t>2020-21</t>
  </si>
  <si>
    <t>Cumulative $M</t>
  </si>
  <si>
    <t>Reported to LRC 23/02/16</t>
  </si>
  <si>
    <t>Updated estimates for Cogen</t>
  </si>
  <si>
    <t>Updated estimates for Cogen and 10% Advance Auction</t>
  </si>
  <si>
    <t>% change from February estimates (with advance auction)</t>
  </si>
  <si>
    <t>Value of Free Allowances  Estimates $M (In fiscal years)</t>
  </si>
  <si>
    <t>Exch rate sensitivity: Proceeds Analysis with Cogen and Advance Auction (May 2, 2016)</t>
  </si>
  <si>
    <t>Feb.16,2016</t>
  </si>
  <si>
    <t>For Cap Option with Electricity Sector Cap at 7.5 Mt -  4.57% cap decline factor for industry combustion</t>
  </si>
  <si>
    <r>
      <rPr>
        <b/>
        <sz val="9"/>
        <color theme="1"/>
        <rFont val="Calibri"/>
        <family val="2"/>
        <scheme val="minor"/>
      </rPr>
      <t xml:space="preserve">Total Capped Allowances </t>
    </r>
    <r>
      <rPr>
        <sz val="9"/>
        <color theme="1"/>
        <rFont val="Calibri"/>
        <family val="2"/>
        <scheme val="minor"/>
      </rPr>
      <t>(Mt, including imports)</t>
    </r>
  </si>
  <si>
    <t>Auction Proceeds by Fiscal Year ($ millions)</t>
  </si>
  <si>
    <t>Advance Auction Scenario 2: 10% of 2020 cap added to 2017 auction, 2020 available allowances decrease by 10%</t>
  </si>
  <si>
    <t>Preliminary Proceeds  Estimates (In fiscal years)</t>
  </si>
  <si>
    <t>Updated estimates</t>
  </si>
  <si>
    <t>% change from February estimates</t>
  </si>
  <si>
    <t>Preliminary Estimates of Value of Allowances Distributed Free of Charge (In fiscal years)</t>
  </si>
  <si>
    <t>Forecasted Value Reported to TB/MC Feb. 2016</t>
  </si>
  <si>
    <t>% increase from February estimates</t>
  </si>
  <si>
    <t>G</t>
  </si>
  <si>
    <r>
      <t>Sectoral Rates of Decline under Cap Achieving 2030 Target  (annual reduction from 2020 base year)</t>
    </r>
    <r>
      <rPr>
        <b/>
        <vertAlign val="superscript"/>
        <sz val="8"/>
        <color theme="1"/>
        <rFont val="Calibri"/>
        <family val="2"/>
        <scheme val="minor"/>
      </rPr>
      <t>*</t>
    </r>
  </si>
  <si>
    <r>
      <t>**</t>
    </r>
    <r>
      <rPr>
        <sz val="8"/>
        <color theme="1"/>
        <rFont val="Calibri"/>
        <family val="2"/>
        <scheme val="minor"/>
      </rPr>
      <t>Assuming that post-2020 electricity caps remain the same as ones in the first complaince period</t>
    </r>
  </si>
  <si>
    <r>
      <t>*</t>
    </r>
    <r>
      <rPr>
        <sz val="8"/>
        <color theme="1"/>
        <rFont val="Calibri"/>
        <family val="2"/>
        <scheme val="minor"/>
      </rPr>
      <t>Post-2020 cap analysis based on September 13, 2016 preliminary reference case emission forecast EnviroEconomics</t>
    </r>
  </si>
  <si>
    <t>Effective Decline for Total non-LFE Combustion (electricity and fuels)</t>
  </si>
  <si>
    <t>Non-LFE Combustion</t>
  </si>
  <si>
    <t>Industry (LFE)</t>
  </si>
  <si>
    <t>Auctioned Proceeds by Fiscal Year ($ millions)</t>
  </si>
  <si>
    <t>Cumulative</t>
  </si>
  <si>
    <t>Reported to May 2016 TB Submission
(Updated estimates for Cogen and 10% Advance Auction)</t>
  </si>
  <si>
    <t>Updated for Oct 25 2016 MOF Exchange Rate Forecast, Oct 2016 Carbon Price</t>
  </si>
  <si>
    <t>% change from May estimates (with new carbon prices)</t>
  </si>
  <si>
    <t>Average (2020-2030) - 2015 IESO imports</t>
  </si>
  <si>
    <t>Domestic Capped Allowances</t>
  </si>
  <si>
    <t>2016 OPO</t>
  </si>
  <si>
    <t xml:space="preserve">Average (2021-2030) - 2016 OPO imports: </t>
  </si>
  <si>
    <t xml:space="preserve">Average (2021-2030) - 2016 OPO  domestic: </t>
  </si>
  <si>
    <t>2021-2030: 2016 OPO</t>
  </si>
  <si>
    <t>Electricity Imports (2016 OPO)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</si>
  <si>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</si>
  <si>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</si>
  <si>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</si>
  <si>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</si>
  <si>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</si>
  <si>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</si>
  <si>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</si>
  <si>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</si>
  <si>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</si>
  <si>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</si>
  <si>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For Cap Option with Electricity Sector Cap at 7.5 Mt -  4.57% cap decline factor for industry combustion (2017-2020), 3.60% for 2021-2030</t>
  </si>
  <si>
    <r>
      <t>Megatonnes CO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e</t>
    </r>
  </si>
  <si>
    <t>GHG Emissions within Ontario</t>
  </si>
  <si>
    <t>GHG Emissions from imports to Ontario</t>
  </si>
  <si>
    <t>Cumulative 2017-2020
($M)</t>
  </si>
  <si>
    <t>Decreased Sector Emissions from the 7.5 Mt Cap  (Mt)</t>
  </si>
  <si>
    <t>Potential Proceeds Decrease ($ millions)</t>
  </si>
  <si>
    <t>Average (2017-2020) - 2016 OPO Total (Mt)</t>
  </si>
  <si>
    <t>Average (2017-2020) - 2016 OPO Imports (Mt)</t>
  </si>
  <si>
    <t>Average (2017-2030) - 2016 OPO Total (Mt)</t>
  </si>
  <si>
    <t>Total Suppply from Ontario</t>
  </si>
  <si>
    <t xml:space="preserve">% of lower Electricity emissions over total demand (before linking) </t>
  </si>
  <si>
    <t xml:space="preserve">% of lower Electricity emissions over total Ontario Supply </t>
  </si>
  <si>
    <t>Total Demand - covered sectors (before Linking)</t>
  </si>
  <si>
    <t>Allowances Supply</t>
  </si>
  <si>
    <t>LFE</t>
  </si>
  <si>
    <t>Allocation</t>
  </si>
  <si>
    <t xml:space="preserve">    32,636,370 </t>
  </si>
  <si>
    <t xml:space="preserve">         32,192,488 </t>
  </si>
  <si>
    <t xml:space="preserve">         31,798,518 </t>
  </si>
  <si>
    <t xml:space="preserve">         30,533,994 </t>
  </si>
  <si>
    <t xml:space="preserve">         28,833,542 </t>
  </si>
  <si>
    <t>Opt-in</t>
  </si>
  <si>
    <t xml:space="preserve">      1,510,077 </t>
  </si>
  <si>
    <t xml:space="preserve">           1,120,948 </t>
  </si>
  <si>
    <t xml:space="preserve">           1,075,932 </t>
  </si>
  <si>
    <t xml:space="preserve">           1,031,032 </t>
  </si>
  <si>
    <t xml:space="preserve">           1,058,390 </t>
  </si>
  <si>
    <t xml:space="preserve">   34,146,447 </t>
  </si>
  <si>
    <t xml:space="preserve">        33,313,436 </t>
  </si>
  <si>
    <t xml:space="preserve">        32,874,451 </t>
  </si>
  <si>
    <t xml:space="preserve">        31,565,026 </t>
  </si>
  <si>
    <t xml:space="preserve">        29,891,932 </t>
  </si>
  <si>
    <t xml:space="preserve">    32,444,454 </t>
  </si>
  <si>
    <t xml:space="preserve">         32,036,611 </t>
  </si>
  <si>
    <t xml:space="preserve">         31,647,583 </t>
  </si>
  <si>
    <t xml:space="preserve">         30,390,472 </t>
  </si>
  <si>
    <t xml:space="preserve">         28,695,732 </t>
  </si>
  <si>
    <t xml:space="preserve">      1,701,993 </t>
  </si>
  <si>
    <t xml:space="preserve">           1,276,825 </t>
  </si>
  <si>
    <t xml:space="preserve">           1,226,867 </t>
  </si>
  <si>
    <t xml:space="preserve">           1,174,555 </t>
  </si>
  <si>
    <t xml:space="preserve">           1,196,200 </t>
  </si>
  <si>
    <t>Provided Earlier</t>
  </si>
  <si>
    <t>The numbers are not to be shared as they are draft, confidential and for internal use only.</t>
  </si>
  <si>
    <t xml:space="preserve">The break up between LFEs and Opt-ins (total remains the same). 
The earlier table was counting more opt-ins (89) but verification from C+T shows 8 less (81 opt ins). </t>
  </si>
  <si>
    <t xml:space="preserve">Updated (Nov 28, 2016) </t>
  </si>
  <si>
    <t>Kt</t>
  </si>
  <si>
    <t>Mt</t>
  </si>
  <si>
    <t>Total Allowances free of charge (with Opt-in) (mt)</t>
  </si>
  <si>
    <t>Total Allowances free of charge, with opt-in (mt)</t>
  </si>
  <si>
    <r>
      <t>Allowances Available for Auction</t>
    </r>
    <r>
      <rPr>
        <sz val="9"/>
        <color theme="1"/>
        <rFont val="Calibri"/>
        <family val="2"/>
        <scheme val="minor"/>
      </rPr>
      <t xml:space="preserve"> (Mt)</t>
    </r>
  </si>
  <si>
    <t>Demand and Supply Analysis</t>
  </si>
  <si>
    <r>
      <rPr>
        <b/>
        <i/>
        <sz val="9"/>
        <rFont val="Calibri"/>
        <family val="2"/>
        <scheme val="minor"/>
      </rPr>
      <t>Strategic Reserves</t>
    </r>
    <r>
      <rPr>
        <i/>
        <sz val="9"/>
        <rFont val="Calibri"/>
        <family val="2"/>
        <scheme val="minor"/>
      </rPr>
      <t xml:space="preserve"> (Mt, assuming 5% of total budget)</t>
    </r>
  </si>
  <si>
    <t>Q1 2017/18</t>
  </si>
  <si>
    <t>Q2 2017/18</t>
  </si>
  <si>
    <t>Q3 2017/18</t>
  </si>
  <si>
    <t>Q1 2018/19</t>
  </si>
  <si>
    <t>Q2 2018/19</t>
  </si>
  <si>
    <t>Q3 2018/19</t>
  </si>
  <si>
    <t>Q1 2019/20</t>
  </si>
  <si>
    <t>Q2 2019/20</t>
  </si>
  <si>
    <t>Q3 2019/20</t>
  </si>
  <si>
    <t>Q1 2020/21</t>
  </si>
  <si>
    <t>Q22020/21</t>
  </si>
  <si>
    <t>Q3 2020/21</t>
  </si>
  <si>
    <t>linked --&gt;</t>
  </si>
  <si>
    <t>Unlinked --&gt;</t>
  </si>
  <si>
    <r>
      <t>Total Ontario Supply - Allowances Available for Auction</t>
    </r>
    <r>
      <rPr>
        <sz val="9"/>
        <color theme="1"/>
        <rFont val="Calibri"/>
        <family val="2"/>
        <scheme val="minor"/>
      </rPr>
      <t xml:space="preserve"> (Mt)</t>
    </r>
  </si>
  <si>
    <t xml:space="preserve">Unlinked </t>
  </si>
  <si>
    <r>
      <t xml:space="preserve">Updated electricity sector emissions </t>
    </r>
    <r>
      <rPr>
        <i/>
        <sz val="9"/>
        <color theme="1" tint="0.499984740745262"/>
        <rFont val="Calibri"/>
        <family val="2"/>
        <scheme val="minor"/>
      </rPr>
      <t>(with imports), Mt</t>
    </r>
  </si>
  <si>
    <t>CP</t>
  </si>
  <si>
    <t>B=A*0.5</t>
  </si>
  <si>
    <r>
      <t>C=C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+C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</si>
  <si>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1</t>
    </r>
  </si>
  <si>
    <t>Transitional Allowances to Mandatory Participants</t>
  </si>
  <si>
    <r>
      <t>C</t>
    </r>
    <r>
      <rPr>
        <vertAlign val="subscript"/>
        <sz val="11"/>
        <color theme="1"/>
        <rFont val="Calibri"/>
        <family val="2"/>
        <scheme val="minor"/>
      </rPr>
      <t>2</t>
    </r>
  </si>
  <si>
    <t>S=A-B-C</t>
  </si>
  <si>
    <t>P=S*CP</t>
  </si>
  <si>
    <r>
      <t xml:space="preserve">Estimated Proceeds; 100% sold </t>
    </r>
    <r>
      <rPr>
        <sz val="9"/>
        <color theme="1"/>
        <rFont val="Calibri"/>
        <family val="2"/>
        <scheme val="minor"/>
      </rPr>
      <t>($ million)</t>
    </r>
  </si>
  <si>
    <r>
      <rPr>
        <b/>
        <sz val="9"/>
        <color rgb="FFFF0000"/>
        <rFont val="Calibri"/>
        <family val="2"/>
        <scheme val="minor"/>
      </rPr>
      <t xml:space="preserve">Q4 </t>
    </r>
    <r>
      <rPr>
        <b/>
        <sz val="9"/>
        <color theme="1"/>
        <rFont val="Calibri"/>
        <family val="2"/>
        <scheme val="minor"/>
      </rPr>
      <t>2016/17</t>
    </r>
  </si>
  <si>
    <r>
      <rPr>
        <b/>
        <sz val="9"/>
        <rFont val="Calibri"/>
        <family val="2"/>
        <scheme val="minor"/>
      </rPr>
      <t>Q1</t>
    </r>
    <r>
      <rPr>
        <b/>
        <sz val="9"/>
        <color theme="1"/>
        <rFont val="Calibri"/>
        <family val="2"/>
        <scheme val="minor"/>
      </rPr>
      <t xml:space="preserve"> 2017/18</t>
    </r>
  </si>
  <si>
    <r>
      <rPr>
        <b/>
        <sz val="9"/>
        <color rgb="FFFF0000"/>
        <rFont val="Calibri"/>
        <family val="2"/>
        <scheme val="minor"/>
      </rPr>
      <t>Q4</t>
    </r>
    <r>
      <rPr>
        <b/>
        <sz val="9"/>
        <color theme="1"/>
        <rFont val="Calibri"/>
        <family val="2"/>
        <scheme val="minor"/>
      </rPr>
      <t xml:space="preserve"> 2017/18</t>
    </r>
  </si>
  <si>
    <r>
      <rPr>
        <b/>
        <sz val="9"/>
        <color rgb="FFFF0000"/>
        <rFont val="Calibri"/>
        <family val="2"/>
        <scheme val="minor"/>
      </rPr>
      <t>Q4</t>
    </r>
    <r>
      <rPr>
        <b/>
        <sz val="9"/>
        <color theme="1"/>
        <rFont val="Calibri"/>
        <family val="2"/>
        <scheme val="minor"/>
      </rPr>
      <t xml:space="preserve"> 2018/19</t>
    </r>
  </si>
  <si>
    <r>
      <rPr>
        <b/>
        <sz val="9"/>
        <color rgb="FFFF0000"/>
        <rFont val="Calibri"/>
        <family val="2"/>
        <scheme val="minor"/>
      </rPr>
      <t xml:space="preserve">Q4 </t>
    </r>
    <r>
      <rPr>
        <b/>
        <sz val="9"/>
        <color theme="1"/>
        <rFont val="Calibri"/>
        <family val="2"/>
        <scheme val="minor"/>
      </rPr>
      <t>2019/20</t>
    </r>
  </si>
  <si>
    <t>Q2 2020/21</t>
  </si>
  <si>
    <r>
      <rPr>
        <b/>
        <sz val="9"/>
        <color rgb="FFFF0000"/>
        <rFont val="Calibri"/>
        <family val="2"/>
        <scheme val="minor"/>
      </rPr>
      <t xml:space="preserve">Q4 </t>
    </r>
    <r>
      <rPr>
        <b/>
        <sz val="9"/>
        <color theme="1"/>
        <rFont val="Calibri"/>
        <family val="2"/>
        <scheme val="minor"/>
      </rPr>
      <t>2020/21</t>
    </r>
  </si>
  <si>
    <r>
      <rPr>
        <b/>
        <sz val="9"/>
        <color rgb="FFFF0000"/>
        <rFont val="Calibri"/>
        <family val="2"/>
        <scheme val="minor"/>
      </rPr>
      <t>Q4</t>
    </r>
    <r>
      <rPr>
        <b/>
        <sz val="9"/>
        <rFont val="Calibri"/>
        <family val="2"/>
        <scheme val="minor"/>
      </rPr>
      <t xml:space="preserve"> 2020/21</t>
    </r>
  </si>
  <si>
    <t>November 30,2016</t>
  </si>
  <si>
    <r>
      <t>C=C</t>
    </r>
    <r>
      <rPr>
        <vertAlign val="sub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+C</t>
    </r>
    <r>
      <rPr>
        <vertAlign val="subscript"/>
        <sz val="11"/>
        <rFont val="Calibri"/>
        <family val="2"/>
        <scheme val="minor"/>
      </rPr>
      <t>2</t>
    </r>
  </si>
  <si>
    <t>C</t>
  </si>
  <si>
    <t>December 7,2016</t>
  </si>
  <si>
    <t>Carbon Prices (in Calender Year)</t>
  </si>
  <si>
    <r>
      <t>Carbon Prices (nominal CAD$/tonne CO2e);</t>
    </r>
    <r>
      <rPr>
        <sz val="9"/>
        <color theme="1"/>
        <rFont val="Calibri"/>
        <family val="2"/>
        <scheme val="minor"/>
      </rPr>
      <t xml:space="preserve"> average of Bloomberg and Carlifonia Carbon</t>
    </r>
  </si>
  <si>
    <r>
      <t>CP</t>
    </r>
    <r>
      <rPr>
        <vertAlign val="subscript"/>
        <sz val="9"/>
        <color theme="1"/>
        <rFont val="Calibri"/>
        <family val="2"/>
        <scheme val="minor"/>
      </rPr>
      <t>floor</t>
    </r>
  </si>
  <si>
    <t>Floor Prices (nominal CAD$/tonne CO2e)</t>
  </si>
  <si>
    <t>&lt;----Placeholder for updating</t>
  </si>
  <si>
    <t>Supply (in Calender Year)</t>
  </si>
  <si>
    <t>Transitional Allowances to Voluntary Participants (Opt-in)</t>
  </si>
  <si>
    <t>Supply (in Quarter)</t>
  </si>
  <si>
    <t>Supply (in Fiscal Year)</t>
  </si>
  <si>
    <t>Demand (in Calendar Year)</t>
  </si>
  <si>
    <t>BAU Covered Emissions  (Mt, including imports)</t>
  </si>
  <si>
    <t>Electricity sector emissions (with imports), Mt</t>
  </si>
  <si>
    <r>
      <t xml:space="preserve">Updated electricity sector emissions </t>
    </r>
    <r>
      <rPr>
        <i/>
        <sz val="9"/>
        <rFont val="Calibri"/>
        <family val="2"/>
        <scheme val="minor"/>
      </rPr>
      <t>(with imports), Mt</t>
    </r>
  </si>
  <si>
    <r>
      <t>A</t>
    </r>
    <r>
      <rPr>
        <vertAlign val="subscript"/>
        <sz val="11"/>
        <color theme="1"/>
        <rFont val="Calibri"/>
        <family val="2"/>
        <scheme val="minor"/>
      </rPr>
      <t>adj.</t>
    </r>
    <r>
      <rPr>
        <sz val="11"/>
        <color theme="1"/>
        <rFont val="Calibri"/>
        <family val="2"/>
        <scheme val="minor"/>
      </rPr>
      <t>=A-B+C</t>
    </r>
  </si>
  <si>
    <t>Adjusted BAU Covered Emissions</t>
  </si>
  <si>
    <t>Total Allowances free of charge, with opt-in (Mt)</t>
  </si>
  <si>
    <r>
      <t>D</t>
    </r>
    <r>
      <rPr>
        <vertAlign val="subscript"/>
        <sz val="11"/>
        <color theme="1"/>
        <rFont val="Calibri"/>
        <family val="2"/>
        <scheme val="minor"/>
      </rPr>
      <t>base case</t>
    </r>
    <r>
      <rPr>
        <sz val="11"/>
        <color theme="1"/>
        <rFont val="Calibri"/>
        <family val="2"/>
        <scheme val="minor"/>
      </rPr>
      <t>= A</t>
    </r>
    <r>
      <rPr>
        <vertAlign val="subscript"/>
        <sz val="11"/>
        <color theme="1"/>
        <rFont val="Calibri"/>
        <family val="2"/>
        <scheme val="minor"/>
      </rPr>
      <t>adj.</t>
    </r>
    <r>
      <rPr>
        <sz val="11"/>
        <color theme="1"/>
        <rFont val="Calibri"/>
        <family val="2"/>
        <scheme val="minor"/>
      </rPr>
      <t>-F</t>
    </r>
  </si>
  <si>
    <r>
      <t xml:space="preserve">Adjusted Base Case; </t>
    </r>
    <r>
      <rPr>
        <sz val="9"/>
        <color theme="1"/>
        <rFont val="Calibri"/>
        <family val="2"/>
        <scheme val="minor"/>
      </rPr>
      <t>with lower electricity emissions; assuming demand = acutal emissions</t>
    </r>
  </si>
  <si>
    <r>
      <t>O</t>
    </r>
    <r>
      <rPr>
        <vertAlign val="subscript"/>
        <sz val="11"/>
        <color theme="1"/>
        <rFont val="Calibri"/>
        <family val="2"/>
        <scheme val="minor"/>
      </rPr>
      <t>1</t>
    </r>
  </si>
  <si>
    <t>Offsets (4% of Total Compliance)</t>
  </si>
  <si>
    <r>
      <t>O</t>
    </r>
    <r>
      <rPr>
        <vertAlign val="subscript"/>
        <sz val="11"/>
        <color theme="1"/>
        <rFont val="Calibri"/>
        <family val="2"/>
        <scheme val="minor"/>
      </rPr>
      <t>2</t>
    </r>
  </si>
  <si>
    <t>Offsets (8% of Total Compliance)</t>
  </si>
  <si>
    <t>CCAP Reductions</t>
  </si>
  <si>
    <r>
      <t>D</t>
    </r>
    <r>
      <rPr>
        <vertAlign val="subscript"/>
        <sz val="11"/>
        <color theme="1"/>
        <rFont val="Calibri"/>
        <family val="2"/>
        <scheme val="minor"/>
      </rPr>
      <t>4%</t>
    </r>
    <r>
      <rPr>
        <sz val="11"/>
        <color theme="1"/>
        <rFont val="Calibri"/>
        <family val="2"/>
        <scheme val="minor"/>
      </rPr>
      <t>=A</t>
    </r>
    <r>
      <rPr>
        <vertAlign val="subscript"/>
        <sz val="11"/>
        <color theme="1"/>
        <rFont val="Calibri"/>
        <family val="2"/>
        <scheme val="minor"/>
      </rPr>
      <t>adj.</t>
    </r>
    <r>
      <rPr>
        <sz val="11"/>
        <color theme="1"/>
        <rFont val="Calibri"/>
        <family val="2"/>
        <scheme val="minor"/>
      </rPr>
      <t>-O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-G</t>
    </r>
  </si>
  <si>
    <t>Demand Case with 4% Offsets and CCAP reductions</t>
  </si>
  <si>
    <r>
      <t>D</t>
    </r>
    <r>
      <rPr>
        <vertAlign val="subscript"/>
        <sz val="11"/>
        <color theme="1"/>
        <rFont val="Calibri"/>
        <family val="2"/>
        <scheme val="minor"/>
      </rPr>
      <t>8%</t>
    </r>
    <r>
      <rPr>
        <sz val="11"/>
        <color theme="1"/>
        <rFont val="Calibri"/>
        <family val="2"/>
        <scheme val="minor"/>
      </rPr>
      <t>=A</t>
    </r>
    <r>
      <rPr>
        <vertAlign val="subscript"/>
        <sz val="11"/>
        <color theme="1"/>
        <rFont val="Calibri"/>
        <family val="2"/>
        <scheme val="minor"/>
      </rPr>
      <t>adj.</t>
    </r>
    <r>
      <rPr>
        <sz val="11"/>
        <color theme="1"/>
        <rFont val="Calibri"/>
        <family val="2"/>
        <scheme val="minor"/>
      </rPr>
      <t>-O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-G</t>
    </r>
  </si>
  <si>
    <t>Demand Case with 8% Offsets and CCAP reductions</t>
  </si>
  <si>
    <t>Demand (in QUARTER)</t>
  </si>
  <si>
    <r>
      <t>E</t>
    </r>
    <r>
      <rPr>
        <vertAlign val="subscript"/>
        <sz val="11"/>
        <color theme="1"/>
        <rFont val="Calibri"/>
        <family val="2"/>
        <scheme val="minor"/>
      </rPr>
      <t>4%</t>
    </r>
    <r>
      <rPr>
        <sz val="11"/>
        <color theme="1"/>
        <rFont val="Calibri"/>
        <family val="2"/>
        <scheme val="minor"/>
      </rPr>
      <t>=A</t>
    </r>
    <r>
      <rPr>
        <vertAlign val="subscript"/>
        <sz val="11"/>
        <color theme="1"/>
        <rFont val="Calibri"/>
        <family val="2"/>
        <scheme val="minor"/>
      </rPr>
      <t>adj.</t>
    </r>
    <r>
      <rPr>
        <sz val="11"/>
        <color theme="1"/>
        <rFont val="Calibri"/>
        <family val="2"/>
        <scheme val="minor"/>
      </rPr>
      <t>-O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-G</t>
    </r>
  </si>
  <si>
    <r>
      <t>E</t>
    </r>
    <r>
      <rPr>
        <vertAlign val="subscript"/>
        <sz val="11"/>
        <color theme="1"/>
        <rFont val="Calibri"/>
        <family val="2"/>
        <scheme val="minor"/>
      </rPr>
      <t>8%</t>
    </r>
    <r>
      <rPr>
        <sz val="11"/>
        <color theme="1"/>
        <rFont val="Calibri"/>
        <family val="2"/>
        <scheme val="minor"/>
      </rPr>
      <t>=A</t>
    </r>
    <r>
      <rPr>
        <vertAlign val="subscript"/>
        <sz val="11"/>
        <color theme="1"/>
        <rFont val="Calibri"/>
        <family val="2"/>
        <scheme val="minor"/>
      </rPr>
      <t>adj.</t>
    </r>
    <r>
      <rPr>
        <sz val="11"/>
        <color theme="1"/>
        <rFont val="Calibri"/>
        <family val="2"/>
        <scheme val="minor"/>
      </rPr>
      <t>-O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-G</t>
    </r>
  </si>
  <si>
    <t>Demand (in Fiscal Year)</t>
  </si>
  <si>
    <t>Estimated Proceeds</t>
  </si>
  <si>
    <t>Carbon prices: 2017 floor price; post-2017 based on averaged Bloomberg and Carlifonia Carbon</t>
  </si>
  <si>
    <r>
      <t>Estimated Proceeds,</t>
    </r>
    <r>
      <rPr>
        <u/>
        <sz val="9"/>
        <color theme="1"/>
        <rFont val="Calibri"/>
        <family val="2"/>
        <scheme val="minor"/>
      </rPr>
      <t xml:space="preserve"> under different Demand Scenarios</t>
    </r>
    <r>
      <rPr>
        <b/>
        <u/>
        <sz val="9"/>
        <color theme="1"/>
        <rFont val="Calibri"/>
        <family val="2"/>
        <scheme val="minor"/>
      </rPr>
      <t xml:space="preserve"> (in QUATER)</t>
    </r>
  </si>
  <si>
    <r>
      <t>P</t>
    </r>
    <r>
      <rPr>
        <vertAlign val="subscript"/>
        <sz val="11"/>
        <color theme="1"/>
        <rFont val="Calibri"/>
        <family val="2"/>
        <scheme val="minor"/>
      </rPr>
      <t>0</t>
    </r>
  </si>
  <si>
    <t>Proceeds, 100% sold ($ million)</t>
  </si>
  <si>
    <r>
      <t>P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=P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*100%</t>
    </r>
  </si>
  <si>
    <r>
      <t xml:space="preserve">Proceeds, under Adjusted Base Case demand </t>
    </r>
    <r>
      <rPr>
        <sz val="9"/>
        <color theme="1"/>
        <rFont val="Calibri"/>
        <family val="2"/>
        <scheme val="minor"/>
      </rPr>
      <t xml:space="preserve"> ($ million)</t>
    </r>
  </si>
  <si>
    <r>
      <t>P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=P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*K</t>
    </r>
  </si>
  <si>
    <r>
      <t xml:space="preserve">Proceeds, demand with Uncertainties </t>
    </r>
    <r>
      <rPr>
        <sz val="9"/>
        <color theme="1"/>
        <rFont val="Calibri"/>
        <family val="2"/>
        <scheme val="minor"/>
      </rPr>
      <t>(Mt)  ($ million)</t>
    </r>
  </si>
  <si>
    <r>
      <t>P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=P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*0.75</t>
    </r>
  </si>
  <si>
    <r>
      <t xml:space="preserve">Proceeds, demand with Prudence </t>
    </r>
    <r>
      <rPr>
        <sz val="9"/>
        <color theme="1"/>
        <rFont val="Calibri"/>
        <family val="2"/>
        <scheme val="minor"/>
      </rPr>
      <t>(Mt) Strategic Behaviour Muted ($ million)</t>
    </r>
  </si>
  <si>
    <r>
      <t xml:space="preserve">Estimated Proceeds </t>
    </r>
    <r>
      <rPr>
        <sz val="9"/>
        <color theme="1"/>
        <rFont val="Calibri"/>
        <family val="2"/>
        <scheme val="minor"/>
      </rPr>
      <t>(in Fiscal Year)</t>
    </r>
  </si>
  <si>
    <r>
      <t xml:space="preserve">Proceeds, Adjusted Base Case, 100% sold </t>
    </r>
    <r>
      <rPr>
        <sz val="9"/>
        <color theme="1"/>
        <rFont val="Calibri"/>
        <family val="2"/>
        <scheme val="minor"/>
      </rPr>
      <t xml:space="preserve"> ($ million)</t>
    </r>
  </si>
  <si>
    <t>Note: 2017 floor price; post-2017 price based on the averaged Bloomberg and California Carbon</t>
  </si>
  <si>
    <t>Total Combustion (Industry Combustion+Electricity + Fuels )</t>
  </si>
  <si>
    <t>GHG by NIR sector</t>
  </si>
  <si>
    <t>Energy</t>
  </si>
  <si>
    <t xml:space="preserve">Public Electricity and Heat Production </t>
  </si>
  <si>
    <t>Petroleum Refining Industries</t>
  </si>
  <si>
    <t>Mining and Upstream Oil and Gas Production</t>
  </si>
  <si>
    <t>Commercial and Institutional</t>
  </si>
  <si>
    <t>Agriculture and Forestry</t>
  </si>
  <si>
    <t>Transport</t>
  </si>
  <si>
    <t>Domestic Aviation</t>
  </si>
  <si>
    <t>Personal vehicles</t>
  </si>
  <si>
    <t>Freight vehicles</t>
  </si>
  <si>
    <t xml:space="preserve">Domestic Navigation </t>
  </si>
  <si>
    <t>Off-Road</t>
  </si>
  <si>
    <t>Pipeline</t>
  </si>
  <si>
    <t xml:space="preserve">Coal Mining </t>
  </si>
  <si>
    <t>Industrial Processes and Product Use</t>
  </si>
  <si>
    <t>Non-Energy Products from Fuels and Solvent Use</t>
  </si>
  <si>
    <t>Production and Consumption of Halocarbons, SF6 and NF3</t>
  </si>
  <si>
    <t>Agriculture</t>
  </si>
  <si>
    <t>Animal management</t>
  </si>
  <si>
    <t>Waste</t>
  </si>
  <si>
    <t xml:space="preserve"> Reference Case Emissions Forecast</t>
  </si>
  <si>
    <t>2010-15</t>
  </si>
  <si>
    <t>2015-20</t>
  </si>
  <si>
    <t>2020-25</t>
  </si>
  <si>
    <t>2025-30</t>
  </si>
  <si>
    <t>GHG by NIR sector, Annualized</t>
  </si>
  <si>
    <t>Uncovered</t>
  </si>
  <si>
    <t>Covered Emissions</t>
  </si>
  <si>
    <t>Total Emissions (reference case)</t>
  </si>
  <si>
    <t>Jan.6, 2016 EnviroEconomic Results based</t>
  </si>
  <si>
    <t>Industry Process</t>
  </si>
  <si>
    <t>Total Emissions in Ontario</t>
  </si>
  <si>
    <t>Reference Case emissions for LFEs (Mt)</t>
  </si>
  <si>
    <t>Navius  Growth Rate (industry emissions) applied to reporting data</t>
  </si>
  <si>
    <t>Navius projected Electricty sector emissions</t>
  </si>
  <si>
    <t>LFE (tonne, bottom up approach) - Khalid</t>
  </si>
  <si>
    <t>LFE - adjusted with Reporting dat, Mt</t>
  </si>
  <si>
    <t>May 2016 Analysis</t>
  </si>
  <si>
    <t>July 2017 Analysis</t>
  </si>
  <si>
    <t>Target based on 2015 NIR 1990 levels</t>
  </si>
  <si>
    <t>Target based on 2017 NIR 1990 levels</t>
  </si>
  <si>
    <r>
      <t>C</t>
    </r>
    <r>
      <rPr>
        <vertAlign val="subscript"/>
        <sz val="11"/>
        <color theme="1"/>
        <rFont val="Calibri"/>
        <family val="2"/>
        <scheme val="minor"/>
      </rPr>
      <t>process</t>
    </r>
  </si>
  <si>
    <r>
      <t>C</t>
    </r>
    <r>
      <rPr>
        <vertAlign val="subscript"/>
        <sz val="11"/>
        <color theme="1"/>
        <rFont val="Calibri"/>
        <family val="2"/>
        <scheme val="minor"/>
      </rPr>
      <t>combustion</t>
    </r>
  </si>
  <si>
    <t>2020-2030</t>
  </si>
  <si>
    <r>
      <t>C</t>
    </r>
    <r>
      <rPr>
        <vertAlign val="subscript"/>
        <sz val="11"/>
        <color theme="1"/>
        <rFont val="Calibri"/>
        <family val="2"/>
        <scheme val="minor"/>
      </rPr>
      <t>program-wide</t>
    </r>
  </si>
  <si>
    <t>All sectors equally</t>
  </si>
  <si>
    <t>Electricity Sector Emissions, Mt CO2e</t>
  </si>
  <si>
    <t>Second Compliance Period</t>
  </si>
  <si>
    <t>First Compliance Period</t>
  </si>
  <si>
    <t>Total Caps (including Imported electricity)</t>
  </si>
  <si>
    <t>Total Caps (Domestic)</t>
  </si>
  <si>
    <t>Domestic Emissions (2016 OPO)</t>
  </si>
  <si>
    <t>Imports (2016 OPO)</t>
  </si>
  <si>
    <t xml:space="preserve">Imported Electricity </t>
  </si>
  <si>
    <t>2015 IESO</t>
  </si>
  <si>
    <t>Data Source</t>
  </si>
  <si>
    <t>Projected Emissions for LFE and Natural Gas, Mt CO2e</t>
  </si>
  <si>
    <t>Total Emissions in Ontario - Reference Case, Mt CO2e</t>
  </si>
  <si>
    <t>Covered</t>
  </si>
  <si>
    <t>Reference case</t>
  </si>
  <si>
    <t>Imported Electricity</t>
  </si>
  <si>
    <t>Excluded from the original Jan.6, 2016 EnviroEconomics' forecast (excluded GEEM model)</t>
  </si>
  <si>
    <t>Declining trend (=annual decline rate of domestic caps)</t>
  </si>
  <si>
    <t>Flat at 2021-30 average (2016 OPO)</t>
  </si>
  <si>
    <t>Electricity sector emissions (Domestic)</t>
  </si>
  <si>
    <t>External WCI Allowance Price forecasts for CA-QC-ON updated July 2017</t>
  </si>
  <si>
    <t>Bloomberg Central Case</t>
  </si>
  <si>
    <t>Bloomberg Auction Floor</t>
  </si>
  <si>
    <t>CaliforniaCarbon Low Case</t>
  </si>
  <si>
    <t xml:space="preserve">CaliforniaCarbon High Case </t>
  </si>
  <si>
    <t>Average Price in USD</t>
  </si>
  <si>
    <t>MOF Exch rate Oct 25, 2016</t>
  </si>
  <si>
    <t>Carbon Price Forecast (CAD)</t>
  </si>
  <si>
    <t>New Exchange Rate July 2017</t>
  </si>
  <si>
    <t>Total Allowances free of charge, with Opt-in (mt)</t>
  </si>
  <si>
    <t>Auction Proceeds from Advance Auction</t>
  </si>
  <si>
    <t xml:space="preserve">Auction Proceeds from Advance Auction by Fiscal Year ($million) </t>
  </si>
  <si>
    <t>2023/31</t>
  </si>
  <si>
    <t>Auction Proceeds by Calendar Year ($ millions)</t>
  </si>
  <si>
    <t>Value of Free Allowances by Calendar Year ($ millions)</t>
  </si>
  <si>
    <r>
      <t>Carbon Prices</t>
    </r>
    <r>
      <rPr>
        <sz val="8"/>
        <color theme="1"/>
        <rFont val="Calibri"/>
        <family val="2"/>
        <scheme val="minor"/>
      </rPr>
      <t xml:space="preserve"> (nominal CAD$/tonne CO2e)</t>
    </r>
  </si>
  <si>
    <r>
      <rPr>
        <b/>
        <sz val="8"/>
        <color theme="1"/>
        <rFont val="Calibri"/>
        <family val="2"/>
        <scheme val="minor"/>
      </rPr>
      <t>Strategic Reserves</t>
    </r>
    <r>
      <rPr>
        <sz val="8"/>
        <color theme="1"/>
        <rFont val="Calibri"/>
        <family val="2"/>
        <scheme val="minor"/>
      </rPr>
      <t xml:space="preserve"> (Mt, assuming 5% of total budget)</t>
    </r>
  </si>
  <si>
    <r>
      <rPr>
        <b/>
        <i/>
        <sz val="8"/>
        <color theme="1" tint="0.499984740745262"/>
        <rFont val="Calibri"/>
        <family val="2"/>
        <scheme val="minor"/>
      </rPr>
      <t>Allowances Free of Charge</t>
    </r>
    <r>
      <rPr>
        <i/>
        <sz val="8"/>
        <color theme="1" tint="0.499984740745262"/>
        <rFont val="Calibri"/>
        <family val="2"/>
        <scheme val="minor"/>
      </rPr>
      <t xml:space="preserve"> - Capped allowance for LFEs (Mt) 
</t>
    </r>
    <r>
      <rPr>
        <i/>
        <sz val="8"/>
        <color rgb="FFC00000"/>
        <rFont val="Calibri"/>
        <family val="2"/>
        <scheme val="minor"/>
      </rPr>
      <t>- As of November 30, 2016</t>
    </r>
  </si>
  <si>
    <r>
      <t xml:space="preserve">Adjusted Free Allocation (regulation amendment)  
</t>
    </r>
    <r>
      <rPr>
        <i/>
        <sz val="8"/>
        <color rgb="FFC00000"/>
        <rFont val="Calibri"/>
        <family val="2"/>
        <scheme val="minor"/>
      </rPr>
      <t xml:space="preserve">- As of Feb.27, 2017 </t>
    </r>
  </si>
  <si>
    <r>
      <t xml:space="preserve">Opt-in (mt)
</t>
    </r>
    <r>
      <rPr>
        <i/>
        <sz val="8"/>
        <color rgb="FFC00000"/>
        <rFont val="Calibri"/>
        <family val="2"/>
        <scheme val="minor"/>
      </rPr>
      <t>- As of November 30, 2016</t>
    </r>
  </si>
  <si>
    <r>
      <t>Auctioned Allowances</t>
    </r>
    <r>
      <rPr>
        <sz val="8"/>
        <color theme="1"/>
        <rFont val="Calibri"/>
        <family val="2"/>
        <scheme val="minor"/>
      </rPr>
      <t xml:space="preserve"> (Mt)</t>
    </r>
  </si>
  <si>
    <r>
      <rPr>
        <b/>
        <sz val="8"/>
        <color theme="1"/>
        <rFont val="Calibri"/>
        <family val="2"/>
        <scheme val="minor"/>
      </rPr>
      <t>Electricity</t>
    </r>
    <r>
      <rPr>
        <sz val="8"/>
        <color theme="1"/>
        <rFont val="Calibri"/>
        <family val="2"/>
        <scheme val="minor"/>
      </rPr>
      <t xml:space="preserve"> (Mt,including Imports)</t>
    </r>
  </si>
  <si>
    <r>
      <rPr>
        <b/>
        <sz val="8"/>
        <color theme="1"/>
        <rFont val="Calibri"/>
        <family val="2"/>
        <scheme val="minor"/>
      </rPr>
      <t>Fuels</t>
    </r>
    <r>
      <rPr>
        <sz val="8"/>
        <color theme="1"/>
        <rFont val="Calibri"/>
        <family val="2"/>
        <scheme val="minor"/>
      </rPr>
      <t xml:space="preserve"> (Mt)</t>
    </r>
  </si>
  <si>
    <r>
      <t xml:space="preserve">Auctioned Proceeds by Fiscal Year </t>
    </r>
    <r>
      <rPr>
        <sz val="8"/>
        <color theme="1"/>
        <rFont val="Calibri"/>
        <family val="2"/>
        <scheme val="minor"/>
      </rPr>
      <t>($ millions)</t>
    </r>
  </si>
  <si>
    <t>First five auctions</t>
  </si>
  <si>
    <t>First five quarters</t>
  </si>
  <si>
    <t>GHG Emissions - reference case (Mt CO2e)</t>
  </si>
  <si>
    <t>2021- 2030</t>
  </si>
  <si>
    <t>Industry+Buildings (mostly NG)</t>
  </si>
  <si>
    <t>Forecasted 2016</t>
  </si>
  <si>
    <t>Reported 2016</t>
  </si>
  <si>
    <t>Difference (Reported-Forecasted)</t>
  </si>
  <si>
    <t>Forecasted emissions are based on the 2013 historical data from the 2015 NIR</t>
  </si>
  <si>
    <t>Other Stationary Source (mostly NG)</t>
  </si>
  <si>
    <t>Forecast</t>
  </si>
  <si>
    <t>Reported 2016 Emissions</t>
  </si>
  <si>
    <t>Difference:</t>
  </si>
  <si>
    <t>Reported - Forecast</t>
  </si>
  <si>
    <t>Comments</t>
  </si>
  <si>
    <t>Questions from CG</t>
  </si>
  <si>
    <r>
      <t>Large Emitters (LFEs)</t>
    </r>
    <r>
      <rPr>
        <sz val="10"/>
        <color rgb="FF1F497D"/>
        <rFont val="Calibri"/>
        <family val="2"/>
      </rPr>
      <t xml:space="preserve"> (Mandatory Participants excluding fuels dist)</t>
    </r>
  </si>
  <si>
    <t>6 MT</t>
  </si>
  <si>
    <r>
      <t>Reported 2016</t>
    </r>
    <r>
      <rPr>
        <sz val="8"/>
        <color rgb="FF1F497D"/>
        <rFont val="Arial"/>
        <family val="2"/>
      </rPr>
      <t xml:space="preserve"> </t>
    </r>
    <r>
      <rPr>
        <sz val="8"/>
        <color theme="1"/>
        <rFont val="Arial"/>
        <family val="2"/>
      </rPr>
      <t>Includes VP</t>
    </r>
  </si>
  <si>
    <t>I would suggest we break out VP and Mandatory Participants, in 2016 at least, if this is in fact where they are being shown</t>
  </si>
  <si>
    <t>       Voluntary Participants</t>
  </si>
  <si>
    <t>Electricity Transmission</t>
  </si>
  <si>
    <t>0.1 MT</t>
  </si>
  <si>
    <t>(2.4 MT)</t>
  </si>
  <si>
    <t>Lower than expected.</t>
  </si>
  <si>
    <r>
      <t xml:space="preserve">Greener Diesel? </t>
    </r>
    <r>
      <rPr>
        <sz val="8"/>
        <color theme="1"/>
        <rFont val="Wingdings"/>
        <charset val="2"/>
      </rPr>
      <t>J</t>
    </r>
  </si>
  <si>
    <t>(7.6 MT)</t>
  </si>
  <si>
    <t>Lower than expected, some became large emitters.</t>
  </si>
  <si>
    <t>Did some also become Voluntary Participants?</t>
  </si>
  <si>
    <t>Any idea why the difference?</t>
  </si>
  <si>
    <t>(6.5 MT)</t>
  </si>
  <si>
    <r>
      <t xml:space="preserve">2017 reported is low b/c </t>
    </r>
    <r>
      <rPr>
        <sz val="8"/>
        <color theme="1"/>
        <rFont val="Arial"/>
        <family val="2"/>
      </rPr>
      <t>cover</t>
    </r>
    <r>
      <rPr>
        <sz val="8"/>
        <color rgb="FF1F497D"/>
        <rFont val="Arial"/>
        <family val="2"/>
      </rPr>
      <t>ed</t>
    </r>
    <r>
      <rPr>
        <sz val="8"/>
        <color theme="1"/>
        <rFont val="Arial"/>
        <family val="2"/>
      </rPr>
      <t xml:space="preserve"> by </t>
    </r>
    <r>
      <rPr>
        <sz val="8"/>
        <color rgb="FF1F497D"/>
        <rFont val="Arial"/>
        <family val="2"/>
      </rPr>
      <t>Other Stnry Source (</t>
    </r>
    <r>
      <rPr>
        <sz val="8"/>
        <color theme="1"/>
        <rFont val="Arial"/>
        <family val="2"/>
      </rPr>
      <t>NG</t>
    </r>
    <r>
      <rPr>
        <sz val="8"/>
        <color rgb="FF1F497D"/>
        <rFont val="Arial"/>
        <family val="2"/>
      </rPr>
      <t>)</t>
    </r>
    <r>
      <rPr>
        <sz val="8"/>
        <color theme="1"/>
        <rFont val="Arial"/>
        <family val="2"/>
      </rPr>
      <t>.</t>
    </r>
  </si>
  <si>
    <t>      Sub-total, Other Stationary Sources</t>
  </si>
  <si>
    <t>(14.1 MT)</t>
  </si>
  <si>
    <t>Recommend combining OSS and E&amp;HG since they are reported together in 2017.</t>
  </si>
  <si>
    <t>Electricity Imports</t>
  </si>
  <si>
    <t>0.3 </t>
  </si>
  <si>
    <r>
      <t> </t>
    </r>
    <r>
      <rPr>
        <sz val="10"/>
        <color rgb="FFFF0000"/>
        <rFont val="Calibri"/>
        <family val="2"/>
      </rPr>
      <t>1.01</t>
    </r>
  </si>
  <si>
    <t>(10.4 MT)</t>
  </si>
  <si>
    <r>
      <t> Cap is 142.3 MT</t>
    </r>
    <r>
      <rPr>
        <sz val="8"/>
        <color rgb="FF1F497D"/>
        <rFont val="Arial"/>
        <family val="2"/>
      </rPr>
      <t xml:space="preserve"> </t>
    </r>
    <r>
      <rPr>
        <sz val="8"/>
        <color rgb="FFFF0000"/>
        <rFont val="Arial"/>
        <family val="2"/>
      </rPr>
      <t>in 2017 (including electricity imports).</t>
    </r>
  </si>
  <si>
    <t>NA</t>
  </si>
  <si>
    <t>Difference mainly due to</t>
  </si>
  <si>
    <t>allocation methods and the VP?</t>
  </si>
  <si>
    <t>Industry &amp; Buildings (mostly NG)</t>
  </si>
  <si>
    <r>
      <rPr>
        <b/>
        <sz val="8"/>
        <color rgb="FFFF0000"/>
        <rFont val="Calibri"/>
        <family val="2"/>
        <scheme val="minor"/>
      </rPr>
      <t xml:space="preserve">Difference: </t>
    </r>
    <r>
      <rPr>
        <sz val="8"/>
        <color theme="1"/>
        <rFont val="Calibri"/>
        <family val="2"/>
        <scheme val="minor"/>
      </rPr>
      <t xml:space="preserve">
Reported 2016-forecasted 2016</t>
    </r>
  </si>
  <si>
    <r>
      <t>Forecasted 2017
(</t>
    </r>
    <r>
      <rPr>
        <b/>
        <sz val="8"/>
        <color rgb="FFFF0000"/>
        <rFont val="Calibri"/>
        <family val="2"/>
        <scheme val="minor"/>
      </rPr>
      <t>2017 Cap</t>
    </r>
    <r>
      <rPr>
        <sz val="8"/>
        <color theme="1"/>
        <rFont val="Calibri"/>
        <family val="2"/>
        <scheme val="minor"/>
      </rPr>
      <t>)</t>
    </r>
  </si>
  <si>
    <t>Forecasted 
2016</t>
  </si>
  <si>
    <t>Reported
 2016</t>
  </si>
  <si>
    <t>Large Emitters (LFEs) 
 (Mandatory Participants excluding fuels dist)</t>
  </si>
  <si>
    <t xml:space="preserve"> Sub-total, Other Stationary Sources</t>
  </si>
  <si>
    <t>Electricity (domestic)</t>
  </si>
  <si>
    <t>Electricity (imported)</t>
  </si>
  <si>
    <t>(-10.5 Mt)</t>
  </si>
  <si>
    <t>(-2.4)</t>
  </si>
  <si>
    <t>(-0.1)</t>
  </si>
  <si>
    <t>(-6.5)</t>
  </si>
  <si>
    <t>(-7.6)</t>
  </si>
  <si>
    <t>Reported 2016 includes VP</t>
  </si>
  <si>
    <t>Lower than expected (greener diesel? and other)</t>
  </si>
  <si>
    <t>Lower than expected, some became LFEs.</t>
  </si>
  <si>
    <t>Reported emission seems low</t>
  </si>
  <si>
    <t>Focasted 2016</t>
  </si>
  <si>
    <t>Forecasted 2017</t>
  </si>
  <si>
    <t>Reported Emissions</t>
  </si>
  <si>
    <t>Difference (reported - forecasted 2017)</t>
  </si>
  <si>
    <t>Large Emitters - MP</t>
  </si>
  <si>
    <t>Higher than expected.</t>
  </si>
  <si>
    <t>Large Emitter - VP</t>
  </si>
  <si>
    <t>Much lower than expected, some became VP</t>
  </si>
  <si>
    <t>Electricty Imports</t>
  </si>
  <si>
    <t>emissions lower than expected.</t>
  </si>
  <si>
    <t>Cap Setting Analysis</t>
  </si>
  <si>
    <t>Industry Combustion</t>
  </si>
  <si>
    <t>Fixed Process</t>
  </si>
  <si>
    <t xml:space="preserve">Target based on 1990 levels from 2017 NIR </t>
  </si>
  <si>
    <t>Target based on 1990 levels from 2015 NIR</t>
  </si>
  <si>
    <t>Domestic - 2013 LTEP</t>
  </si>
  <si>
    <t>Average 2013 LTEP</t>
  </si>
  <si>
    <t>2015 SOR</t>
  </si>
  <si>
    <t>Average 2015 SOR</t>
  </si>
  <si>
    <t>Domestic- 2015 SOR</t>
  </si>
  <si>
    <t>Domestic- 2016 OPO</t>
  </si>
  <si>
    <t>Average 2016 OPO</t>
  </si>
  <si>
    <t>2017-2020 Average (2015 SOR)</t>
  </si>
  <si>
    <t>2021-2030 Average (2016 OPO)</t>
  </si>
  <si>
    <t>Domestic Emissions</t>
  </si>
  <si>
    <t>Imported Emissions</t>
  </si>
  <si>
    <t>Forecasted Electricity Sector Emissions, 2016 OPO</t>
  </si>
  <si>
    <t>Estimated WCI Purchase</t>
  </si>
  <si>
    <t>Program covered</t>
  </si>
  <si>
    <t>July 24,2017 Navius (gTech) Reference Case</t>
  </si>
  <si>
    <t>July 25,2017 Navius (gTech) Reference Case</t>
  </si>
  <si>
    <t>Equal Reduction for all Covered sectors (including Imports)</t>
  </si>
  <si>
    <t>Equal Reduction for all Covered sectors (Domestic only)</t>
  </si>
  <si>
    <t>Cap - Imported Electricity</t>
  </si>
  <si>
    <t>Cap - Domestic  Electricity</t>
  </si>
  <si>
    <t>Difference (July 25-July 5)</t>
  </si>
  <si>
    <t>Navius - gTech, July 25, 2017</t>
  </si>
  <si>
    <t>Advanced Auction in 2017</t>
  </si>
  <si>
    <t>Sold Price</t>
  </si>
  <si>
    <t>Sold Allownces</t>
  </si>
  <si>
    <t>#1</t>
  </si>
  <si>
    <t>#2</t>
  </si>
  <si>
    <t>Alloc-Comb</t>
  </si>
  <si>
    <t>Alloc-Proc</t>
  </si>
  <si>
    <t>Alloc-Total</t>
  </si>
  <si>
    <t>BAU</t>
  </si>
  <si>
    <t>Cap-Process Emissions</t>
  </si>
  <si>
    <t>Cprocess = 0 (no decline)</t>
  </si>
  <si>
    <t>Cprocess = 1% (decline at 1% per year)</t>
  </si>
  <si>
    <t>Domestic Caps</t>
  </si>
  <si>
    <t>Total Caps with imports (flat cap on imports*)</t>
  </si>
  <si>
    <t>Imports - Declining cap**</t>
  </si>
  <si>
    <t>Total Caps with imports (declining cap on imports**)</t>
  </si>
  <si>
    <t>** 2021 cap for imported electricity based on the 2021-30 average from 2016 OPO; declining at the same rate as domestic caps to 2030</t>
  </si>
  <si>
    <t>* flat cap based on the 2021-30 average from 2016 OPO</t>
  </si>
  <si>
    <t>Imports - flat cap*</t>
  </si>
  <si>
    <t>Total Caps with imports</t>
  </si>
  <si>
    <t>2015 Status Outlook Report (SOR, Confidential)</t>
  </si>
  <si>
    <t>2013 Long-Term Energy Plan (LTEP)</t>
  </si>
  <si>
    <t>GHG Emissions (Mt CO2e)</t>
  </si>
  <si>
    <t xml:space="preserve">Domestic Electricity </t>
  </si>
  <si>
    <t>Proposed Cap on Electricity Imports</t>
  </si>
  <si>
    <t>2012 OPA</t>
  </si>
  <si>
    <t xml:space="preserve">Currently Available Data </t>
  </si>
  <si>
    <r>
      <rPr>
        <b/>
        <sz val="8"/>
        <color theme="1"/>
        <rFont val="Calibri"/>
        <family val="2"/>
        <scheme val="minor"/>
      </rPr>
      <t xml:space="preserve">Ministry of Energy Proposed forecast </t>
    </r>
    <r>
      <rPr>
        <sz val="8"/>
        <color theme="1"/>
        <rFont val="Calibri"/>
        <family val="2"/>
        <scheme val="minor"/>
      </rPr>
      <t xml:space="preserve">
for Post-2020 Cap Setting under Ontario's Cap and Trade</t>
    </r>
  </si>
  <si>
    <t>2016 Ontario Planning Outlook (OPO)</t>
  </si>
  <si>
    <t>Caps on the imported electricity emissions</t>
  </si>
  <si>
    <t>Future Compliances</t>
  </si>
  <si>
    <t>Imported electricity emissions forecast (Mt CO2e)</t>
  </si>
  <si>
    <t>First Compliance Period*</t>
  </si>
  <si>
    <t>Option 1 - Flat Cap* *</t>
  </si>
  <si>
    <t>Option 2 - Declining Cap***</t>
  </si>
  <si>
    <t>* The 2017-20 caps on the imported electricity emissions were set based on the averaged 2017-20 imported electricity emissions from the 2015 SOR projection.</t>
  </si>
  <si>
    <t>** Flat cap based on the 2021-30 averaged emissions for the imported electricity from the 2016 Ontario Planning Outlook (OPO)</t>
  </si>
  <si>
    <t>*** 2021 cap for imported electricity based on the 2021-30 average from 2016 OPO; declining at the same rate as domestic caps to 2030</t>
  </si>
  <si>
    <t>2016 Ontario Planning Outlook (OPO) based</t>
  </si>
  <si>
    <t>2015 Status Outlook Report (SOR) based</t>
  </si>
  <si>
    <t>Impoted electricity emissions - 2016 OPO</t>
  </si>
  <si>
    <t>Caps on Electricity Imports - Option 1</t>
  </si>
  <si>
    <t>Caps on Electricity Imports - Option 2</t>
  </si>
  <si>
    <t>2017-2020 Caps on Electricity Imports</t>
  </si>
  <si>
    <t>Total Reference Case Emissions</t>
  </si>
  <si>
    <t>* Figures are made up for better illusatration</t>
  </si>
  <si>
    <t>Auguat 23 Run - Reference case</t>
  </si>
  <si>
    <t>GHG emissions (MtCO2e/y)</t>
  </si>
  <si>
    <t>Category</t>
  </si>
  <si>
    <t>Assumption</t>
  </si>
  <si>
    <t>Fugitive</t>
  </si>
  <si>
    <t>No change</t>
  </si>
  <si>
    <t>Industrial processes and product use</t>
  </si>
  <si>
    <t>50% reduction</t>
  </si>
  <si>
    <t>Electricity and fuels</t>
  </si>
  <si>
    <t>Responsible for other reductions</t>
  </si>
  <si>
    <t>MOECC post-2020 modelling</t>
  </si>
  <si>
    <t>Policy Case</t>
  </si>
  <si>
    <t>uncovered</t>
  </si>
  <si>
    <t>Domestic Cap</t>
  </si>
  <si>
    <t>Imports</t>
  </si>
  <si>
    <t>Total Cap</t>
  </si>
  <si>
    <t>Domestic Emissions (2017 LTEP)</t>
  </si>
  <si>
    <t>Imports (2017 LTEP)</t>
  </si>
  <si>
    <t>Flat at 2021-30 average (2017 LTEP)</t>
  </si>
  <si>
    <t xml:space="preserve">Emissions were estimated by analyzing import flows from the 5 intertie zones and multiplying the electricity import (MWh) by the associated default emision factor (t/MWh).  </t>
  </si>
  <si>
    <t>Quebec and Manitoba both have a default emission factor of zero, while Michigan, Minnesota and New York are multiplied by a US-based intertie default emission factor (as the energy model does not allow for a specific DEF associated with a specific jurisdiction).</t>
  </si>
  <si>
    <t xml:space="preserve">Reflects demand and supply consistent with the reference case for the 2017 LTEP. </t>
  </si>
  <si>
    <t>2017 LTEP Estimated Emission Allowance Requirements Based on Default Emission factors (Mt)</t>
  </si>
  <si>
    <t>Verification</t>
  </si>
  <si>
    <t>Covered:</t>
  </si>
  <si>
    <t>Khalid's Estimates_August 4</t>
  </si>
  <si>
    <t>Alloc-Combustion</t>
  </si>
  <si>
    <t>Alloc-Process</t>
  </si>
  <si>
    <r>
      <rPr>
        <b/>
        <sz val="11"/>
        <color theme="1"/>
        <rFont val="Calibri"/>
        <family val="2"/>
        <scheme val="minor"/>
      </rPr>
      <t>July 25 Ref. Case Forecast</t>
    </r>
    <r>
      <rPr>
        <sz val="11"/>
        <color theme="1"/>
        <rFont val="Calibri"/>
        <family val="2"/>
        <scheme val="minor"/>
      </rPr>
      <t xml:space="preserve"> based:</t>
    </r>
  </si>
  <si>
    <t>2017 NIR Based</t>
  </si>
  <si>
    <t>2017 National Inventory Report (NIR)</t>
  </si>
  <si>
    <t>Table A11-12: 1990-2015 GHG Emission Summary for Ontario</t>
  </si>
  <si>
    <t>Coverage</t>
  </si>
  <si>
    <t>Sector</t>
  </si>
  <si>
    <r>
      <t>kt CO</t>
    </r>
    <r>
      <rPr>
        <vertAlign val="subscript"/>
        <sz val="8"/>
        <color indexed="8"/>
        <rFont val="Arial"/>
        <family val="2"/>
      </rPr>
      <t xml:space="preserve">2 </t>
    </r>
    <r>
      <rPr>
        <sz val="8"/>
        <color indexed="8"/>
        <rFont val="Arial"/>
        <family val="2"/>
      </rPr>
      <t xml:space="preserve"> eq</t>
    </r>
  </si>
  <si>
    <t>ENERGY</t>
  </si>
  <si>
    <t>Subtotal</t>
  </si>
  <si>
    <t>a.</t>
  </si>
  <si>
    <t>covered</t>
  </si>
  <si>
    <r>
      <t>Transport</t>
    </r>
    <r>
      <rPr>
        <b/>
        <vertAlign val="superscript"/>
        <sz val="8"/>
        <rFont val="Arial"/>
        <family val="2"/>
      </rPr>
      <t>1</t>
    </r>
  </si>
  <si>
    <t>Road Transportation</t>
  </si>
  <si>
    <t>Light-Duty Gasoline Vehicles</t>
  </si>
  <si>
    <t>Light-Duty Gasoline Trucks</t>
  </si>
  <si>
    <t>Heavy-Duty Gasoline Vehicles</t>
  </si>
  <si>
    <t>Motorcycles</t>
  </si>
  <si>
    <t>Light-Duty Diesel Vehicles</t>
  </si>
  <si>
    <t>Light-Duty Diesel Trucks</t>
  </si>
  <si>
    <t>Heavy-Duty Diesel Vehicles</t>
  </si>
  <si>
    <t>Propane and Natural Gas Vehicles</t>
  </si>
  <si>
    <t>Other Transportation</t>
  </si>
  <si>
    <t>Off-Road Agriculture &amp; Forestry</t>
  </si>
  <si>
    <t>Off-Road Commercial &amp; Institutional</t>
  </si>
  <si>
    <t>Off-Road Manufacturing, Mining &amp; Construction</t>
  </si>
  <si>
    <t>Off-Road Residential</t>
  </si>
  <si>
    <t>Off-Road Other Transportation</t>
  </si>
  <si>
    <t>Pipeline Transport</t>
  </si>
  <si>
    <t>n/a</t>
  </si>
  <si>
    <t>CO2 transport and storage</t>
  </si>
  <si>
    <r>
      <t>CO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 xml:space="preserve"> Transport and Storage </t>
    </r>
  </si>
  <si>
    <t>INDUSTRIAL PROCESSES AND PRODUCT USE</t>
  </si>
  <si>
    <t>Mineral Products Use</t>
  </si>
  <si>
    <r>
      <t>Chemical Industry</t>
    </r>
    <r>
      <rPr>
        <b/>
        <vertAlign val="superscript"/>
        <sz val="8"/>
        <rFont val="Arial"/>
        <family val="2"/>
      </rPr>
      <t>2</t>
    </r>
  </si>
  <si>
    <t>Adipic Acid Production</t>
  </si>
  <si>
    <r>
      <t>SF</t>
    </r>
    <r>
      <rPr>
        <vertAlign val="subscript"/>
        <sz val="8"/>
        <rFont val="Arial"/>
        <family val="2"/>
      </rPr>
      <t>6</t>
    </r>
    <r>
      <rPr>
        <sz val="8"/>
        <rFont val="Arial"/>
        <family val="2"/>
      </rPr>
      <t xml:space="preserve"> Used in Magnesium Smelters and Casters</t>
    </r>
  </si>
  <si>
    <r>
      <t>Production and Consumption of Halocarbons, SF</t>
    </r>
    <r>
      <rPr>
        <b/>
        <vertAlign val="subscript"/>
        <sz val="8"/>
        <rFont val="Arial"/>
        <family val="2"/>
      </rPr>
      <t>6</t>
    </r>
    <r>
      <rPr>
        <b/>
        <sz val="8"/>
        <rFont val="Arial"/>
        <family val="2"/>
      </rPr>
      <t xml:space="preserve"> and NF</t>
    </r>
    <r>
      <rPr>
        <b/>
        <vertAlign val="subscript"/>
        <sz val="8"/>
        <rFont val="Arial"/>
        <family val="2"/>
      </rPr>
      <t>3</t>
    </r>
    <r>
      <rPr>
        <b/>
        <vertAlign val="superscript"/>
        <sz val="8"/>
        <rFont val="Arial"/>
        <family val="2"/>
      </rPr>
      <t>3</t>
    </r>
  </si>
  <si>
    <t>Other Product Manufacture and Use</t>
  </si>
  <si>
    <t>Enteric Fermentation</t>
  </si>
  <si>
    <t>Manure Management</t>
  </si>
  <si>
    <t>Agricultural Soils</t>
  </si>
  <si>
    <t>Direct Sources</t>
  </si>
  <si>
    <t>Indirect Sources</t>
  </si>
  <si>
    <t>Field Burning of Agricultural Residues</t>
  </si>
  <si>
    <t xml:space="preserve">Liming, Urea Application and Other Carbon-containing Fertilizers </t>
  </si>
  <si>
    <t xml:space="preserve">Waste </t>
  </si>
  <si>
    <t xml:space="preserve">Solid Waste Disposal  </t>
  </si>
  <si>
    <t xml:space="preserve">b. </t>
  </si>
  <si>
    <t>Biological Treatment of Solid Waste</t>
  </si>
  <si>
    <t xml:space="preserve">Wastewater Treatment and Discharge  </t>
  </si>
  <si>
    <t xml:space="preserve">Incineration and Open Burning of Waste  </t>
  </si>
  <si>
    <t>Total Emissions</t>
  </si>
  <si>
    <t xml:space="preserve">Industry </t>
  </si>
  <si>
    <t xml:space="preserve">Electricity </t>
  </si>
  <si>
    <t xml:space="preserve">Transportation </t>
  </si>
  <si>
    <t xml:space="preserve">Agriculture </t>
  </si>
  <si>
    <t>Uncovered Emissions under Ontario's Cap and Trade Program</t>
  </si>
  <si>
    <t>Total Ontairo Emissions</t>
  </si>
  <si>
    <t>Covered Emissions (excluding Non-energy Products from Fuels and Solvent Use)</t>
  </si>
  <si>
    <t>Covered Industry Combustion</t>
  </si>
  <si>
    <r>
      <rPr>
        <b/>
        <sz val="8"/>
        <color theme="1"/>
        <rFont val="Calibri"/>
        <family val="2"/>
        <scheme val="minor"/>
      </rPr>
      <t>Covered Industry Process</t>
    </r>
    <r>
      <rPr>
        <sz val="8"/>
        <color theme="1"/>
        <rFont val="Calibri"/>
        <family val="2"/>
        <scheme val="minor"/>
      </rPr>
      <t xml:space="preserve"> (with</t>
    </r>
    <r>
      <rPr>
        <sz val="8"/>
        <color rgb="FFFF0000"/>
        <rFont val="Calibri"/>
        <family val="2"/>
        <scheme val="minor"/>
      </rPr>
      <t xml:space="preserve"> Non-Energy Products from Fuels and Solvent Use</t>
    </r>
    <r>
      <rPr>
        <sz val="8"/>
        <color theme="1"/>
        <rFont val="Calibri"/>
        <family val="2"/>
        <scheme val="minor"/>
      </rPr>
      <t>)</t>
    </r>
  </si>
  <si>
    <r>
      <rPr>
        <b/>
        <sz val="8"/>
        <color theme="1"/>
        <rFont val="Calibri"/>
        <family val="2"/>
        <scheme val="minor"/>
      </rPr>
      <t>Covered Industry Process</t>
    </r>
    <r>
      <rPr>
        <sz val="8"/>
        <color theme="1"/>
        <rFont val="Calibri"/>
        <family val="2"/>
        <scheme val="minor"/>
      </rPr>
      <t xml:space="preserve"> (without</t>
    </r>
    <r>
      <rPr>
        <sz val="8"/>
        <color rgb="FFFF0000"/>
        <rFont val="Calibri"/>
        <family val="2"/>
        <scheme val="minor"/>
      </rPr>
      <t xml:space="preserve"> Non-Energy Products from Fuels and Solvent Use</t>
    </r>
    <r>
      <rPr>
        <sz val="8"/>
        <color theme="1"/>
        <rFont val="Calibri"/>
        <family val="2"/>
        <scheme val="minor"/>
      </rPr>
      <t>)</t>
    </r>
  </si>
  <si>
    <t>Difference (July 25 Navius - 2017 NIR)</t>
  </si>
  <si>
    <t>Industry   (with Non-Energy Products from Fuels and Solvent Use)</t>
  </si>
  <si>
    <t>2016  Reported Emissions (subject to verification)</t>
  </si>
  <si>
    <r>
      <rPr>
        <b/>
        <sz val="10"/>
        <color theme="1"/>
        <rFont val="Calibri"/>
        <family val="2"/>
        <scheme val="minor"/>
      </rPr>
      <t>Industry Process</t>
    </r>
    <r>
      <rPr>
        <sz val="10"/>
        <color theme="1"/>
        <rFont val="Calibri"/>
        <family val="2"/>
        <scheme val="minor"/>
      </rPr>
      <t xml:space="preserve"> (with</t>
    </r>
    <r>
      <rPr>
        <sz val="10"/>
        <color rgb="FFFF0000"/>
        <rFont val="Calibri"/>
        <family val="2"/>
        <scheme val="minor"/>
      </rPr>
      <t xml:space="preserve"> Non-Energy Products from Fuels and Solvent Use</t>
    </r>
    <r>
      <rPr>
        <sz val="10"/>
        <color theme="1"/>
        <rFont val="Calibri"/>
        <family val="2"/>
        <scheme val="minor"/>
      </rPr>
      <t>)</t>
    </r>
  </si>
  <si>
    <r>
      <rPr>
        <b/>
        <sz val="10"/>
        <color theme="1"/>
        <rFont val="Calibri"/>
        <family val="2"/>
        <scheme val="minor"/>
      </rPr>
      <t>Industry Process</t>
    </r>
    <r>
      <rPr>
        <sz val="10"/>
        <color theme="1"/>
        <rFont val="Calibri"/>
        <family val="2"/>
        <scheme val="minor"/>
      </rPr>
      <t xml:space="preserve"> (without</t>
    </r>
    <r>
      <rPr>
        <sz val="10"/>
        <color rgb="FFFF0000"/>
        <rFont val="Calibri"/>
        <family val="2"/>
        <scheme val="minor"/>
      </rPr>
      <t xml:space="preserve"> Non-Energy Products from Fuels and Solvent Use</t>
    </r>
    <r>
      <rPr>
        <sz val="10"/>
        <color theme="1"/>
        <rFont val="Calibri"/>
        <family val="2"/>
        <scheme val="minor"/>
      </rPr>
      <t>)</t>
    </r>
  </si>
  <si>
    <r>
      <rPr>
        <b/>
        <sz val="10"/>
        <color theme="1"/>
        <rFont val="Calibri"/>
        <family val="2"/>
        <scheme val="minor"/>
      </rPr>
      <t>Covered Industry Process</t>
    </r>
    <r>
      <rPr>
        <sz val="10"/>
        <color theme="1"/>
        <rFont val="Calibri"/>
        <family val="2"/>
        <scheme val="minor"/>
      </rPr>
      <t xml:space="preserve"> (with</t>
    </r>
    <r>
      <rPr>
        <sz val="10"/>
        <color rgb="FFFF0000"/>
        <rFont val="Calibri"/>
        <family val="2"/>
        <scheme val="minor"/>
      </rPr>
      <t xml:space="preserve"> Non-Energy Products from Fuels and Solvent Use</t>
    </r>
    <r>
      <rPr>
        <sz val="10"/>
        <color theme="1"/>
        <rFont val="Calibri"/>
        <family val="2"/>
        <scheme val="minor"/>
      </rPr>
      <t>)</t>
    </r>
  </si>
  <si>
    <r>
      <rPr>
        <b/>
        <sz val="10"/>
        <color theme="1"/>
        <rFont val="Calibri"/>
        <family val="2"/>
        <scheme val="minor"/>
      </rPr>
      <t>Covered Industry Process</t>
    </r>
    <r>
      <rPr>
        <sz val="10"/>
        <color theme="1"/>
        <rFont val="Calibri"/>
        <family val="2"/>
        <scheme val="minor"/>
      </rPr>
      <t xml:space="preserve"> (without</t>
    </r>
    <r>
      <rPr>
        <sz val="10"/>
        <color rgb="FFFF0000"/>
        <rFont val="Calibri"/>
        <family val="2"/>
        <scheme val="minor"/>
      </rPr>
      <t xml:space="preserve"> Non-Energy Products from Fuels and Solvent Use</t>
    </r>
    <r>
      <rPr>
        <sz val="10"/>
        <color theme="1"/>
        <rFont val="Calibri"/>
        <family val="2"/>
        <scheme val="minor"/>
      </rPr>
      <t>)</t>
    </r>
  </si>
  <si>
    <t>Industry (with Non-Energy Products from Fuels and Solvent Use)</t>
  </si>
  <si>
    <t>Industry (without Non-Energy Products from Fuels and Solvent Use)</t>
  </si>
  <si>
    <t>July 25 Navius forecast</t>
  </si>
  <si>
    <t>2017 NIR</t>
  </si>
  <si>
    <t>Covered Industry Process</t>
  </si>
  <si>
    <t xml:space="preserve">Cap (domestic) </t>
  </si>
  <si>
    <t>Cap (imported Electiricy)</t>
  </si>
  <si>
    <t>2020-2030 Caps</t>
  </si>
  <si>
    <t>Average Annual Rate of Decline (2020-2030)</t>
  </si>
  <si>
    <t>California Cap</t>
  </si>
  <si>
    <t xml:space="preserve">Quebec Cap </t>
  </si>
  <si>
    <t>Navius Forecast</t>
  </si>
  <si>
    <t>Rounded NIR</t>
  </si>
  <si>
    <t>Unrounded NIR</t>
  </si>
  <si>
    <t>Rounded 1990 level  based</t>
  </si>
  <si>
    <t>Unrounded 1990 level  based</t>
  </si>
  <si>
    <t>* flat cap based on the 2021-30 average from Confidential 2017 LTEP</t>
  </si>
  <si>
    <t>Average Annual Rate of decline (2021-2030)</t>
  </si>
  <si>
    <t>Average Annual Rate of decline (2015-2020)</t>
  </si>
  <si>
    <t>Program Coverage</t>
  </si>
  <si>
    <t>Uncovered Emissions in 2030</t>
  </si>
  <si>
    <t>Required Reductions in 2030</t>
  </si>
  <si>
    <t>2030 Cap (domestic)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</si>
</sst>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_(* #,##0_);_(* \(#,##0\);_(* &quot;-&quot;??_);_(@_)"/>
    <numFmt numFmtId="168" formatCode="0.0%"/>
    <numFmt numFmtId="169" formatCode="0.000%"/>
    <numFmt numFmtId="170" formatCode="0.000000"/>
    <numFmt numFmtId="171" formatCode="0.0000000"/>
    <numFmt numFmtId="172" formatCode="0.000"/>
    <numFmt numFmtId="173" formatCode="0.0000"/>
    <numFmt numFmtId="174" formatCode="_-&quot;$&quot;* #,##0_-;\-&quot;$&quot;* #,##0_-;_-&quot;$&quot;* &quot;-&quot;??_-;_-@_-"/>
    <numFmt numFmtId="175" formatCode="&quot;$&quot;#,##0"/>
    <numFmt numFmtId="176" formatCode="&quot;$&quot;#,##0.00"/>
    <numFmt numFmtId="177" formatCode="&quot;$&quot;#,##0.0000"/>
    <numFmt numFmtId="178" formatCode="&quot;$&quot;#,##0.0"/>
    <numFmt numFmtId="179" formatCode="0_ ;\-0\ "/>
    <numFmt numFmtId="180" formatCode="&quot;$&quot;#,##0_)_%;\(&quot;$&quot;#,##0\)_%;@_)_%"/>
    <numFmt numFmtId="181" formatCode="#,##0_)_%;\(#,##0\)_%;&quot;-&quot;_)_%;@_)_%"/>
    <numFmt numFmtId="182" formatCode="0.0_x_)_%;&quot;NM&quot;_x_)_%;&quot;NM&quot;_x_)_%;@_x_)_%"/>
    <numFmt numFmtId="183" formatCode="0.0\x_)_%;&quot;NM&quot;_x_)_%;&quot;NM&quot;_x_)_%;@_x_)_%"/>
    <numFmt numFmtId="184" formatCode="0.0%_)_x;\(0.0%\)_x;&quot;-&quot;_%_)_x;@_%_)_x"/>
    <numFmt numFmtId="185" formatCode="0.0_%_)_x;\(0.0\)_%_x;&quot;-&quot;_%_)_x;@_%_)_x"/>
    <numFmt numFmtId="186" formatCode="0;0;&quot;YES&quot;"/>
    <numFmt numFmtId="187" formatCode="&quot;On&quot;;;&quot;Off&quot;"/>
    <numFmt numFmtId="188" formatCode="#,##0.0"/>
    <numFmt numFmtId="189" formatCode="&quot;$&quot;#,##0\ ;\(&quot;$&quot;#,##0\)"/>
    <numFmt numFmtId="190" formatCode="m/d"/>
    <numFmt numFmtId="191" formatCode="#,##0.0000"/>
    <numFmt numFmtId="192" formatCode="0.0000%"/>
    <numFmt numFmtId="193" formatCode="m/d/yy\ h:mm:ss"/>
    <numFmt numFmtId="194" formatCode="#,##0.000"/>
    <numFmt numFmtId="195" formatCode="_(* #,##0.0_);_(* \(#,##0.0\);_(* &quot;-&quot;??_);_(@_)"/>
    <numFmt numFmtId="196" formatCode="_-&quot;$&quot;* #,##0.0_-;\-&quot;$&quot;* #,##0.0_-;_-&quot;$&quot;* &quot;-&quot;??_-;_-@_-"/>
    <numFmt numFmtId="197" formatCode="#,##0;\-#,##0;\-\ "/>
    <numFmt numFmtId="198" formatCode="#,##0.0;\-#,##0.0;\-\ "/>
    <numFmt numFmtId="199" formatCode="#,##0.0000000000_ ;\-#,##0.0000000000\ "/>
    <numFmt numFmtId="200" formatCode="#,##0.0;[Red]#,##0.0"/>
  </numFmts>
  <fonts count="2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b/>
      <u/>
      <sz val="12"/>
      <color theme="1"/>
      <name val="Calibri"/>
      <family val="2"/>
    </font>
    <font>
      <b/>
      <sz val="10"/>
      <name val="Calibri"/>
      <family val="2"/>
    </font>
    <font>
      <i/>
      <sz val="10"/>
      <color theme="0" tint="-0.249977111117893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i/>
      <sz val="11"/>
      <color theme="6" tint="-0.499984740745262"/>
      <name val="Calibri"/>
      <family val="2"/>
      <scheme val="minor"/>
    </font>
    <font>
      <i/>
      <sz val="8"/>
      <name val="Arial"/>
      <family val="2"/>
    </font>
    <font>
      <sz val="11"/>
      <color rgb="FFC0000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5" tint="-0.249977111117893"/>
      <name val="Calibri"/>
      <family val="2"/>
      <scheme val="minor"/>
    </font>
    <font>
      <sz val="10"/>
      <color rgb="FFFF0000"/>
      <name val="Arial"/>
      <family val="2"/>
    </font>
    <font>
      <sz val="11"/>
      <color theme="9" tint="-0.499984740745262"/>
      <name val="Calibri"/>
      <family val="2"/>
      <scheme val="minor"/>
    </font>
    <font>
      <sz val="10"/>
      <color theme="9" tint="-0.499984740745262"/>
      <name val="Arial"/>
      <family val="2"/>
    </font>
    <font>
      <sz val="8"/>
      <color theme="9" tint="-0.499984740745262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rgb="FF1F497D"/>
      <name val="Arial"/>
      <family val="2"/>
    </font>
    <font>
      <sz val="9"/>
      <color rgb="FFC00000"/>
      <name val="Calibri"/>
      <family val="2"/>
      <scheme val="minor"/>
    </font>
    <font>
      <sz val="12"/>
      <color rgb="FF1F497D"/>
      <name val="Calibri"/>
      <family val="2"/>
    </font>
    <font>
      <b/>
      <sz val="11"/>
      <color theme="1"/>
      <name val="Calibri"/>
      <family val="2"/>
    </font>
    <font>
      <b/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b/>
      <sz val="9"/>
      <color theme="0" tint="-0.249977111117893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000000"/>
      <name val="Calibri"/>
      <family val="2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9"/>
      <color theme="0" tint="-0.34998626667073579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i/>
      <sz val="9"/>
      <color theme="1" tint="0.499984740745262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b/>
      <sz val="8"/>
      <color theme="1"/>
      <name val="Arial"/>
      <family val="2"/>
    </font>
    <font>
      <i/>
      <sz val="11"/>
      <color rgb="FFC0000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1F497D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9"/>
      <color theme="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theme="0" tint="-0.249977111117893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i/>
      <sz val="9"/>
      <color theme="0" tint="-0.14999847407452621"/>
      <name val="Calibri"/>
      <family val="2"/>
      <scheme val="minor"/>
    </font>
    <font>
      <sz val="9"/>
      <color rgb="FF000000"/>
      <name val="Arial"/>
      <family val="2"/>
    </font>
    <font>
      <vertAlign val="subscript"/>
      <sz val="1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0" tint="-0.14999847407452621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i/>
      <sz val="8"/>
      <name val="Calibri"/>
      <family val="2"/>
      <scheme val="minor"/>
    </font>
    <font>
      <b/>
      <u/>
      <sz val="10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6" tint="-0.499984740745262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i/>
      <sz val="8"/>
      <color theme="1" tint="0.499984740745262"/>
      <name val="Calibri"/>
      <family val="2"/>
      <scheme val="minor"/>
    </font>
    <font>
      <i/>
      <sz val="8"/>
      <color theme="0" tint="-0.14999847407452621"/>
      <name val="Calibri"/>
      <family val="2"/>
      <scheme val="minor"/>
    </font>
    <font>
      <b/>
      <i/>
      <sz val="8"/>
      <color theme="1" tint="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0"/>
      <name val="Times New Roman"/>
      <family val="1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12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Arial"/>
      <family val="2"/>
    </font>
    <font>
      <sz val="18"/>
      <name val="Arial"/>
      <family val="2"/>
    </font>
    <font>
      <u/>
      <sz val="7.7"/>
      <color theme="10"/>
      <name val="Calibri"/>
      <family val="2"/>
    </font>
    <font>
      <sz val="9"/>
      <color theme="1"/>
      <name val="Arial"/>
      <family val="2"/>
    </font>
    <font>
      <sz val="11"/>
      <color indexed="8"/>
      <name val="Calibri"/>
      <family val="2"/>
      <scheme val="minor"/>
    </font>
    <font>
      <sz val="7"/>
      <name val="Arial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i/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sz val="10"/>
      <name val="Arial Cyr"/>
      <charset val="204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sz val="8"/>
      <name val="Helvetica"/>
      <family val="2"/>
    </font>
    <font>
      <sz val="10"/>
      <color indexed="8"/>
      <name val="Arial"/>
      <family val="2"/>
    </font>
    <font>
      <u/>
      <sz val="10"/>
      <color indexed="12"/>
      <name val="Times New Roman"/>
      <family val="1"/>
    </font>
    <font>
      <b/>
      <i/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color theme="0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8"/>
      <color rgb="FFD1B0AD"/>
      <name val="Calibri"/>
      <family val="2"/>
      <scheme val="minor"/>
    </font>
    <font>
      <i/>
      <sz val="8"/>
      <color rgb="FFC00000"/>
      <name val="Calibri"/>
      <family val="2"/>
      <scheme val="minor"/>
    </font>
    <font>
      <b/>
      <sz val="8"/>
      <color theme="0" tint="-0.24997711111789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sz val="8"/>
      <color rgb="FFD1B0AD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1F497D"/>
      <name val="Calibri"/>
      <family val="2"/>
    </font>
    <font>
      <sz val="10"/>
      <color rgb="FF000000"/>
      <name val="Calibri"/>
      <family val="2"/>
    </font>
    <font>
      <sz val="8"/>
      <color rgb="FFFF0000"/>
      <name val="Arial"/>
      <family val="2"/>
    </font>
    <font>
      <sz val="8"/>
      <color rgb="FF1F497D"/>
      <name val="Arial"/>
      <family val="2"/>
    </font>
    <font>
      <sz val="8"/>
      <color theme="1"/>
      <name val="Wingdings"/>
      <charset val="2"/>
    </font>
    <font>
      <i/>
      <sz val="10"/>
      <color rgb="FFBFBFBF"/>
      <name val="Calibri"/>
      <family val="2"/>
    </font>
    <font>
      <i/>
      <sz val="10"/>
      <color rgb="FFA6A6A6"/>
      <name val="Calibri"/>
      <family val="2"/>
    </font>
    <font>
      <sz val="8"/>
      <color rgb="FFFF9F9F"/>
      <name val="Arial"/>
      <family val="2"/>
    </font>
    <font>
      <sz val="10"/>
      <color rgb="FFFF0000"/>
      <name val="Calibri"/>
      <family val="2"/>
    </font>
    <font>
      <b/>
      <sz val="10"/>
      <color rgb="FF000000"/>
      <name val="Calibri"/>
      <family val="2"/>
    </font>
    <font>
      <b/>
      <sz val="8"/>
      <color rgb="FFFF0000"/>
      <name val="Arial"/>
      <family val="2"/>
    </font>
    <font>
      <i/>
      <sz val="10"/>
      <color rgb="FF4F6228"/>
      <name val="Calibri"/>
      <family val="2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Calibri"/>
      <family val="2"/>
    </font>
    <font>
      <sz val="8"/>
      <name val="MS Sans Serif"/>
      <family val="2"/>
    </font>
    <font>
      <b/>
      <u/>
      <sz val="14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u/>
      <sz val="8"/>
      <color theme="0" tint="-4.9989318521683403E-2"/>
      <name val="Calibri"/>
      <family val="2"/>
      <scheme val="minor"/>
    </font>
    <font>
      <b/>
      <sz val="8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i/>
      <sz val="8"/>
      <color theme="0" tint="-4.9989318521683403E-2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8"/>
      <color rgb="FFFF0000"/>
      <name val="Calibri"/>
      <family val="2"/>
      <scheme val="minor"/>
    </font>
    <font>
      <sz val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18"/>
      <name val="Arial"/>
      <family val="2"/>
    </font>
    <font>
      <sz val="8"/>
      <color indexed="18"/>
      <name val="Arial"/>
      <family val="2"/>
    </font>
    <font>
      <b/>
      <sz val="8"/>
      <color rgb="FF000080"/>
      <name val="Arial"/>
      <family val="2"/>
    </font>
    <font>
      <sz val="8"/>
      <color indexed="12"/>
      <name val="Arial"/>
      <family val="2"/>
    </font>
    <font>
      <b/>
      <vertAlign val="superscript"/>
      <sz val="8"/>
      <name val="Arial"/>
      <family val="2"/>
    </font>
    <font>
      <sz val="8"/>
      <color indexed="10"/>
      <name val="Arial"/>
      <family val="2"/>
    </font>
    <font>
      <b/>
      <vertAlign val="subscript"/>
      <sz val="8"/>
      <name val="Arial"/>
      <family val="2"/>
    </font>
    <font>
      <vertAlign val="subscript"/>
      <sz val="8"/>
      <name val="Arial"/>
      <family val="2"/>
    </font>
    <font>
      <b/>
      <u/>
      <sz val="8"/>
      <color theme="1"/>
      <name val="Arial"/>
      <family val="2"/>
    </font>
    <font>
      <b/>
      <sz val="8"/>
      <color rgb="FFC00000"/>
      <name val="Arial"/>
      <family val="2"/>
    </font>
    <font>
      <b/>
      <sz val="10"/>
      <color rgb="FFFF000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darkVertical">
        <fgColor indexed="44"/>
        <bgColor indexed="47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indexed="9"/>
      </patternFill>
    </fill>
    <fill>
      <patternFill patternType="solid">
        <fgColor indexed="55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39997558519241921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8"/>
      </bottom>
      <diagonal/>
    </border>
    <border>
      <left/>
      <right/>
      <top/>
      <bottom style="thin">
        <color rgb="FF000080"/>
      </bottom>
      <diagonal/>
    </border>
    <border>
      <left/>
      <right/>
      <top style="thin">
        <color rgb="FF000080"/>
      </top>
      <bottom/>
      <diagonal/>
    </border>
  </borders>
  <cellStyleXfs count="419">
    <xf numFmtId="0" fontId="0" fillId="0" borderId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80" fontId="115" fillId="0" borderId="0" applyFill="0" applyBorder="0">
      <alignment horizontal="right"/>
    </xf>
    <xf numFmtId="181" fontId="115" fillId="0" borderId="0" applyFill="0" applyBorder="0">
      <alignment horizontal="right"/>
    </xf>
    <xf numFmtId="182" fontId="115" fillId="0" borderId="0" applyFill="0" applyBorder="0">
      <alignment horizontal="right"/>
    </xf>
    <xf numFmtId="183" fontId="115" fillId="0" borderId="0" applyFill="0" applyBorder="0">
      <alignment horizontal="right"/>
    </xf>
    <xf numFmtId="184" fontId="115" fillId="0" borderId="0" applyFill="0" applyBorder="0">
      <alignment horizontal="right"/>
    </xf>
    <xf numFmtId="185" fontId="115" fillId="0" borderId="0" applyFill="0" applyBorder="0">
      <alignment horizontal="right"/>
    </xf>
    <xf numFmtId="170" fontId="5" fillId="0" borderId="0">
      <alignment horizontal="left" wrapText="1"/>
    </xf>
    <xf numFmtId="0" fontId="116" fillId="52" borderId="0" applyNumberFormat="0" applyBorder="0" applyAlignment="0" applyProtection="0"/>
    <xf numFmtId="0" fontId="116" fillId="53" borderId="0" applyNumberFormat="0" applyBorder="0" applyAlignment="0" applyProtection="0"/>
    <xf numFmtId="0" fontId="116" fillId="54" borderId="0" applyNumberFormat="0" applyBorder="0" applyAlignment="0" applyProtection="0"/>
    <xf numFmtId="0" fontId="116" fillId="55" borderId="0" applyNumberFormat="0" applyBorder="0" applyAlignment="0" applyProtection="0"/>
    <xf numFmtId="0" fontId="116" fillId="56" borderId="0" applyNumberFormat="0" applyBorder="0" applyAlignment="0" applyProtection="0"/>
    <xf numFmtId="0" fontId="116" fillId="57" borderId="0" applyNumberFormat="0" applyBorder="0" applyAlignment="0" applyProtection="0"/>
    <xf numFmtId="0" fontId="116" fillId="58" borderId="0" applyNumberFormat="0" applyBorder="0" applyAlignment="0" applyProtection="0"/>
    <xf numFmtId="0" fontId="116" fillId="59" borderId="0" applyNumberFormat="0" applyBorder="0" applyAlignment="0" applyProtection="0"/>
    <xf numFmtId="0" fontId="116" fillId="60" borderId="0" applyNumberFormat="0" applyBorder="0" applyAlignment="0" applyProtection="0"/>
    <xf numFmtId="0" fontId="116" fillId="55" borderId="0" applyNumberFormat="0" applyBorder="0" applyAlignment="0" applyProtection="0"/>
    <xf numFmtId="0" fontId="116" fillId="58" borderId="0" applyNumberFormat="0" applyBorder="0" applyAlignment="0" applyProtection="0"/>
    <xf numFmtId="0" fontId="116" fillId="61" borderId="0" applyNumberFormat="0" applyBorder="0" applyAlignment="0" applyProtection="0"/>
    <xf numFmtId="0" fontId="117" fillId="62" borderId="0" applyNumberFormat="0" applyBorder="0" applyAlignment="0" applyProtection="0"/>
    <xf numFmtId="0" fontId="117" fillId="59" borderId="0" applyNumberFormat="0" applyBorder="0" applyAlignment="0" applyProtection="0"/>
    <xf numFmtId="0" fontId="117" fillId="60" borderId="0" applyNumberFormat="0" applyBorder="0" applyAlignment="0" applyProtection="0"/>
    <xf numFmtId="0" fontId="117" fillId="63" borderId="0" applyNumberFormat="0" applyBorder="0" applyAlignment="0" applyProtection="0"/>
    <xf numFmtId="0" fontId="117" fillId="64" borderId="0" applyNumberFormat="0" applyBorder="0" applyAlignment="0" applyProtection="0"/>
    <xf numFmtId="0" fontId="117" fillId="65" borderId="0" applyNumberFormat="0" applyBorder="0" applyAlignment="0" applyProtection="0"/>
    <xf numFmtId="0" fontId="117" fillId="66" borderId="0" applyNumberFormat="0" applyBorder="0" applyAlignment="0" applyProtection="0"/>
    <xf numFmtId="0" fontId="117" fillId="67" borderId="0" applyNumberFormat="0" applyBorder="0" applyAlignment="0" applyProtection="0"/>
    <xf numFmtId="0" fontId="117" fillId="68" borderId="0" applyNumberFormat="0" applyBorder="0" applyAlignment="0" applyProtection="0"/>
    <xf numFmtId="0" fontId="117" fillId="63" borderId="0" applyNumberFormat="0" applyBorder="0" applyAlignment="0" applyProtection="0"/>
    <xf numFmtId="0" fontId="117" fillId="64" borderId="0" applyNumberFormat="0" applyBorder="0" applyAlignment="0" applyProtection="0"/>
    <xf numFmtId="0" fontId="117" fillId="69" borderId="0" applyNumberFormat="0" applyBorder="0" applyAlignment="0" applyProtection="0"/>
    <xf numFmtId="0" fontId="118" fillId="53" borderId="0" applyNumberFormat="0" applyBorder="0" applyAlignment="0" applyProtection="0"/>
    <xf numFmtId="0" fontId="119" fillId="70" borderId="58" applyNumberFormat="0" applyAlignment="0" applyProtection="0"/>
    <xf numFmtId="186" fontId="120" fillId="0" borderId="0">
      <alignment horizontal="center"/>
    </xf>
    <xf numFmtId="0" fontId="121" fillId="71" borderId="5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3" fillId="54" borderId="0" applyNumberFormat="0" applyBorder="0" applyAlignment="0" applyProtection="0"/>
    <xf numFmtId="0" fontId="124" fillId="0" borderId="60" applyNumberFormat="0" applyFill="0" applyAlignment="0" applyProtection="0"/>
    <xf numFmtId="0" fontId="125" fillId="0" borderId="61" applyNumberFormat="0" applyFill="0" applyAlignment="0" applyProtection="0"/>
    <xf numFmtId="0" fontId="126" fillId="0" borderId="62" applyNumberFormat="0" applyFill="0" applyAlignment="0" applyProtection="0"/>
    <xf numFmtId="0" fontId="126" fillId="0" borderId="0" applyNumberFormat="0" applyFill="0" applyBorder="0" applyAlignment="0" applyProtection="0"/>
    <xf numFmtId="0" fontId="127" fillId="57" borderId="58" applyNumberFormat="0" applyAlignment="0" applyProtection="0"/>
    <xf numFmtId="0" fontId="128" fillId="0" borderId="63" applyNumberFormat="0" applyFill="0" applyAlignment="0" applyProtection="0"/>
    <xf numFmtId="0" fontId="129" fillId="7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6" fillId="0" borderId="0"/>
    <xf numFmtId="0" fontId="5" fillId="0" borderId="0"/>
    <xf numFmtId="0" fontId="5" fillId="0" borderId="0"/>
    <xf numFmtId="0" fontId="5" fillId="0" borderId="0"/>
    <xf numFmtId="0" fontId="116" fillId="73" borderId="64" applyNumberFormat="0" applyFont="0" applyAlignment="0" applyProtection="0"/>
    <xf numFmtId="0" fontId="130" fillId="70" borderId="65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>
      <alignment horizontal="left" wrapText="1"/>
    </xf>
    <xf numFmtId="187" fontId="131" fillId="0" borderId="34">
      <alignment horizontal="center"/>
    </xf>
    <xf numFmtId="0" fontId="132" fillId="0" borderId="0" applyNumberFormat="0" applyFill="0" applyBorder="0" applyAlignment="0" applyProtection="0"/>
    <xf numFmtId="0" fontId="133" fillId="0" borderId="66" applyNumberFormat="0" applyFill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44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139" fillId="0" borderId="0"/>
    <xf numFmtId="0" fontId="5" fillId="0" borderId="0"/>
    <xf numFmtId="0" fontId="5" fillId="0" borderId="0"/>
    <xf numFmtId="0" fontId="1" fillId="0" borderId="0"/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170" fontId="5" fillId="0" borderId="0">
      <alignment horizontal="left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6" fillId="52" borderId="0" applyNumberFormat="0" applyBorder="0" applyAlignment="0" applyProtection="0"/>
    <xf numFmtId="0" fontId="116" fillId="52" borderId="0" applyNumberFormat="0" applyBorder="0" applyAlignment="0" applyProtection="0"/>
    <xf numFmtId="0" fontId="116" fillId="53" borderId="0" applyNumberFormat="0" applyBorder="0" applyAlignment="0" applyProtection="0"/>
    <xf numFmtId="0" fontId="116" fillId="53" borderId="0" applyNumberFormat="0" applyBorder="0" applyAlignment="0" applyProtection="0"/>
    <xf numFmtId="0" fontId="116" fillId="54" borderId="0" applyNumberFormat="0" applyBorder="0" applyAlignment="0" applyProtection="0"/>
    <xf numFmtId="0" fontId="116" fillId="54" borderId="0" applyNumberFormat="0" applyBorder="0" applyAlignment="0" applyProtection="0"/>
    <xf numFmtId="0" fontId="116" fillId="55" borderId="0" applyNumberFormat="0" applyBorder="0" applyAlignment="0" applyProtection="0"/>
    <xf numFmtId="0" fontId="116" fillId="55" borderId="0" applyNumberFormat="0" applyBorder="0" applyAlignment="0" applyProtection="0"/>
    <xf numFmtId="0" fontId="116" fillId="56" borderId="0" applyNumberFormat="0" applyBorder="0" applyAlignment="0" applyProtection="0"/>
    <xf numFmtId="0" fontId="116" fillId="56" borderId="0" applyNumberFormat="0" applyBorder="0" applyAlignment="0" applyProtection="0"/>
    <xf numFmtId="0" fontId="116" fillId="56" borderId="0" applyNumberFormat="0" applyBorder="0" applyAlignment="0" applyProtection="0"/>
    <xf numFmtId="0" fontId="116" fillId="57" borderId="0" applyNumberFormat="0" applyBorder="0" applyAlignment="0" applyProtection="0"/>
    <xf numFmtId="0" fontId="116" fillId="57" borderId="0" applyNumberFormat="0" applyBorder="0" applyAlignment="0" applyProtection="0"/>
    <xf numFmtId="0" fontId="116" fillId="58" borderId="0" applyNumberFormat="0" applyBorder="0" applyAlignment="0" applyProtection="0"/>
    <xf numFmtId="0" fontId="116" fillId="58" borderId="0" applyNumberFormat="0" applyBorder="0" applyAlignment="0" applyProtection="0"/>
    <xf numFmtId="0" fontId="116" fillId="59" borderId="0" applyNumberFormat="0" applyBorder="0" applyAlignment="0" applyProtection="0"/>
    <xf numFmtId="0" fontId="116" fillId="59" borderId="0" applyNumberFormat="0" applyBorder="0" applyAlignment="0" applyProtection="0"/>
    <xf numFmtId="0" fontId="116" fillId="60" borderId="0" applyNumberFormat="0" applyBorder="0" applyAlignment="0" applyProtection="0"/>
    <xf numFmtId="0" fontId="116" fillId="60" borderId="0" applyNumberFormat="0" applyBorder="0" applyAlignment="0" applyProtection="0"/>
    <xf numFmtId="0" fontId="116" fillId="60" borderId="0" applyNumberFormat="0" applyBorder="0" applyAlignment="0" applyProtection="0"/>
    <xf numFmtId="0" fontId="116" fillId="55" borderId="0" applyNumberFormat="0" applyBorder="0" applyAlignment="0" applyProtection="0"/>
    <xf numFmtId="0" fontId="116" fillId="55" borderId="0" applyNumberFormat="0" applyBorder="0" applyAlignment="0" applyProtection="0"/>
    <xf numFmtId="0" fontId="116" fillId="58" borderId="0" applyNumberFormat="0" applyBorder="0" applyAlignment="0" applyProtection="0"/>
    <xf numFmtId="0" fontId="116" fillId="58" borderId="0" applyNumberFormat="0" applyBorder="0" applyAlignment="0" applyProtection="0"/>
    <xf numFmtId="0" fontId="116" fillId="61" borderId="0" applyNumberFormat="0" applyBorder="0" applyAlignment="0" applyProtection="0"/>
    <xf numFmtId="0" fontId="116" fillId="61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40" fillId="0" borderId="0">
      <alignment horizontal="left"/>
    </xf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7" borderId="0" applyNumberFormat="0" applyBorder="0" applyAlignment="0" applyProtection="0"/>
    <xf numFmtId="0" fontId="117" fillId="67" borderId="0" applyNumberFormat="0" applyBorder="0" applyAlignment="0" applyProtection="0"/>
    <xf numFmtId="0" fontId="117" fillId="68" borderId="0" applyNumberFormat="0" applyBorder="0" applyAlignment="0" applyProtection="0"/>
    <xf numFmtId="0" fontId="117" fillId="68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9" borderId="0" applyNumberFormat="0" applyBorder="0" applyAlignment="0" applyProtection="0"/>
    <xf numFmtId="0" fontId="117" fillId="69" borderId="0" applyNumberFormat="0" applyBorder="0" applyAlignment="0" applyProtection="0"/>
    <xf numFmtId="0" fontId="118" fillId="53" borderId="0" applyNumberFormat="0" applyBorder="0" applyAlignment="0" applyProtection="0"/>
    <xf numFmtId="0" fontId="118" fillId="53" borderId="0" applyNumberFormat="0" applyBorder="0" applyAlignment="0" applyProtection="0"/>
    <xf numFmtId="0" fontId="119" fillId="70" borderId="58" applyNumberFormat="0" applyAlignment="0" applyProtection="0"/>
    <xf numFmtId="0" fontId="119" fillId="70" borderId="58" applyNumberFormat="0" applyAlignment="0" applyProtection="0"/>
    <xf numFmtId="0" fontId="121" fillId="71" borderId="59" applyNumberFormat="0" applyAlignment="0" applyProtection="0"/>
    <xf numFmtId="0" fontId="121" fillId="71" borderId="5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16" fillId="0" borderId="0" applyFont="0" applyFill="0" applyBorder="0" applyAlignment="0" applyProtection="0"/>
    <xf numFmtId="166" fontId="11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54" borderId="0" applyNumberFormat="0" applyBorder="0" applyAlignment="0" applyProtection="0"/>
    <xf numFmtId="0" fontId="123" fillId="54" borderId="0" applyNumberFormat="0" applyBorder="0" applyAlignment="0" applyProtection="0"/>
    <xf numFmtId="0" fontId="124" fillId="0" borderId="60" applyNumberFormat="0" applyFill="0" applyAlignment="0" applyProtection="0"/>
    <xf numFmtId="0" fontId="124" fillId="0" borderId="60" applyNumberFormat="0" applyFill="0" applyAlignment="0" applyProtection="0"/>
    <xf numFmtId="0" fontId="125" fillId="0" borderId="61" applyNumberFormat="0" applyFill="0" applyAlignment="0" applyProtection="0"/>
    <xf numFmtId="0" fontId="125" fillId="0" borderId="61" applyNumberFormat="0" applyFill="0" applyAlignment="0" applyProtection="0"/>
    <xf numFmtId="0" fontId="126" fillId="0" borderId="62" applyNumberFormat="0" applyFill="0" applyAlignment="0" applyProtection="0"/>
    <xf numFmtId="0" fontId="126" fillId="0" borderId="62" applyNumberFormat="0" applyFill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27" fillId="57" borderId="58" applyNumberFormat="0" applyAlignment="0" applyProtection="0"/>
    <xf numFmtId="0" fontId="127" fillId="57" borderId="58" applyNumberFormat="0" applyAlignment="0" applyProtection="0"/>
    <xf numFmtId="0" fontId="128" fillId="0" borderId="63" applyNumberFormat="0" applyFill="0" applyAlignment="0" applyProtection="0"/>
    <xf numFmtId="0" fontId="128" fillId="0" borderId="63" applyNumberFormat="0" applyFill="0" applyAlignment="0" applyProtection="0"/>
    <xf numFmtId="0" fontId="129" fillId="72" borderId="0" applyNumberFormat="0" applyBorder="0" applyAlignment="0" applyProtection="0"/>
    <xf numFmtId="0" fontId="129" fillId="7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6" fillId="0" borderId="0"/>
    <xf numFmtId="0" fontId="116" fillId="0" borderId="0"/>
    <xf numFmtId="0" fontId="116" fillId="0" borderId="0"/>
    <xf numFmtId="0" fontId="5" fillId="0" borderId="0"/>
    <xf numFmtId="1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6" fillId="0" borderId="0"/>
    <xf numFmtId="0" fontId="1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3" borderId="64" applyNumberFormat="0" applyFont="0" applyAlignment="0" applyProtection="0"/>
    <xf numFmtId="0" fontId="5" fillId="73" borderId="64" applyNumberFormat="0" applyFont="0" applyAlignment="0" applyProtection="0"/>
    <xf numFmtId="0" fontId="5" fillId="73" borderId="64" applyNumberFormat="0" applyFont="0" applyAlignment="0" applyProtection="0"/>
    <xf numFmtId="0" fontId="130" fillId="70" borderId="65" applyNumberFormat="0" applyAlignment="0" applyProtection="0"/>
    <xf numFmtId="0" fontId="130" fillId="70" borderId="65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0" borderId="1" applyNumberFormat="0" applyProtection="0">
      <alignment horizontal="left" vertical="center"/>
    </xf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3" fillId="0" borderId="66" applyNumberFormat="0" applyFill="0" applyAlignment="0" applyProtection="0"/>
    <xf numFmtId="0" fontId="133" fillId="0" borderId="66" applyNumberFormat="0" applyFill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43" fillId="0" borderId="0"/>
    <xf numFmtId="43" fontId="5" fillId="0" borderId="0" applyFont="0" applyFill="0" applyBorder="0" applyAlignment="0" applyProtection="0"/>
    <xf numFmtId="0" fontId="116" fillId="52" borderId="0" applyNumberFormat="0" applyBorder="0" applyAlignment="0" applyProtection="0"/>
    <xf numFmtId="0" fontId="116" fillId="53" borderId="0" applyNumberFormat="0" applyBorder="0" applyAlignment="0" applyProtection="0"/>
    <xf numFmtId="0" fontId="116" fillId="54" borderId="0" applyNumberFormat="0" applyBorder="0" applyAlignment="0" applyProtection="0"/>
    <xf numFmtId="0" fontId="116" fillId="55" borderId="0" applyNumberFormat="0" applyBorder="0" applyAlignment="0" applyProtection="0"/>
    <xf numFmtId="0" fontId="116" fillId="56" borderId="0" applyNumberFormat="0" applyBorder="0" applyAlignment="0" applyProtection="0"/>
    <xf numFmtId="0" fontId="116" fillId="57" borderId="0" applyNumberFormat="0" applyBorder="0" applyAlignment="0" applyProtection="0"/>
    <xf numFmtId="49" fontId="145" fillId="0" borderId="1" applyNumberFormat="0" applyFont="0" applyFill="0" applyBorder="0" applyProtection="0">
      <alignment horizontal="left" vertical="center"/>
    </xf>
    <xf numFmtId="0" fontId="116" fillId="58" borderId="0" applyNumberFormat="0" applyBorder="0" applyAlignment="0" applyProtection="0"/>
    <xf numFmtId="0" fontId="116" fillId="59" borderId="0" applyNumberFormat="0" applyBorder="0" applyAlignment="0" applyProtection="0"/>
    <xf numFmtId="0" fontId="116" fillId="60" borderId="0" applyNumberFormat="0" applyBorder="0" applyAlignment="0" applyProtection="0"/>
    <xf numFmtId="0" fontId="116" fillId="55" borderId="0" applyNumberFormat="0" applyBorder="0" applyAlignment="0" applyProtection="0"/>
    <xf numFmtId="0" fontId="116" fillId="58" borderId="0" applyNumberFormat="0" applyBorder="0" applyAlignment="0" applyProtection="0"/>
    <xf numFmtId="0" fontId="116" fillId="61" borderId="0" applyNumberFormat="0" applyBorder="0" applyAlignment="0" applyProtection="0"/>
    <xf numFmtId="49" fontId="145" fillId="0" borderId="28" applyNumberFormat="0" applyFont="0" applyFill="0" applyBorder="0" applyProtection="0">
      <alignment horizontal="left" vertical="center"/>
    </xf>
    <xf numFmtId="49" fontId="145" fillId="0" borderId="28" applyNumberFormat="0" applyFont="0" applyFill="0" applyBorder="0" applyProtection="0">
      <alignment horizontal="left" vertical="center" indent="5"/>
    </xf>
    <xf numFmtId="0" fontId="117" fillId="62" borderId="0" applyNumberFormat="0" applyBorder="0" applyAlignment="0" applyProtection="0"/>
    <xf numFmtId="0" fontId="117" fillId="59" borderId="0" applyNumberFormat="0" applyBorder="0" applyAlignment="0" applyProtection="0"/>
    <xf numFmtId="0" fontId="117" fillId="60" borderId="0" applyNumberFormat="0" applyBorder="0" applyAlignment="0" applyProtection="0"/>
    <xf numFmtId="0" fontId="117" fillId="63" borderId="0" applyNumberFormat="0" applyBorder="0" applyAlignment="0" applyProtection="0"/>
    <xf numFmtId="0" fontId="117" fillId="64" borderId="0" applyNumberFormat="0" applyBorder="0" applyAlignment="0" applyProtection="0"/>
    <xf numFmtId="0" fontId="117" fillId="65" borderId="0" applyNumberFormat="0" applyBorder="0" applyAlignment="0" applyProtection="0"/>
    <xf numFmtId="0" fontId="146" fillId="74" borderId="0" applyBorder="0" applyAlignment="0"/>
    <xf numFmtId="0" fontId="145" fillId="74" borderId="0" applyBorder="0">
      <alignment horizontal="right" vertical="center"/>
    </xf>
    <xf numFmtId="4" fontId="145" fillId="75" borderId="0" applyBorder="0">
      <alignment horizontal="right" vertical="center"/>
    </xf>
    <xf numFmtId="4" fontId="145" fillId="75" borderId="0" applyBorder="0">
      <alignment horizontal="right" vertical="center"/>
    </xf>
    <xf numFmtId="0" fontId="147" fillId="75" borderId="1">
      <alignment horizontal="right" vertical="center"/>
    </xf>
    <xf numFmtId="0" fontId="148" fillId="75" borderId="1">
      <alignment horizontal="right" vertical="center"/>
    </xf>
    <xf numFmtId="0" fontId="147" fillId="7" borderId="1">
      <alignment horizontal="right" vertical="center"/>
    </xf>
    <xf numFmtId="0" fontId="147" fillId="7" borderId="1">
      <alignment horizontal="right" vertical="center"/>
    </xf>
    <xf numFmtId="0" fontId="147" fillId="7" borderId="30">
      <alignment horizontal="right" vertical="center"/>
    </xf>
    <xf numFmtId="0" fontId="147" fillId="7" borderId="28">
      <alignment horizontal="right" vertical="center"/>
    </xf>
    <xf numFmtId="0" fontId="147" fillId="7" borderId="29">
      <alignment horizontal="right" vertical="center"/>
    </xf>
    <xf numFmtId="0" fontId="117" fillId="66" borderId="0" applyNumberFormat="0" applyBorder="0" applyAlignment="0" applyProtection="0"/>
    <xf numFmtId="0" fontId="117" fillId="67" borderId="0" applyNumberFormat="0" applyBorder="0" applyAlignment="0" applyProtection="0"/>
    <xf numFmtId="0" fontId="117" fillId="68" borderId="0" applyNumberFormat="0" applyBorder="0" applyAlignment="0" applyProtection="0"/>
    <xf numFmtId="0" fontId="117" fillId="63" borderId="0" applyNumberFormat="0" applyBorder="0" applyAlignment="0" applyProtection="0"/>
    <xf numFmtId="0" fontId="117" fillId="64" borderId="0" applyNumberFormat="0" applyBorder="0" applyAlignment="0" applyProtection="0"/>
    <xf numFmtId="0" fontId="117" fillId="69" borderId="0" applyNumberFormat="0" applyBorder="0" applyAlignment="0" applyProtection="0"/>
    <xf numFmtId="0" fontId="130" fillId="70" borderId="65" applyNumberFormat="0" applyAlignment="0" applyProtection="0"/>
    <xf numFmtId="0" fontId="119" fillId="70" borderId="58" applyNumberFormat="0" applyAlignment="0" applyProtection="0"/>
    <xf numFmtId="4" fontId="146" fillId="0" borderId="7" applyFill="0" applyBorder="0" applyProtection="0">
      <alignment horizontal="right" vertical="center"/>
    </xf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147" fillId="0" borderId="0" applyNumberFormat="0">
      <alignment horizontal="right"/>
    </xf>
    <xf numFmtId="189" fontId="5" fillId="0" borderId="0" applyFont="0" applyFill="0" applyBorder="0" applyAlignment="0" applyProtection="0"/>
    <xf numFmtId="0" fontId="145" fillId="7" borderId="67">
      <alignment horizontal="left" vertical="center" wrapText="1" indent="2"/>
    </xf>
    <xf numFmtId="0" fontId="145" fillId="0" borderId="67">
      <alignment horizontal="left" vertical="center" wrapText="1" indent="2"/>
    </xf>
    <xf numFmtId="0" fontId="145" fillId="75" borderId="28">
      <alignment horizontal="left" vertical="center"/>
    </xf>
    <xf numFmtId="190" fontId="5" fillId="0" borderId="0" applyFont="0" applyFill="0" applyBorder="0" applyAlignment="0" applyProtection="0"/>
    <xf numFmtId="0" fontId="147" fillId="0" borderId="68">
      <alignment horizontal="left" vertical="top" wrapText="1"/>
    </xf>
    <xf numFmtId="0" fontId="127" fillId="57" borderId="58" applyNumberFormat="0" applyAlignment="0" applyProtection="0"/>
    <xf numFmtId="0" fontId="149" fillId="0" borderId="22"/>
    <xf numFmtId="0" fontId="133" fillId="0" borderId="66" applyNumberFormat="0" applyFill="0" applyAlignment="0" applyProtection="0"/>
    <xf numFmtId="0" fontId="122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123" fillId="54" borderId="0" applyNumberFormat="0" applyBorder="0" applyAlignment="0" applyProtection="0"/>
    <xf numFmtId="0" fontId="150" fillId="0" borderId="0" applyNumberFormat="0" applyFill="0" applyBorder="0" applyAlignment="0" applyProtection="0"/>
    <xf numFmtId="0" fontId="145" fillId="0" borderId="0" applyBorder="0">
      <alignment horizontal="right" vertical="center"/>
    </xf>
    <xf numFmtId="0" fontId="145" fillId="0" borderId="1">
      <alignment horizontal="right" vertical="center"/>
    </xf>
    <xf numFmtId="1" fontId="151" fillId="75" borderId="0" applyBorder="0">
      <alignment horizontal="right" vertical="center"/>
    </xf>
    <xf numFmtId="2" fontId="152" fillId="0" borderId="0" applyFill="0" applyBorder="0" applyProtection="0"/>
    <xf numFmtId="43" fontId="5" fillId="0" borderId="0" applyFont="0" applyFill="0" applyBorder="0" applyAlignment="0" applyProtection="0"/>
    <xf numFmtId="4" fontId="145" fillId="0" borderId="1" applyFill="0" applyBorder="0" applyProtection="0">
      <alignment horizontal="right" vertical="center"/>
    </xf>
    <xf numFmtId="49" fontId="146" fillId="0" borderId="1" applyNumberFormat="0" applyFill="0" applyBorder="0" applyProtection="0">
      <alignment horizontal="left" vertical="center"/>
    </xf>
    <xf numFmtId="0" fontId="145" fillId="0" borderId="1" applyNumberFormat="0" applyFill="0" applyAlignment="0" applyProtection="0"/>
    <xf numFmtId="0" fontId="153" fillId="76" borderId="0" applyNumberFormat="0" applyFont="0" applyBorder="0" applyAlignment="0" applyProtection="0"/>
    <xf numFmtId="0" fontId="5" fillId="0" borderId="0"/>
    <xf numFmtId="0" fontId="5" fillId="73" borderId="64" applyNumberFormat="0" applyFont="0" applyAlignment="0" applyProtection="0"/>
    <xf numFmtId="191" fontId="145" fillId="77" borderId="1" applyNumberFormat="0" applyFont="0" applyBorder="0" applyAlignment="0" applyProtection="0">
      <alignment horizontal="right" vertical="center"/>
    </xf>
    <xf numFmtId="192" fontId="5" fillId="0" borderId="0" applyFont="0" applyFill="0" applyBorder="0" applyAlignment="0" applyProtection="0"/>
    <xf numFmtId="0" fontId="5" fillId="0" borderId="69" applyNumberFormat="0" applyFont="0" applyFill="0" applyAlignment="0" applyProtection="0"/>
    <xf numFmtId="0" fontId="5" fillId="0" borderId="70" applyNumberFormat="0" applyFont="0" applyFill="0" applyAlignment="0" applyProtection="0"/>
    <xf numFmtId="0" fontId="5" fillId="0" borderId="71" applyNumberFormat="0" applyFont="0" applyFill="0" applyAlignment="0" applyProtection="0"/>
    <xf numFmtId="0" fontId="5" fillId="0" borderId="72" applyNumberFormat="0" applyFont="0" applyFill="0" applyAlignment="0" applyProtection="0"/>
    <xf numFmtId="0" fontId="5" fillId="0" borderId="73" applyNumberFormat="0" applyFont="0" applyFill="0" applyAlignment="0" applyProtection="0"/>
    <xf numFmtId="0" fontId="5" fillId="78" borderId="0" applyNumberFormat="0" applyFont="0" applyBorder="0" applyAlignment="0" applyProtection="0"/>
    <xf numFmtId="0" fontId="5" fillId="0" borderId="74" applyNumberFormat="0" applyFont="0" applyFill="0" applyAlignment="0" applyProtection="0"/>
    <xf numFmtId="0" fontId="5" fillId="0" borderId="75" applyNumberFormat="0" applyFont="0" applyFill="0" applyAlignment="0" applyProtection="0"/>
    <xf numFmtId="46" fontId="5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5" fillId="0" borderId="76" applyNumberFormat="0" applyFont="0" applyFill="0" applyAlignment="0" applyProtection="0"/>
    <xf numFmtId="0" fontId="5" fillId="0" borderId="77" applyNumberFormat="0" applyFont="0" applyFill="0" applyAlignment="0" applyProtection="0"/>
    <xf numFmtId="0" fontId="5" fillId="0" borderId="64" applyNumberFormat="0" applyFont="0" applyFill="0" applyAlignment="0" applyProtection="0"/>
    <xf numFmtId="0" fontId="5" fillId="0" borderId="78" applyNumberFormat="0" applyFont="0" applyFill="0" applyAlignment="0" applyProtection="0"/>
    <xf numFmtId="0" fontId="5" fillId="0" borderId="64" applyNumberFormat="0" applyFont="0" applyFill="0" applyAlignment="0" applyProtection="0"/>
    <xf numFmtId="0" fontId="5" fillId="0" borderId="0" applyNumberFormat="0" applyFont="0" applyFill="0" applyBorder="0" applyProtection="0">
      <alignment horizontal="center"/>
    </xf>
    <xf numFmtId="0" fontId="13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1" fillId="0" borderId="0" applyNumberFormat="0" applyFill="0" applyBorder="0" applyProtection="0">
      <alignment horizontal="left"/>
    </xf>
    <xf numFmtId="0" fontId="5" fillId="78" borderId="0" applyNumberFormat="0" applyFont="0" applyBorder="0" applyAlignment="0" applyProtection="0"/>
    <xf numFmtId="0" fontId="136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5" fillId="0" borderId="79" applyNumberFormat="0" applyFont="0" applyFill="0" applyAlignment="0" applyProtection="0"/>
    <xf numFmtId="0" fontId="5" fillId="0" borderId="80" applyNumberFormat="0" applyFont="0" applyFill="0" applyAlignment="0" applyProtection="0"/>
    <xf numFmtId="193" fontId="5" fillId="0" borderId="0" applyFont="0" applyFill="0" applyBorder="0" applyAlignment="0" applyProtection="0"/>
    <xf numFmtId="0" fontId="5" fillId="0" borderId="81" applyNumberFormat="0" applyFont="0" applyFill="0" applyAlignment="0" applyProtection="0"/>
    <xf numFmtId="0" fontId="5" fillId="0" borderId="82" applyNumberFormat="0" applyFont="0" applyFill="0" applyAlignment="0" applyProtection="0"/>
    <xf numFmtId="0" fontId="5" fillId="0" borderId="83" applyNumberFormat="0" applyFont="0" applyFill="0" applyAlignment="0" applyProtection="0"/>
    <xf numFmtId="0" fontId="5" fillId="0" borderId="84" applyNumberFormat="0" applyFont="0" applyFill="0" applyAlignment="0" applyProtection="0"/>
    <xf numFmtId="0" fontId="5" fillId="0" borderId="85" applyNumberFormat="0" applyFont="0" applyFill="0" applyAlignment="0" applyProtection="0"/>
    <xf numFmtId="0" fontId="118" fillId="53" borderId="0" applyNumberFormat="0" applyBorder="0" applyAlignment="0" applyProtection="0"/>
    <xf numFmtId="0" fontId="145" fillId="79" borderId="1"/>
    <xf numFmtId="0" fontId="132" fillId="0" borderId="0" applyNumberFormat="0" applyFill="0" applyBorder="0" applyAlignment="0" applyProtection="0"/>
    <xf numFmtId="0" fontId="124" fillId="0" borderId="60" applyNumberFormat="0" applyFill="0" applyAlignment="0" applyProtection="0"/>
    <xf numFmtId="0" fontId="125" fillId="0" borderId="61" applyNumberFormat="0" applyFill="0" applyAlignment="0" applyProtection="0"/>
    <xf numFmtId="0" fontId="126" fillId="0" borderId="62" applyNumberFormat="0" applyFill="0" applyAlignment="0" applyProtection="0"/>
    <xf numFmtId="0" fontId="126" fillId="0" borderId="0" applyNumberFormat="0" applyFill="0" applyBorder="0" applyAlignment="0" applyProtection="0"/>
    <xf numFmtId="0" fontId="128" fillId="0" borderId="63" applyNumberFormat="0" applyFill="0" applyAlignment="0" applyProtection="0"/>
    <xf numFmtId="0" fontId="134" fillId="0" borderId="0" applyNumberFormat="0" applyFill="0" applyBorder="0" applyAlignment="0" applyProtection="0"/>
    <xf numFmtId="0" fontId="121" fillId="71" borderId="59" applyNumberFormat="0" applyAlignment="0" applyProtection="0"/>
    <xf numFmtId="0" fontId="155" fillId="0" borderId="0" applyNumberFormat="0" applyFill="0" applyBorder="0" applyAlignment="0" applyProtection="0"/>
    <xf numFmtId="0" fontId="145" fillId="0" borderId="0"/>
    <xf numFmtId="9" fontId="143" fillId="0" borderId="0" applyFont="0" applyFill="0" applyBorder="0" applyAlignment="0" applyProtection="0"/>
    <xf numFmtId="43" fontId="14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3" fillId="0" borderId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94" fillId="0" borderId="0"/>
    <xf numFmtId="0" fontId="195" fillId="0" borderId="0" applyNumberFormat="0" applyFill="0" applyBorder="0" applyAlignment="0" applyProtection="0"/>
    <xf numFmtId="0" fontId="5" fillId="0" borderId="0"/>
    <xf numFmtId="0" fontId="5" fillId="0" borderId="0"/>
  </cellStyleXfs>
  <cellXfs count="1713">
    <xf numFmtId="0" fontId="0" fillId="0" borderId="0" xfId="0"/>
    <xf numFmtId="0" fontId="4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1" fontId="4" fillId="0" borderId="3" xfId="2" applyNumberFormat="1" applyFont="1" applyFill="1" applyBorder="1" applyAlignment="1">
      <alignment horizontal="right"/>
    </xf>
    <xf numFmtId="1" fontId="4" fillId="0" borderId="4" xfId="2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6" fillId="0" borderId="2" xfId="0" applyFont="1" applyFill="1" applyBorder="1" applyAlignment="1">
      <alignment horizontal="left" vertical="center"/>
    </xf>
    <xf numFmtId="0" fontId="7" fillId="0" borderId="6" xfId="0" applyFont="1" applyFill="1" applyBorder="1"/>
    <xf numFmtId="3" fontId="8" fillId="0" borderId="7" xfId="0" applyNumberFormat="1" applyFont="1" applyBorder="1"/>
    <xf numFmtId="3" fontId="8" fillId="0" borderId="8" xfId="0" applyNumberFormat="1" applyFont="1" applyBorder="1"/>
    <xf numFmtId="167" fontId="5" fillId="0" borderId="0" xfId="2" applyNumberFormat="1" applyFont="1" applyBorder="1"/>
    <xf numFmtId="9" fontId="0" fillId="0" borderId="0" xfId="1" applyFont="1"/>
    <xf numFmtId="0" fontId="8" fillId="0" borderId="2" xfId="0" applyFont="1" applyFill="1" applyBorder="1" applyAlignment="1"/>
    <xf numFmtId="0" fontId="8" fillId="0" borderId="6" xfId="0" applyFont="1" applyFill="1" applyBorder="1"/>
    <xf numFmtId="3" fontId="8" fillId="0" borderId="1" xfId="0" applyNumberFormat="1" applyFont="1" applyBorder="1"/>
    <xf numFmtId="3" fontId="8" fillId="0" borderId="2" xfId="0" applyNumberFormat="1" applyFont="1" applyBorder="1"/>
    <xf numFmtId="167" fontId="5" fillId="0" borderId="0" xfId="2" applyNumberFormat="1" applyFont="1" applyFill="1" applyBorder="1"/>
    <xf numFmtId="0" fontId="5" fillId="2" borderId="2" xfId="0" applyFont="1" applyFill="1" applyBorder="1" applyAlignment="1"/>
    <xf numFmtId="0" fontId="5" fillId="2" borderId="6" xfId="0" applyFont="1" applyFill="1" applyBorder="1"/>
    <xf numFmtId="0" fontId="9" fillId="2" borderId="6" xfId="0" applyFont="1" applyFill="1" applyBorder="1"/>
    <xf numFmtId="3" fontId="0" fillId="2" borderId="1" xfId="0" applyNumberFormat="1" applyFill="1" applyBorder="1"/>
    <xf numFmtId="3" fontId="0" fillId="2" borderId="2" xfId="0" applyNumberFormat="1" applyFill="1" applyBorder="1"/>
    <xf numFmtId="0" fontId="5" fillId="3" borderId="2" xfId="0" applyFont="1" applyFill="1" applyBorder="1" applyAlignment="1"/>
    <xf numFmtId="0" fontId="5" fillId="3" borderId="6" xfId="0" applyFont="1" applyFill="1" applyBorder="1"/>
    <xf numFmtId="0" fontId="9" fillId="3" borderId="6" xfId="0" applyFont="1" applyFill="1" applyBorder="1"/>
    <xf numFmtId="3" fontId="0" fillId="3" borderId="1" xfId="0" applyNumberFormat="1" applyFill="1" applyBorder="1"/>
    <xf numFmtId="3" fontId="0" fillId="3" borderId="2" xfId="0" applyNumberFormat="1" applyFill="1" applyBorder="1"/>
    <xf numFmtId="0" fontId="5" fillId="3" borderId="6" xfId="0" applyFont="1" applyFill="1" applyBorder="1" applyAlignment="1">
      <alignment horizontal="right"/>
    </xf>
    <xf numFmtId="0" fontId="10" fillId="3" borderId="6" xfId="0" applyFont="1" applyFill="1" applyBorder="1" applyAlignment="1">
      <alignment horizontal="right"/>
    </xf>
    <xf numFmtId="0" fontId="5" fillId="4" borderId="2" xfId="0" applyFont="1" applyFill="1" applyBorder="1" applyAlignment="1"/>
    <xf numFmtId="0" fontId="5" fillId="4" borderId="6" xfId="0" applyFont="1" applyFill="1" applyBorder="1"/>
    <xf numFmtId="3" fontId="0" fillId="4" borderId="1" xfId="0" applyNumberFormat="1" applyFill="1" applyBorder="1"/>
    <xf numFmtId="3" fontId="0" fillId="4" borderId="2" xfId="0" applyNumberFormat="1" applyFill="1" applyBorder="1"/>
    <xf numFmtId="0" fontId="5" fillId="5" borderId="2" xfId="0" applyFont="1" applyFill="1" applyBorder="1" applyAlignment="1"/>
    <xf numFmtId="0" fontId="5" fillId="5" borderId="6" xfId="0" applyFont="1" applyFill="1" applyBorder="1"/>
    <xf numFmtId="3" fontId="0" fillId="5" borderId="1" xfId="0" applyNumberFormat="1" applyFill="1" applyBorder="1"/>
    <xf numFmtId="3" fontId="0" fillId="5" borderId="2" xfId="0" applyNumberFormat="1" applyFill="1" applyBorder="1"/>
    <xf numFmtId="0" fontId="5" fillId="6" borderId="2" xfId="0" applyFont="1" applyFill="1" applyBorder="1" applyAlignment="1"/>
    <xf numFmtId="0" fontId="5" fillId="6" borderId="6" xfId="0" applyFont="1" applyFill="1" applyBorder="1"/>
    <xf numFmtId="0" fontId="9" fillId="6" borderId="6" xfId="0" applyFont="1" applyFill="1" applyBorder="1"/>
    <xf numFmtId="3" fontId="0" fillId="6" borderId="1" xfId="0" applyNumberFormat="1" applyFill="1" applyBorder="1"/>
    <xf numFmtId="3" fontId="0" fillId="6" borderId="2" xfId="0" applyNumberFormat="1" applyFill="1" applyBorder="1"/>
    <xf numFmtId="0" fontId="5" fillId="0" borderId="2" xfId="0" applyFont="1" applyFill="1" applyBorder="1" applyAlignment="1"/>
    <xf numFmtId="0" fontId="5" fillId="0" borderId="6" xfId="0" applyFont="1" applyFill="1" applyBorder="1"/>
    <xf numFmtId="0" fontId="9" fillId="0" borderId="6" xfId="0" applyFont="1" applyFill="1" applyBorder="1"/>
    <xf numFmtId="3" fontId="0" fillId="0" borderId="1" xfId="0" applyNumberFormat="1" applyBorder="1"/>
    <xf numFmtId="3" fontId="0" fillId="0" borderId="2" xfId="0" applyNumberFormat="1" applyBorder="1"/>
    <xf numFmtId="0" fontId="9" fillId="6" borderId="6" xfId="0" applyFont="1" applyFill="1" applyBorder="1" applyAlignment="1">
      <alignment horizontal="left"/>
    </xf>
    <xf numFmtId="0" fontId="5" fillId="7" borderId="2" xfId="0" applyFont="1" applyFill="1" applyBorder="1" applyAlignment="1"/>
    <xf numFmtId="0" fontId="9" fillId="7" borderId="6" xfId="0" applyFont="1" applyFill="1" applyBorder="1"/>
    <xf numFmtId="0" fontId="9" fillId="7" borderId="6" xfId="0" applyFont="1" applyFill="1" applyBorder="1" applyAlignment="1">
      <alignment horizontal="left"/>
    </xf>
    <xf numFmtId="3" fontId="0" fillId="7" borderId="1" xfId="0" applyNumberFormat="1" applyFill="1" applyBorder="1"/>
    <xf numFmtId="3" fontId="0" fillId="7" borderId="2" xfId="0" applyNumberFormat="1" applyFill="1" applyBorder="1"/>
    <xf numFmtId="0" fontId="5" fillId="8" borderId="2" xfId="0" applyFont="1" applyFill="1" applyBorder="1" applyAlignment="1"/>
    <xf numFmtId="0" fontId="5" fillId="8" borderId="6" xfId="0" applyFont="1" applyFill="1" applyBorder="1"/>
    <xf numFmtId="0" fontId="9" fillId="8" borderId="6" xfId="0" applyFont="1" applyFill="1" applyBorder="1"/>
    <xf numFmtId="3" fontId="0" fillId="8" borderId="1" xfId="0" applyNumberFormat="1" applyFill="1" applyBorder="1"/>
    <xf numFmtId="3" fontId="0" fillId="8" borderId="2" xfId="0" applyNumberFormat="1" applyFill="1" applyBorder="1"/>
    <xf numFmtId="0" fontId="9" fillId="0" borderId="6" xfId="0" applyFont="1" applyFill="1" applyBorder="1" applyAlignment="1">
      <alignment horizontal="left"/>
    </xf>
    <xf numFmtId="0" fontId="5" fillId="7" borderId="6" xfId="0" applyFont="1" applyFill="1" applyBorder="1"/>
    <xf numFmtId="0" fontId="9" fillId="3" borderId="6" xfId="0" applyFont="1" applyFill="1" applyBorder="1" applyAlignment="1">
      <alignment horizontal="left"/>
    </xf>
    <xf numFmtId="0" fontId="8" fillId="3" borderId="2" xfId="0" applyFont="1" applyFill="1" applyBorder="1" applyAlignment="1"/>
    <xf numFmtId="0" fontId="8" fillId="3" borderId="6" xfId="0" applyFont="1" applyFill="1" applyBorder="1"/>
    <xf numFmtId="0" fontId="11" fillId="3" borderId="6" xfId="0" applyFont="1" applyFill="1" applyBorder="1"/>
    <xf numFmtId="3" fontId="8" fillId="3" borderId="1" xfId="0" applyNumberFormat="1" applyFont="1" applyFill="1" applyBorder="1"/>
    <xf numFmtId="3" fontId="8" fillId="3" borderId="2" xfId="0" applyNumberFormat="1" applyFont="1" applyFill="1" applyBorder="1"/>
    <xf numFmtId="0" fontId="12" fillId="0" borderId="6" xfId="0" applyFont="1" applyFill="1" applyBorder="1"/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/>
    <xf numFmtId="0" fontId="9" fillId="0" borderId="6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13" fillId="0" borderId="0" xfId="0" applyFont="1" applyFill="1" applyAlignment="1">
      <alignment horizontal="left"/>
    </xf>
    <xf numFmtId="0" fontId="6" fillId="3" borderId="2" xfId="0" applyFont="1" applyFill="1" applyBorder="1" applyAlignment="1">
      <alignment horizontal="left" vertical="center"/>
    </xf>
    <xf numFmtId="0" fontId="6" fillId="3" borderId="6" xfId="0" applyFont="1" applyFill="1" applyBorder="1"/>
    <xf numFmtId="0" fontId="6" fillId="9" borderId="2" xfId="0" applyFont="1" applyFill="1" applyBorder="1" applyAlignment="1">
      <alignment horizontal="left" vertical="center"/>
    </xf>
    <xf numFmtId="0" fontId="6" fillId="9" borderId="6" xfId="0" applyFont="1" applyFill="1" applyBorder="1"/>
    <xf numFmtId="3" fontId="8" fillId="9" borderId="1" xfId="0" applyNumberFormat="1" applyFont="1" applyFill="1" applyBorder="1"/>
    <xf numFmtId="3" fontId="8" fillId="9" borderId="2" xfId="0" applyNumberFormat="1" applyFont="1" applyFill="1" applyBorder="1"/>
    <xf numFmtId="167" fontId="5" fillId="10" borderId="0" xfId="2" applyNumberFormat="1" applyFont="1" applyFill="1" applyBorder="1"/>
    <xf numFmtId="0" fontId="8" fillId="0" borderId="9" xfId="0" applyFont="1" applyFill="1" applyBorder="1" applyAlignment="1"/>
    <xf numFmtId="0" fontId="14" fillId="0" borderId="9" xfId="0" applyFont="1" applyFill="1" applyBorder="1"/>
    <xf numFmtId="0" fontId="6" fillId="0" borderId="9" xfId="0" applyFont="1" applyFill="1" applyBorder="1"/>
    <xf numFmtId="0" fontId="6" fillId="11" borderId="2" xfId="0" applyFont="1" applyFill="1" applyBorder="1" applyAlignment="1">
      <alignment horizontal="left" vertical="center"/>
    </xf>
    <xf numFmtId="0" fontId="6" fillId="11" borderId="6" xfId="0" applyFont="1" applyFill="1" applyBorder="1"/>
    <xf numFmtId="3" fontId="8" fillId="11" borderId="1" xfId="0" applyNumberFormat="1" applyFont="1" applyFill="1" applyBorder="1"/>
    <xf numFmtId="3" fontId="8" fillId="11" borderId="2" xfId="0" applyNumberFormat="1" applyFont="1" applyFill="1" applyBorder="1"/>
    <xf numFmtId="167" fontId="8" fillId="0" borderId="0" xfId="2" applyNumberFormat="1" applyFont="1" applyBorder="1"/>
    <xf numFmtId="0" fontId="8" fillId="0" borderId="10" xfId="0" applyFont="1" applyFill="1" applyBorder="1" applyAlignment="1"/>
    <xf numFmtId="0" fontId="8" fillId="0" borderId="11" xfId="0" applyFont="1" applyFill="1" applyBorder="1"/>
    <xf numFmtId="3" fontId="0" fillId="0" borderId="12" xfId="0" applyNumberFormat="1" applyBorder="1"/>
    <xf numFmtId="3" fontId="0" fillId="0" borderId="10" xfId="0" applyNumberFormat="1" applyBorder="1"/>
    <xf numFmtId="0" fontId="8" fillId="0" borderId="13" xfId="0" applyFont="1" applyFill="1" applyBorder="1" applyAlignment="1">
      <alignment horizontal="left"/>
    </xf>
    <xf numFmtId="0" fontId="8" fillId="0" borderId="14" xfId="0" applyFont="1" applyFill="1" applyBorder="1" applyAlignment="1">
      <alignment horizontal="left"/>
    </xf>
    <xf numFmtId="3" fontId="8" fillId="0" borderId="15" xfId="0" applyNumberFormat="1" applyFont="1" applyBorder="1"/>
    <xf numFmtId="3" fontId="8" fillId="0" borderId="13" xfId="0" applyNumberFormat="1" applyFont="1" applyBorder="1"/>
    <xf numFmtId="0" fontId="15" fillId="12" borderId="0" xfId="0" applyFont="1" applyFill="1"/>
    <xf numFmtId="0" fontId="0" fillId="12" borderId="0" xfId="0" applyFill="1"/>
    <xf numFmtId="3" fontId="0" fillId="0" borderId="0" xfId="0" applyNumberFormat="1"/>
    <xf numFmtId="0" fontId="8" fillId="14" borderId="2" xfId="0" applyFont="1" applyFill="1" applyBorder="1" applyAlignment="1"/>
    <xf numFmtId="0" fontId="8" fillId="14" borderId="6" xfId="0" applyFont="1" applyFill="1" applyBorder="1"/>
    <xf numFmtId="0" fontId="0" fillId="14" borderId="0" xfId="0" applyFill="1"/>
    <xf numFmtId="0" fontId="5" fillId="14" borderId="2" xfId="0" applyFont="1" applyFill="1" applyBorder="1" applyAlignment="1"/>
    <xf numFmtId="0" fontId="5" fillId="14" borderId="6" xfId="0" applyFont="1" applyFill="1" applyBorder="1"/>
    <xf numFmtId="0" fontId="9" fillId="14" borderId="6" xfId="0" applyFont="1" applyFill="1" applyBorder="1"/>
    <xf numFmtId="3" fontId="0" fillId="14" borderId="1" xfId="0" applyNumberFormat="1" applyFill="1" applyBorder="1"/>
    <xf numFmtId="3" fontId="0" fillId="14" borderId="2" xfId="0" applyNumberFormat="1" applyFill="1" applyBorder="1"/>
    <xf numFmtId="0" fontId="11" fillId="14" borderId="6" xfId="0" applyFont="1" applyFill="1" applyBorder="1"/>
    <xf numFmtId="0" fontId="12" fillId="14" borderId="6" xfId="0" applyFont="1" applyFill="1" applyBorder="1"/>
    <xf numFmtId="0" fontId="6" fillId="14" borderId="2" xfId="0" applyFont="1" applyFill="1" applyBorder="1" applyAlignment="1">
      <alignment horizontal="left" vertical="center"/>
    </xf>
    <xf numFmtId="0" fontId="6" fillId="14" borderId="6" xfId="0" applyFont="1" applyFill="1" applyBorder="1"/>
    <xf numFmtId="3" fontId="8" fillId="14" borderId="1" xfId="0" applyNumberFormat="1" applyFont="1" applyFill="1" applyBorder="1"/>
    <xf numFmtId="3" fontId="8" fillId="14" borderId="2" xfId="0" applyNumberFormat="1" applyFont="1" applyFill="1" applyBorder="1"/>
    <xf numFmtId="0" fontId="16" fillId="12" borderId="0" xfId="0" applyFont="1" applyFill="1"/>
    <xf numFmtId="3" fontId="16" fillId="12" borderId="0" xfId="0" applyNumberFormat="1" applyFont="1" applyFill="1"/>
    <xf numFmtId="0" fontId="0" fillId="17" borderId="0" xfId="0" applyFill="1"/>
    <xf numFmtId="3" fontId="0" fillId="17" borderId="0" xfId="0" applyNumberFormat="1" applyFill="1"/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3" fontId="8" fillId="0" borderId="0" xfId="0" applyNumberFormat="1" applyFont="1" applyFill="1" applyBorder="1"/>
    <xf numFmtId="0" fontId="17" fillId="0" borderId="0" xfId="0" applyFont="1"/>
    <xf numFmtId="3" fontId="17" fillId="0" borderId="0" xfId="0" applyNumberFormat="1" applyFont="1"/>
    <xf numFmtId="0" fontId="0" fillId="18" borderId="0" xfId="0" applyFill="1"/>
    <xf numFmtId="0" fontId="8" fillId="0" borderId="0" xfId="0" applyFont="1"/>
    <xf numFmtId="0" fontId="0" fillId="2" borderId="0" xfId="0" applyFill="1"/>
    <xf numFmtId="3" fontId="0" fillId="2" borderId="0" xfId="0" applyNumberFormat="1" applyFill="1"/>
    <xf numFmtId="0" fontId="0" fillId="3" borderId="0" xfId="0" applyFill="1"/>
    <xf numFmtId="3" fontId="0" fillId="3" borderId="0" xfId="0" applyNumberFormat="1" applyFill="1"/>
    <xf numFmtId="0" fontId="0" fillId="4" borderId="0" xfId="0" applyFill="1"/>
    <xf numFmtId="3" fontId="0" fillId="4" borderId="0" xfId="0" applyNumberFormat="1" applyFill="1"/>
    <xf numFmtId="0" fontId="0" fillId="6" borderId="0" xfId="0" applyFill="1"/>
    <xf numFmtId="3" fontId="0" fillId="6" borderId="0" xfId="0" applyNumberFormat="1" applyFill="1"/>
    <xf numFmtId="3" fontId="8" fillId="0" borderId="0" xfId="0" applyNumberFormat="1" applyFont="1"/>
    <xf numFmtId="165" fontId="0" fillId="0" borderId="0" xfId="2" applyFont="1"/>
    <xf numFmtId="0" fontId="0" fillId="0" borderId="16" xfId="0" applyFill="1" applyBorder="1"/>
    <xf numFmtId="0" fontId="8" fillId="0" borderId="17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0" fillId="0" borderId="19" xfId="0" applyFill="1" applyBorder="1"/>
    <xf numFmtId="3" fontId="0" fillId="0" borderId="0" xfId="0" applyNumberFormat="1" applyFill="1" applyBorder="1"/>
    <xf numFmtId="3" fontId="0" fillId="0" borderId="20" xfId="0" applyNumberFormat="1" applyFill="1" applyBorder="1"/>
    <xf numFmtId="0" fontId="0" fillId="0" borderId="21" xfId="0" applyFill="1" applyBorder="1"/>
    <xf numFmtId="168" fontId="0" fillId="0" borderId="22" xfId="1" applyNumberFormat="1" applyFont="1" applyFill="1" applyBorder="1"/>
    <xf numFmtId="168" fontId="0" fillId="0" borderId="23" xfId="1" applyNumberFormat="1" applyFont="1" applyFill="1" applyBorder="1"/>
    <xf numFmtId="0" fontId="0" fillId="0" borderId="0" xfId="0" applyBorder="1"/>
    <xf numFmtId="9" fontId="0" fillId="0" borderId="0" xfId="1" applyFont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 wrapText="1" shrinkToFit="1"/>
    </xf>
    <xf numFmtId="0" fontId="0" fillId="0" borderId="24" xfId="0" applyFill="1" applyBorder="1" applyAlignment="1">
      <alignment horizontal="center" vertical="center" wrapText="1" shrinkToFit="1"/>
    </xf>
    <xf numFmtId="3" fontId="0" fillId="0" borderId="1" xfId="0" applyNumberFormat="1" applyFill="1" applyBorder="1" applyAlignment="1">
      <alignment horizontal="center"/>
    </xf>
    <xf numFmtId="9" fontId="0" fillId="0" borderId="1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165" fontId="0" fillId="0" borderId="0" xfId="2" applyFont="1" applyFill="1"/>
    <xf numFmtId="3" fontId="0" fillId="22" borderId="0" xfId="0" applyNumberFormat="1" applyFill="1" applyBorder="1"/>
    <xf numFmtId="3" fontId="0" fillId="23" borderId="20" xfId="0" applyNumberFormat="1" applyFill="1" applyBorder="1"/>
    <xf numFmtId="0" fontId="3" fillId="0" borderId="0" xfId="0" applyFont="1"/>
    <xf numFmtId="0" fontId="3" fillId="18" borderId="0" xfId="0" applyFont="1" applyFill="1"/>
    <xf numFmtId="0" fontId="3" fillId="24" borderId="0" xfId="0" applyFont="1" applyFill="1"/>
    <xf numFmtId="0" fontId="3" fillId="25" borderId="0" xfId="0" applyFont="1" applyFill="1"/>
    <xf numFmtId="0" fontId="0" fillId="25" borderId="0" xfId="0" applyFill="1"/>
    <xf numFmtId="0" fontId="0" fillId="26" borderId="0" xfId="0" applyFill="1" applyBorder="1"/>
    <xf numFmtId="3" fontId="0" fillId="29" borderId="0" xfId="0" applyNumberFormat="1" applyFill="1"/>
    <xf numFmtId="3" fontId="0" fillId="12" borderId="0" xfId="0" applyNumberFormat="1" applyFill="1"/>
    <xf numFmtId="0" fontId="0" fillId="19" borderId="0" xfId="0" applyFill="1"/>
    <xf numFmtId="3" fontId="0" fillId="19" borderId="0" xfId="0" applyNumberFormat="1" applyFill="1"/>
    <xf numFmtId="0" fontId="5" fillId="6" borderId="0" xfId="4" applyFill="1" applyAlignment="1">
      <alignment horizontal="right"/>
    </xf>
    <xf numFmtId="0" fontId="5" fillId="4" borderId="0" xfId="4" applyFill="1" applyAlignment="1">
      <alignment horizontal="right"/>
    </xf>
    <xf numFmtId="0" fontId="5" fillId="2" borderId="0" xfId="4" applyFill="1" applyAlignment="1">
      <alignment horizontal="right"/>
    </xf>
    <xf numFmtId="0" fontId="5" fillId="18" borderId="0" xfId="4" applyFill="1" applyAlignment="1">
      <alignment horizontal="right"/>
    </xf>
    <xf numFmtId="0" fontId="0" fillId="0" borderId="1" xfId="0" applyBorder="1"/>
    <xf numFmtId="0" fontId="0" fillId="27" borderId="1" xfId="0" applyFill="1" applyBorder="1"/>
    <xf numFmtId="0" fontId="20" fillId="0" borderId="0" xfId="0" applyFont="1"/>
    <xf numFmtId="0" fontId="21" fillId="0" borderId="0" xfId="0" applyFont="1"/>
    <xf numFmtId="0" fontId="20" fillId="4" borderId="0" xfId="0" applyFont="1" applyFill="1" applyAlignment="1">
      <alignment horizontal="right"/>
    </xf>
    <xf numFmtId="3" fontId="20" fillId="4" borderId="0" xfId="0" applyNumberFormat="1" applyFont="1" applyFill="1"/>
    <xf numFmtId="3" fontId="20" fillId="0" borderId="0" xfId="0" applyNumberFormat="1" applyFont="1"/>
    <xf numFmtId="0" fontId="20" fillId="5" borderId="0" xfId="0" applyFont="1" applyFill="1" applyAlignment="1">
      <alignment horizontal="right"/>
    </xf>
    <xf numFmtId="3" fontId="20" fillId="5" borderId="0" xfId="0" applyNumberFormat="1" applyFont="1" applyFill="1"/>
    <xf numFmtId="166" fontId="0" fillId="18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166" fontId="0" fillId="27" borderId="0" xfId="0" applyNumberFormat="1" applyFill="1" applyAlignment="1">
      <alignment horizontal="center"/>
    </xf>
    <xf numFmtId="0" fontId="3" fillId="27" borderId="25" xfId="0" applyFont="1" applyFill="1" applyBorder="1"/>
    <xf numFmtId="0" fontId="0" fillId="27" borderId="0" xfId="0" applyFill="1"/>
    <xf numFmtId="0" fontId="0" fillId="18" borderId="1" xfId="0" applyFill="1" applyBorder="1"/>
    <xf numFmtId="0" fontId="0" fillId="24" borderId="0" xfId="0" applyFill="1"/>
    <xf numFmtId="166" fontId="0" fillId="24" borderId="0" xfId="0" applyNumberFormat="1" applyFill="1" applyAlignment="1">
      <alignment horizontal="center"/>
    </xf>
    <xf numFmtId="166" fontId="0" fillId="14" borderId="0" xfId="0" applyNumberFormat="1" applyFill="1" applyAlignment="1">
      <alignment horizontal="center"/>
    </xf>
    <xf numFmtId="0" fontId="22" fillId="0" borderId="0" xfId="0" applyFont="1"/>
    <xf numFmtId="9" fontId="22" fillId="0" borderId="0" xfId="1" applyFont="1" applyAlignment="1">
      <alignment horizontal="center"/>
    </xf>
    <xf numFmtId="0" fontId="22" fillId="0" borderId="0" xfId="0" applyFont="1" applyAlignment="1">
      <alignment horizontal="right"/>
    </xf>
    <xf numFmtId="0" fontId="23" fillId="13" borderId="0" xfId="4" applyFont="1" applyFill="1" applyAlignment="1">
      <alignment horizontal="right"/>
    </xf>
    <xf numFmtId="0" fontId="5" fillId="18" borderId="0" xfId="4" applyFont="1" applyFill="1" applyAlignment="1">
      <alignment horizontal="right"/>
    </xf>
    <xf numFmtId="0" fontId="5" fillId="6" borderId="0" xfId="4" applyFont="1" applyFill="1" applyAlignment="1">
      <alignment horizontal="right"/>
    </xf>
    <xf numFmtId="0" fontId="5" fillId="4" borderId="0" xfId="4" applyFont="1" applyFill="1" applyAlignment="1">
      <alignment horizontal="right"/>
    </xf>
    <xf numFmtId="166" fontId="20" fillId="0" borderId="0" xfId="0" applyNumberFormat="1" applyFont="1" applyAlignment="1">
      <alignment horizontal="center"/>
    </xf>
    <xf numFmtId="166" fontId="24" fillId="0" borderId="0" xfId="0" applyNumberFormat="1" applyFont="1" applyAlignment="1">
      <alignment horizontal="center"/>
    </xf>
    <xf numFmtId="166" fontId="25" fillId="0" borderId="0" xfId="0" applyNumberFormat="1" applyFont="1" applyAlignment="1">
      <alignment horizontal="center"/>
    </xf>
    <xf numFmtId="0" fontId="26" fillId="0" borderId="0" xfId="0" applyFont="1"/>
    <xf numFmtId="166" fontId="3" fillId="0" borderId="0" xfId="0" applyNumberFormat="1" applyFont="1" applyAlignment="1">
      <alignment horizontal="center"/>
    </xf>
    <xf numFmtId="166" fontId="26" fillId="0" borderId="0" xfId="0" applyNumberFormat="1" applyFont="1" applyAlignment="1">
      <alignment horizontal="center"/>
    </xf>
    <xf numFmtId="0" fontId="3" fillId="0" borderId="16" xfId="0" applyFont="1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18" fillId="26" borderId="0" xfId="0" applyFont="1" applyFill="1" applyBorder="1"/>
    <xf numFmtId="0" fontId="0" fillId="26" borderId="20" xfId="0" applyFill="1" applyBorder="1"/>
    <xf numFmtId="0" fontId="19" fillId="27" borderId="0" xfId="0" applyFont="1" applyFill="1" applyBorder="1"/>
    <xf numFmtId="0" fontId="0" fillId="26" borderId="0" xfId="0" applyFill="1" applyBorder="1" applyAlignment="1">
      <alignment horizontal="left"/>
    </xf>
    <xf numFmtId="0" fontId="19" fillId="26" borderId="0" xfId="0" applyFont="1" applyFill="1" applyBorder="1"/>
    <xf numFmtId="9" fontId="0" fillId="26" borderId="20" xfId="0" applyNumberFormat="1" applyFill="1" applyBorder="1"/>
    <xf numFmtId="10" fontId="0" fillId="27" borderId="0" xfId="0" applyNumberFormat="1" applyFill="1" applyBorder="1"/>
    <xf numFmtId="10" fontId="2" fillId="28" borderId="0" xfId="0" applyNumberFormat="1" applyFont="1" applyFill="1" applyBorder="1"/>
    <xf numFmtId="0" fontId="3" fillId="26" borderId="0" xfId="0" applyFont="1" applyFill="1" applyBorder="1"/>
    <xf numFmtId="0" fontId="3" fillId="0" borderId="19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wrapText="1"/>
    </xf>
    <xf numFmtId="0" fontId="3" fillId="26" borderId="0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168" fontId="0" fillId="0" borderId="0" xfId="1" applyNumberFormat="1" applyFont="1" applyBorder="1" applyAlignment="1">
      <alignment horizontal="center"/>
    </xf>
    <xf numFmtId="168" fontId="3" fillId="0" borderId="0" xfId="1" applyNumberFormat="1" applyFont="1" applyBorder="1" applyAlignment="1">
      <alignment horizontal="center"/>
    </xf>
    <xf numFmtId="0" fontId="5" fillId="18" borderId="19" xfId="4" applyFont="1" applyFill="1" applyBorder="1" applyAlignment="1">
      <alignment horizontal="right"/>
    </xf>
    <xf numFmtId="0" fontId="5" fillId="18" borderId="0" xfId="4" applyFont="1" applyFill="1" applyBorder="1" applyAlignment="1">
      <alignment horizontal="right"/>
    </xf>
    <xf numFmtId="0" fontId="5" fillId="6" borderId="19" xfId="4" applyFont="1" applyFill="1" applyBorder="1" applyAlignment="1">
      <alignment horizontal="right"/>
    </xf>
    <xf numFmtId="0" fontId="5" fillId="6" borderId="0" xfId="4" applyFont="1" applyFill="1" applyBorder="1" applyAlignment="1">
      <alignment horizontal="right"/>
    </xf>
    <xf numFmtId="0" fontId="0" fillId="0" borderId="22" xfId="0" applyBorder="1"/>
    <xf numFmtId="0" fontId="0" fillId="0" borderId="23" xfId="0" applyBorder="1"/>
    <xf numFmtId="1" fontId="0" fillId="0" borderId="1" xfId="0" applyNumberFormat="1" applyBorder="1" applyAlignment="1">
      <alignment horizontal="center"/>
    </xf>
    <xf numFmtId="0" fontId="27" fillId="0" borderId="0" xfId="0" applyFont="1"/>
    <xf numFmtId="3" fontId="2" fillId="2" borderId="0" xfId="0" applyNumberFormat="1" applyFont="1" applyFill="1"/>
    <xf numFmtId="0" fontId="29" fillId="0" borderId="0" xfId="0" applyFont="1"/>
    <xf numFmtId="0" fontId="0" fillId="13" borderId="1" xfId="0" applyFill="1" applyBorder="1"/>
    <xf numFmtId="0" fontId="0" fillId="0" borderId="0" xfId="0" applyAlignment="1">
      <alignment horizontal="left"/>
    </xf>
    <xf numFmtId="166" fontId="0" fillId="27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8" fillId="26" borderId="1" xfId="0" applyFont="1" applyFill="1" applyBorder="1" applyAlignment="1">
      <alignment horizontal="center"/>
    </xf>
    <xf numFmtId="166" fontId="0" fillId="26" borderId="1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32" borderId="0" xfId="0" applyFill="1" applyAlignment="1">
      <alignment horizontal="center"/>
    </xf>
    <xf numFmtId="0" fontId="0" fillId="31" borderId="0" xfId="0" applyFill="1" applyAlignment="1">
      <alignment horizontal="center"/>
    </xf>
    <xf numFmtId="0" fontId="2" fillId="0" borderId="0" xfId="0" applyFont="1"/>
    <xf numFmtId="0" fontId="2" fillId="3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1" borderId="0" xfId="0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166" fontId="2" fillId="0" borderId="0" xfId="0" applyNumberFormat="1" applyFont="1"/>
    <xf numFmtId="0" fontId="3" fillId="30" borderId="0" xfId="0" applyFont="1" applyFill="1" applyAlignment="1">
      <alignment horizontal="center"/>
    </xf>
    <xf numFmtId="166" fontId="3" fillId="26" borderId="0" xfId="0" applyNumberFormat="1" applyFont="1" applyFill="1" applyAlignment="1">
      <alignment horizontal="center"/>
    </xf>
    <xf numFmtId="0" fontId="8" fillId="20" borderId="1" xfId="0" applyFont="1" applyFill="1" applyBorder="1" applyAlignment="1">
      <alignment horizontal="left"/>
    </xf>
    <xf numFmtId="0" fontId="0" fillId="20" borderId="1" xfId="0" applyFill="1" applyBorder="1"/>
    <xf numFmtId="166" fontId="0" fillId="13" borderId="1" xfId="0" applyNumberFormat="1" applyFill="1" applyBorder="1" applyAlignment="1">
      <alignment horizontal="center"/>
    </xf>
    <xf numFmtId="0" fontId="0" fillId="20" borderId="0" xfId="0" applyFill="1"/>
    <xf numFmtId="170" fontId="2" fillId="34" borderId="0" xfId="0" applyNumberFormat="1" applyFont="1" applyFill="1" applyAlignment="1">
      <alignment horizontal="center"/>
    </xf>
    <xf numFmtId="171" fontId="2" fillId="0" borderId="0" xfId="0" applyNumberFormat="1" applyFont="1" applyAlignment="1">
      <alignment horizontal="center"/>
    </xf>
    <xf numFmtId="0" fontId="0" fillId="21" borderId="0" xfId="0" applyFill="1"/>
    <xf numFmtId="166" fontId="3" fillId="26" borderId="1" xfId="0" applyNumberFormat="1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166" fontId="3" fillId="12" borderId="0" xfId="0" applyNumberFormat="1" applyFont="1" applyFill="1" applyAlignment="1">
      <alignment horizontal="center"/>
    </xf>
    <xf numFmtId="166" fontId="3" fillId="33" borderId="0" xfId="0" applyNumberFormat="1" applyFont="1" applyFill="1" applyAlignment="1">
      <alignment horizontal="center"/>
    </xf>
    <xf numFmtId="166" fontId="0" fillId="0" borderId="0" xfId="0" applyNumberFormat="1"/>
    <xf numFmtId="0" fontId="0" fillId="13" borderId="0" xfId="0" applyFill="1"/>
    <xf numFmtId="166" fontId="0" fillId="13" borderId="0" xfId="0" applyNumberFormat="1" applyFill="1" applyAlignment="1">
      <alignment horizontal="center"/>
    </xf>
    <xf numFmtId="166" fontId="0" fillId="35" borderId="0" xfId="0" applyNumberFormat="1" applyFill="1" applyAlignment="1">
      <alignment horizontal="center"/>
    </xf>
    <xf numFmtId="0" fontId="0" fillId="26" borderId="1" xfId="0" applyFill="1" applyBorder="1" applyAlignment="1">
      <alignment horizontal="right"/>
    </xf>
    <xf numFmtId="0" fontId="5" fillId="3" borderId="1" xfId="4" applyFill="1" applyBorder="1" applyAlignment="1">
      <alignment horizontal="right"/>
    </xf>
    <xf numFmtId="0" fontId="5" fillId="2" borderId="1" xfId="4" applyFill="1" applyBorder="1" applyAlignment="1">
      <alignment horizontal="right"/>
    </xf>
    <xf numFmtId="0" fontId="5" fillId="6" borderId="1" xfId="4" applyFill="1" applyBorder="1" applyAlignment="1">
      <alignment horizontal="right"/>
    </xf>
    <xf numFmtId="0" fontId="5" fillId="4" borderId="1" xfId="4" applyFill="1" applyBorder="1" applyAlignment="1">
      <alignment horizontal="right"/>
    </xf>
    <xf numFmtId="0" fontId="0" fillId="0" borderId="1" xfId="0" applyBorder="1" applyAlignment="1">
      <alignment horizontal="right" vertical="top" wrapText="1"/>
    </xf>
    <xf numFmtId="0" fontId="0" fillId="26" borderId="0" xfId="0" applyFill="1" applyBorder="1" applyAlignment="1">
      <alignment horizontal="right"/>
    </xf>
    <xf numFmtId="0" fontId="0" fillId="0" borderId="1" xfId="0" applyBorder="1" applyAlignment="1">
      <alignment horizontal="right" vertical="top"/>
    </xf>
    <xf numFmtId="0" fontId="0" fillId="26" borderId="0" xfId="0" applyFill="1"/>
    <xf numFmtId="0" fontId="3" fillId="26" borderId="0" xfId="0" applyFont="1" applyFill="1" applyAlignment="1">
      <alignment horizontal="center"/>
    </xf>
    <xf numFmtId="2" fontId="0" fillId="26" borderId="0" xfId="0" applyNumberFormat="1" applyFill="1" applyAlignment="1">
      <alignment horizontal="center"/>
    </xf>
    <xf numFmtId="166" fontId="0" fillId="23" borderId="0" xfId="0" applyNumberFormat="1" applyFill="1" applyAlignment="1">
      <alignment horizontal="center"/>
    </xf>
    <xf numFmtId="166" fontId="0" fillId="32" borderId="0" xfId="0" applyNumberFormat="1" applyFill="1" applyAlignment="1">
      <alignment horizontal="center"/>
    </xf>
    <xf numFmtId="0" fontId="8" fillId="26" borderId="2" xfId="0" applyFont="1" applyFill="1" applyBorder="1" applyAlignment="1">
      <alignment horizontal="center"/>
    </xf>
    <xf numFmtId="166" fontId="3" fillId="26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6" fontId="0" fillId="26" borderId="2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0" borderId="0" xfId="1" applyNumberFormat="1" applyFont="1"/>
    <xf numFmtId="166" fontId="0" fillId="35" borderId="0" xfId="0" applyNumberFormat="1" applyFill="1"/>
    <xf numFmtId="0" fontId="0" fillId="35" borderId="0" xfId="0" applyFill="1"/>
    <xf numFmtId="167" fontId="34" fillId="14" borderId="0" xfId="2" applyNumberFormat="1" applyFont="1" applyFill="1" applyBorder="1"/>
    <xf numFmtId="0" fontId="35" fillId="0" borderId="0" xfId="0" applyFont="1"/>
    <xf numFmtId="167" fontId="36" fillId="14" borderId="0" xfId="2" applyNumberFormat="1" applyFont="1" applyFill="1" applyBorder="1"/>
    <xf numFmtId="3" fontId="2" fillId="0" borderId="0" xfId="0" applyNumberFormat="1" applyFont="1"/>
    <xf numFmtId="3" fontId="29" fillId="0" borderId="0" xfId="0" applyNumberFormat="1" applyFont="1"/>
    <xf numFmtId="3" fontId="35" fillId="2" borderId="0" xfId="0" applyNumberFormat="1" applyFont="1" applyFill="1"/>
    <xf numFmtId="3" fontId="35" fillId="3" borderId="0" xfId="0" applyNumberFormat="1" applyFont="1" applyFill="1"/>
    <xf numFmtId="3" fontId="35" fillId="4" borderId="0" xfId="0" applyNumberFormat="1" applyFont="1" applyFill="1"/>
    <xf numFmtId="3" fontId="37" fillId="4" borderId="0" xfId="0" applyNumberFormat="1" applyFont="1" applyFill="1"/>
    <xf numFmtId="3" fontId="37" fillId="5" borderId="0" xfId="0" applyNumberFormat="1" applyFont="1" applyFill="1"/>
    <xf numFmtId="3" fontId="35" fillId="6" borderId="0" xfId="0" applyNumberFormat="1" applyFont="1" applyFill="1"/>
    <xf numFmtId="3" fontId="35" fillId="0" borderId="0" xfId="0" applyNumberFormat="1" applyFont="1"/>
    <xf numFmtId="3" fontId="38" fillId="0" borderId="0" xfId="0" applyNumberFormat="1" applyFont="1"/>
    <xf numFmtId="3" fontId="2" fillId="17" borderId="0" xfId="0" applyNumberFormat="1" applyFont="1" applyFill="1"/>
    <xf numFmtId="0" fontId="3" fillId="0" borderId="1" xfId="0" applyFont="1" applyBorder="1" applyAlignment="1">
      <alignment horizontal="center"/>
    </xf>
    <xf numFmtId="168" fontId="0" fillId="0" borderId="0" xfId="1" applyNumberFormat="1" applyFont="1"/>
    <xf numFmtId="166" fontId="8" fillId="26" borderId="1" xfId="0" applyNumberFormat="1" applyFont="1" applyFill="1" applyBorder="1" applyAlignment="1">
      <alignment horizontal="center"/>
    </xf>
    <xf numFmtId="166" fontId="8" fillId="26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0" borderId="1" xfId="0" applyFont="1" applyFill="1" applyBorder="1"/>
    <xf numFmtId="0" fontId="0" fillId="30" borderId="0" xfId="0" applyFill="1"/>
    <xf numFmtId="0" fontId="28" fillId="35" borderId="1" xfId="0" applyFont="1" applyFill="1" applyBorder="1"/>
    <xf numFmtId="168" fontId="2" fillId="0" borderId="0" xfId="1" applyNumberFormat="1" applyFont="1"/>
    <xf numFmtId="168" fontId="18" fillId="27" borderId="0" xfId="1" applyNumberFormat="1" applyFont="1" applyFill="1"/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/>
    <xf numFmtId="1" fontId="0" fillId="0" borderId="0" xfId="0" applyNumberFormat="1" applyFont="1" applyBorder="1" applyAlignment="1">
      <alignment horizontal="center"/>
    </xf>
    <xf numFmtId="3" fontId="2" fillId="36" borderId="0" xfId="0" applyNumberFormat="1" applyFont="1" applyFill="1"/>
    <xf numFmtId="10" fontId="3" fillId="0" borderId="0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/>
    </xf>
    <xf numFmtId="10" fontId="20" fillId="26" borderId="1" xfId="1" applyNumberFormat="1" applyFont="1" applyFill="1" applyBorder="1" applyAlignment="1">
      <alignment horizontal="center" vertical="center" wrapText="1"/>
    </xf>
    <xf numFmtId="10" fontId="39" fillId="26" borderId="1" xfId="1" applyNumberFormat="1" applyFont="1" applyFill="1" applyBorder="1" applyAlignment="1">
      <alignment horizontal="center" vertical="center" wrapText="1"/>
    </xf>
    <xf numFmtId="9" fontId="20" fillId="26" borderId="1" xfId="1" applyNumberFormat="1" applyFont="1" applyFill="1" applyBorder="1" applyAlignment="1">
      <alignment horizontal="center" vertical="center" wrapText="1"/>
    </xf>
    <xf numFmtId="9" fontId="39" fillId="26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6" fontId="0" fillId="31" borderId="0" xfId="0" applyNumberFormat="1" applyFill="1" applyAlignment="1">
      <alignment horizontal="center"/>
    </xf>
    <xf numFmtId="166" fontId="3" fillId="31" borderId="0" xfId="0" applyNumberFormat="1" applyFont="1" applyFill="1" applyAlignment="1">
      <alignment horizontal="center"/>
    </xf>
    <xf numFmtId="166" fontId="0" fillId="31" borderId="0" xfId="0" applyNumberFormat="1" applyFill="1"/>
    <xf numFmtId="166" fontId="0" fillId="27" borderId="0" xfId="0" applyNumberFormat="1" applyFill="1"/>
    <xf numFmtId="0" fontId="0" fillId="0" borderId="25" xfId="0" applyFill="1" applyBorder="1" applyAlignment="1">
      <alignment horizontal="right" vertical="top"/>
    </xf>
    <xf numFmtId="10" fontId="39" fillId="18" borderId="1" xfId="1" applyNumberFormat="1" applyFont="1" applyFill="1" applyBorder="1" applyAlignment="1">
      <alignment horizontal="center" vertical="center" wrapText="1"/>
    </xf>
    <xf numFmtId="0" fontId="0" fillId="29" borderId="0" xfId="0" applyFill="1"/>
    <xf numFmtId="44" fontId="0" fillId="29" borderId="0" xfId="6" applyFont="1" applyFill="1"/>
    <xf numFmtId="174" fontId="0" fillId="29" borderId="0" xfId="0" applyNumberFormat="1" applyFill="1"/>
    <xf numFmtId="169" fontId="0" fillId="27" borderId="0" xfId="0" applyNumberFormat="1" applyFill="1" applyBorder="1"/>
    <xf numFmtId="168" fontId="0" fillId="27" borderId="0" xfId="0" applyNumberFormat="1" applyFill="1" applyBorder="1"/>
    <xf numFmtId="0" fontId="35" fillId="26" borderId="0" xfId="0" applyFont="1" applyFill="1" applyBorder="1"/>
    <xf numFmtId="166" fontId="46" fillId="0" borderId="0" xfId="0" applyNumberFormat="1" applyFont="1" applyAlignment="1">
      <alignment horizontal="center"/>
    </xf>
    <xf numFmtId="0" fontId="5" fillId="4" borderId="0" xfId="4" applyFont="1" applyFill="1" applyBorder="1" applyAlignment="1">
      <alignment horizontal="right"/>
    </xf>
    <xf numFmtId="169" fontId="3" fillId="0" borderId="0" xfId="1" applyNumberFormat="1" applyFont="1" applyBorder="1" applyAlignment="1">
      <alignment horizontal="center"/>
    </xf>
    <xf numFmtId="0" fontId="5" fillId="4" borderId="19" xfId="4" applyFont="1" applyFill="1" applyBorder="1" applyAlignment="1">
      <alignment horizontal="right"/>
    </xf>
    <xf numFmtId="0" fontId="0" fillId="0" borderId="21" xfId="0" applyBorder="1"/>
    <xf numFmtId="0" fontId="0" fillId="31" borderId="22" xfId="0" applyFill="1" applyBorder="1" applyAlignment="1">
      <alignment horizontal="right"/>
    </xf>
    <xf numFmtId="168" fontId="0" fillId="0" borderId="22" xfId="1" applyNumberFormat="1" applyFont="1" applyFill="1" applyBorder="1" applyAlignment="1">
      <alignment horizontal="center"/>
    </xf>
    <xf numFmtId="174" fontId="3" fillId="35" borderId="0" xfId="0" applyNumberFormat="1" applyFont="1" applyFill="1" applyAlignment="1">
      <alignment horizontal="center"/>
    </xf>
    <xf numFmtId="174" fontId="3" fillId="29" borderId="0" xfId="0" applyNumberFormat="1" applyFont="1" applyFill="1" applyAlignment="1">
      <alignment horizontal="center"/>
    </xf>
    <xf numFmtId="169" fontId="3" fillId="0" borderId="22" xfId="1" applyNumberFormat="1" applyFont="1" applyFill="1" applyBorder="1" applyAlignment="1">
      <alignment horizontal="center"/>
    </xf>
    <xf numFmtId="0" fontId="3" fillId="26" borderId="0" xfId="0" applyFont="1" applyFill="1" applyBorder="1" applyAlignment="1">
      <alignment horizontal="right"/>
    </xf>
    <xf numFmtId="44" fontId="2" fillId="29" borderId="0" xfId="6" applyFont="1" applyFill="1"/>
    <xf numFmtId="174" fontId="2" fillId="29" borderId="0" xfId="0" applyNumberFormat="1" applyFont="1" applyFill="1"/>
    <xf numFmtId="0" fontId="2" fillId="29" borderId="0" xfId="0" applyFont="1" applyFill="1" applyAlignment="1">
      <alignment horizontal="right"/>
    </xf>
    <xf numFmtId="166" fontId="0" fillId="0" borderId="1" xfId="0" applyNumberFormat="1" applyBorder="1"/>
    <xf numFmtId="44" fontId="0" fillId="0" borderId="0" xfId="0" applyNumberFormat="1"/>
    <xf numFmtId="10" fontId="0" fillId="0" borderId="1" xfId="1" applyNumberFormat="1" applyFont="1" applyBorder="1"/>
    <xf numFmtId="169" fontId="0" fillId="0" borderId="1" xfId="1" applyNumberFormat="1" applyFont="1" applyBorder="1"/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left"/>
    </xf>
    <xf numFmtId="166" fontId="0" fillId="0" borderId="17" xfId="0" applyNumberFormat="1" applyBorder="1"/>
    <xf numFmtId="44" fontId="0" fillId="0" borderId="0" xfId="0" applyNumberFormat="1" applyBorder="1"/>
    <xf numFmtId="168" fontId="22" fillId="0" borderId="0" xfId="1" applyNumberFormat="1" applyFont="1" applyAlignment="1">
      <alignment horizontal="center"/>
    </xf>
    <xf numFmtId="10" fontId="0" fillId="0" borderId="0" xfId="1" applyNumberFormat="1" applyFont="1"/>
    <xf numFmtId="0" fontId="28" fillId="35" borderId="7" xfId="0" applyFont="1" applyFill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0" xfId="0" applyFont="1"/>
    <xf numFmtId="0" fontId="3" fillId="0" borderId="1" xfId="0" applyFont="1" applyBorder="1"/>
    <xf numFmtId="10" fontId="3" fillId="0" borderId="1" xfId="1" applyNumberFormat="1" applyFont="1" applyBorder="1"/>
    <xf numFmtId="0" fontId="49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Alignment="1">
      <alignment horizontal="left" indent="1"/>
    </xf>
    <xf numFmtId="0" fontId="44" fillId="26" borderId="0" xfId="8" applyFont="1" applyFill="1"/>
    <xf numFmtId="2" fontId="44" fillId="26" borderId="0" xfId="8" applyNumberFormat="1" applyFont="1" applyFill="1"/>
    <xf numFmtId="9" fontId="44" fillId="26" borderId="0" xfId="1" applyFont="1" applyFill="1"/>
    <xf numFmtId="0" fontId="53" fillId="26" borderId="0" xfId="8" applyFont="1" applyFill="1"/>
    <xf numFmtId="0" fontId="54" fillId="20" borderId="38" xfId="0" applyFont="1" applyFill="1" applyBorder="1" applyAlignment="1">
      <alignment vertical="center"/>
    </xf>
    <xf numFmtId="0" fontId="45" fillId="27" borderId="16" xfId="0" applyFont="1" applyFill="1" applyBorder="1"/>
    <xf numFmtId="0" fontId="44" fillId="27" borderId="17" xfId="0" applyFont="1" applyFill="1" applyBorder="1"/>
    <xf numFmtId="0" fontId="44" fillId="26" borderId="18" xfId="8" applyFont="1" applyFill="1" applyBorder="1"/>
    <xf numFmtId="0" fontId="44" fillId="26" borderId="16" xfId="8" applyFont="1" applyFill="1" applyBorder="1"/>
    <xf numFmtId="0" fontId="44" fillId="26" borderId="17" xfId="8" applyFont="1" applyFill="1" applyBorder="1"/>
    <xf numFmtId="0" fontId="44" fillId="26" borderId="0" xfId="8" applyFont="1" applyFill="1" applyBorder="1"/>
    <xf numFmtId="0" fontId="44" fillId="26" borderId="0" xfId="8" applyFont="1" applyFill="1" applyAlignment="1">
      <alignment horizontal="center"/>
    </xf>
    <xf numFmtId="0" fontId="44" fillId="27" borderId="0" xfId="8" applyFont="1" applyFill="1" applyAlignment="1">
      <alignment horizontal="center"/>
    </xf>
    <xf numFmtId="0" fontId="44" fillId="27" borderId="0" xfId="8" applyFont="1" applyFill="1"/>
    <xf numFmtId="0" fontId="44" fillId="0" borderId="0" xfId="8" applyFont="1" applyFill="1"/>
    <xf numFmtId="9" fontId="44" fillId="0" borderId="0" xfId="1" applyFont="1" applyFill="1"/>
    <xf numFmtId="0" fontId="44" fillId="26" borderId="19" xfId="0" applyFont="1" applyFill="1" applyBorder="1"/>
    <xf numFmtId="0" fontId="44" fillId="26" borderId="0" xfId="0" applyFont="1" applyFill="1" applyBorder="1"/>
    <xf numFmtId="0" fontId="44" fillId="26" borderId="20" xfId="8" applyFont="1" applyFill="1" applyBorder="1"/>
    <xf numFmtId="0" fontId="44" fillId="26" borderId="19" xfId="8" applyFont="1" applyFill="1" applyBorder="1"/>
    <xf numFmtId="0" fontId="45" fillId="26" borderId="19" xfId="0" applyFont="1" applyFill="1" applyBorder="1"/>
    <xf numFmtId="0" fontId="45" fillId="26" borderId="26" xfId="0" applyFont="1" applyFill="1" applyBorder="1" applyAlignment="1">
      <alignment horizontal="center"/>
    </xf>
    <xf numFmtId="0" fontId="44" fillId="26" borderId="39" xfId="8" applyFont="1" applyFill="1" applyBorder="1"/>
    <xf numFmtId="0" fontId="44" fillId="26" borderId="26" xfId="8" applyFont="1" applyFill="1" applyBorder="1"/>
    <xf numFmtId="0" fontId="45" fillId="26" borderId="40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164" fontId="48" fillId="0" borderId="0" xfId="8" applyNumberFormat="1" applyFont="1" applyFill="1" applyBorder="1"/>
    <xf numFmtId="176" fontId="44" fillId="26" borderId="0" xfId="0" applyNumberFormat="1" applyFont="1" applyFill="1" applyBorder="1" applyAlignment="1">
      <alignment horizontal="center"/>
    </xf>
    <xf numFmtId="44" fontId="55" fillId="26" borderId="19" xfId="6" applyFont="1" applyFill="1" applyBorder="1"/>
    <xf numFmtId="44" fontId="55" fillId="26" borderId="0" xfId="6" applyFont="1" applyFill="1" applyBorder="1"/>
    <xf numFmtId="44" fontId="55" fillId="26" borderId="20" xfId="6" applyFont="1" applyFill="1" applyBorder="1"/>
    <xf numFmtId="0" fontId="45" fillId="26" borderId="0" xfId="0" applyFont="1" applyFill="1" applyBorder="1"/>
    <xf numFmtId="2" fontId="45" fillId="26" borderId="0" xfId="0" applyNumberFormat="1" applyFont="1" applyFill="1" applyBorder="1" applyAlignment="1">
      <alignment horizontal="center"/>
    </xf>
    <xf numFmtId="0" fontId="45" fillId="26" borderId="20" xfId="8" applyFont="1" applyFill="1" applyBorder="1"/>
    <xf numFmtId="0" fontId="45" fillId="26" borderId="0" xfId="8" applyFont="1" applyFill="1"/>
    <xf numFmtId="2" fontId="56" fillId="26" borderId="19" xfId="0" applyNumberFormat="1" applyFont="1" applyFill="1" applyBorder="1" applyAlignment="1">
      <alignment horizontal="center"/>
    </xf>
    <xf numFmtId="2" fontId="56" fillId="26" borderId="0" xfId="0" applyNumberFormat="1" applyFont="1" applyFill="1" applyBorder="1" applyAlignment="1">
      <alignment horizontal="center"/>
    </xf>
    <xf numFmtId="2" fontId="56" fillId="26" borderId="20" xfId="0" applyNumberFormat="1" applyFont="1" applyFill="1" applyBorder="1" applyAlignment="1">
      <alignment horizontal="center"/>
    </xf>
    <xf numFmtId="0" fontId="44" fillId="26" borderId="19" xfId="0" applyFont="1" applyFill="1" applyBorder="1" applyAlignment="1">
      <alignment horizontal="right"/>
    </xf>
    <xf numFmtId="2" fontId="44" fillId="26" borderId="0" xfId="0" applyNumberFormat="1" applyFont="1" applyFill="1" applyBorder="1" applyAlignment="1">
      <alignment horizontal="center"/>
    </xf>
    <xf numFmtId="2" fontId="55" fillId="26" borderId="19" xfId="0" applyNumberFormat="1" applyFont="1" applyFill="1" applyBorder="1" applyAlignment="1">
      <alignment horizontal="center"/>
    </xf>
    <xf numFmtId="2" fontId="55" fillId="26" borderId="0" xfId="0" applyNumberFormat="1" applyFont="1" applyFill="1" applyBorder="1" applyAlignment="1">
      <alignment horizontal="center"/>
    </xf>
    <xf numFmtId="2" fontId="55" fillId="26" borderId="20" xfId="0" applyNumberFormat="1" applyFont="1" applyFill="1" applyBorder="1" applyAlignment="1">
      <alignment horizontal="center"/>
    </xf>
    <xf numFmtId="0" fontId="44" fillId="39" borderId="0" xfId="8" applyFont="1" applyFill="1" applyAlignment="1">
      <alignment horizontal="right"/>
    </xf>
    <xf numFmtId="2" fontId="44" fillId="39" borderId="0" xfId="8" applyNumberFormat="1" applyFont="1" applyFill="1"/>
    <xf numFmtId="0" fontId="44" fillId="38" borderId="19" xfId="0" applyFont="1" applyFill="1" applyBorder="1" applyAlignment="1">
      <alignment horizontal="right"/>
    </xf>
    <xf numFmtId="0" fontId="44" fillId="38" borderId="0" xfId="0" applyFont="1" applyFill="1" applyBorder="1"/>
    <xf numFmtId="2" fontId="44" fillId="38" borderId="0" xfId="0" applyNumberFormat="1" applyFont="1" applyFill="1" applyBorder="1" applyAlignment="1">
      <alignment horizontal="center"/>
    </xf>
    <xf numFmtId="2" fontId="55" fillId="26" borderId="19" xfId="8" applyNumberFormat="1" applyFont="1" applyFill="1" applyBorder="1"/>
    <xf numFmtId="2" fontId="55" fillId="26" borderId="0" xfId="8" applyNumberFormat="1" applyFont="1" applyFill="1" applyBorder="1"/>
    <xf numFmtId="2" fontId="55" fillId="26" borderId="20" xfId="8" applyNumberFormat="1" applyFont="1" applyFill="1" applyBorder="1"/>
    <xf numFmtId="0" fontId="57" fillId="38" borderId="19" xfId="0" applyFont="1" applyFill="1" applyBorder="1" applyAlignment="1">
      <alignment horizontal="right"/>
    </xf>
    <xf numFmtId="2" fontId="57" fillId="38" borderId="0" xfId="0" applyNumberFormat="1" applyFont="1" applyFill="1" applyBorder="1" applyAlignment="1">
      <alignment horizontal="center"/>
    </xf>
    <xf numFmtId="0" fontId="45" fillId="26" borderId="19" xfId="0" applyFont="1" applyFill="1" applyBorder="1" applyAlignment="1">
      <alignment horizontal="right"/>
    </xf>
    <xf numFmtId="0" fontId="58" fillId="39" borderId="19" xfId="0" applyFont="1" applyFill="1" applyBorder="1" applyAlignment="1">
      <alignment horizontal="right"/>
    </xf>
    <xf numFmtId="0" fontId="58" fillId="39" borderId="0" xfId="0" applyFont="1" applyFill="1" applyBorder="1"/>
    <xf numFmtId="2" fontId="58" fillId="39" borderId="0" xfId="0" applyNumberFormat="1" applyFont="1" applyFill="1" applyBorder="1" applyAlignment="1">
      <alignment horizontal="center"/>
    </xf>
    <xf numFmtId="9" fontId="44" fillId="26" borderId="0" xfId="9" applyFont="1" applyFill="1" applyBorder="1" applyAlignment="1">
      <alignment horizontal="center"/>
    </xf>
    <xf numFmtId="0" fontId="45" fillId="16" borderId="19" xfId="0" applyFont="1" applyFill="1" applyBorder="1"/>
    <xf numFmtId="0" fontId="45" fillId="16" borderId="0" xfId="0" applyFont="1" applyFill="1" applyBorder="1"/>
    <xf numFmtId="2" fontId="45" fillId="16" borderId="0" xfId="0" applyNumberFormat="1" applyFont="1" applyFill="1" applyBorder="1" applyAlignment="1">
      <alignment horizontal="center"/>
    </xf>
    <xf numFmtId="0" fontId="44" fillId="16" borderId="19" xfId="0" applyFont="1" applyFill="1" applyBorder="1" applyAlignment="1">
      <alignment horizontal="right"/>
    </xf>
    <xf numFmtId="2" fontId="44" fillId="16" borderId="0" xfId="0" applyNumberFormat="1" applyFont="1" applyFill="1" applyBorder="1" applyAlignment="1">
      <alignment horizontal="center"/>
    </xf>
    <xf numFmtId="2" fontId="44" fillId="26" borderId="0" xfId="8" applyNumberFormat="1" applyFont="1" applyFill="1" applyBorder="1"/>
    <xf numFmtId="177" fontId="44" fillId="26" borderId="0" xfId="8" applyNumberFormat="1" applyFont="1" applyFill="1" applyBorder="1"/>
    <xf numFmtId="0" fontId="44" fillId="16" borderId="19" xfId="0" applyFont="1" applyFill="1" applyBorder="1"/>
    <xf numFmtId="174" fontId="44" fillId="16" borderId="0" xfId="10" applyNumberFormat="1" applyFont="1" applyFill="1" applyBorder="1"/>
    <xf numFmtId="174" fontId="45" fillId="16" borderId="0" xfId="10" applyNumberFormat="1" applyFont="1" applyFill="1" applyBorder="1"/>
    <xf numFmtId="174" fontId="44" fillId="26" borderId="0" xfId="10" applyNumberFormat="1" applyFont="1" applyFill="1" applyBorder="1"/>
    <xf numFmtId="44" fontId="44" fillId="26" borderId="0" xfId="10" applyNumberFormat="1" applyFont="1" applyFill="1" applyBorder="1"/>
    <xf numFmtId="0" fontId="44" fillId="20" borderId="19" xfId="0" applyFont="1" applyFill="1" applyBorder="1"/>
    <xf numFmtId="0" fontId="45" fillId="20" borderId="0" xfId="0" applyFont="1" applyFill="1" applyBorder="1" applyAlignment="1">
      <alignment horizontal="right"/>
    </xf>
    <xf numFmtId="44" fontId="44" fillId="28" borderId="0" xfId="10" applyNumberFormat="1" applyFont="1" applyFill="1" applyBorder="1"/>
    <xf numFmtId="174" fontId="44" fillId="28" borderId="0" xfId="10" applyNumberFormat="1" applyFont="1" applyFill="1" applyBorder="1"/>
    <xf numFmtId="0" fontId="55" fillId="25" borderId="21" xfId="0" applyFont="1" applyFill="1" applyBorder="1"/>
    <xf numFmtId="174" fontId="55" fillId="25" borderId="22" xfId="10" applyNumberFormat="1" applyFont="1" applyFill="1" applyBorder="1"/>
    <xf numFmtId="0" fontId="55" fillId="26" borderId="22" xfId="0" applyFont="1" applyFill="1" applyBorder="1"/>
    <xf numFmtId="0" fontId="44" fillId="26" borderId="23" xfId="8" applyFont="1" applyFill="1" applyBorder="1"/>
    <xf numFmtId="0" fontId="44" fillId="26" borderId="21" xfId="8" applyFont="1" applyFill="1" applyBorder="1"/>
    <xf numFmtId="0" fontId="44" fillId="26" borderId="22" xfId="8" applyFont="1" applyFill="1" applyBorder="1"/>
    <xf numFmtId="0" fontId="59" fillId="26" borderId="0" xfId="0" applyFont="1" applyFill="1"/>
    <xf numFmtId="0" fontId="59" fillId="26" borderId="0" xfId="8" applyFont="1" applyFill="1" applyBorder="1"/>
    <xf numFmtId="0" fontId="44" fillId="26" borderId="16" xfId="0" applyFont="1" applyFill="1" applyBorder="1"/>
    <xf numFmtId="0" fontId="59" fillId="26" borderId="17" xfId="0" applyFont="1" applyFill="1" applyBorder="1"/>
    <xf numFmtId="1" fontId="59" fillId="26" borderId="17" xfId="0" applyNumberFormat="1" applyFont="1" applyFill="1" applyBorder="1"/>
    <xf numFmtId="0" fontId="59" fillId="26" borderId="18" xfId="8" applyFont="1" applyFill="1" applyBorder="1"/>
    <xf numFmtId="0" fontId="55" fillId="26" borderId="0" xfId="8" applyFont="1" applyFill="1" applyBorder="1"/>
    <xf numFmtId="174" fontId="55" fillId="26" borderId="0" xfId="8" applyNumberFormat="1" applyFont="1" applyFill="1" applyBorder="1"/>
    <xf numFmtId="174" fontId="55" fillId="26" borderId="0" xfId="8" applyNumberFormat="1" applyFont="1" applyFill="1"/>
    <xf numFmtId="0" fontId="55" fillId="26" borderId="0" xfId="8" applyFont="1" applyFill="1"/>
    <xf numFmtId="0" fontId="59" fillId="26" borderId="0" xfId="0" applyFont="1" applyFill="1" applyBorder="1"/>
    <xf numFmtId="1" fontId="59" fillId="26" borderId="0" xfId="0" applyNumberFormat="1" applyFont="1" applyFill="1" applyBorder="1"/>
    <xf numFmtId="0" fontId="59" fillId="26" borderId="20" xfId="8" applyFont="1" applyFill="1" applyBorder="1"/>
    <xf numFmtId="0" fontId="60" fillId="26" borderId="0" xfId="0" applyFont="1" applyFill="1" applyBorder="1"/>
    <xf numFmtId="0" fontId="45" fillId="27" borderId="21" xfId="0" applyFont="1" applyFill="1" applyBorder="1"/>
    <xf numFmtId="1" fontId="61" fillId="27" borderId="22" xfId="0" applyNumberFormat="1" applyFont="1" applyFill="1" applyBorder="1"/>
    <xf numFmtId="0" fontId="59" fillId="27" borderId="22" xfId="0" applyFont="1" applyFill="1" applyBorder="1"/>
    <xf numFmtId="0" fontId="44" fillId="27" borderId="23" xfId="8" applyFont="1" applyFill="1" applyBorder="1"/>
    <xf numFmtId="1" fontId="61" fillId="26" borderId="0" xfId="0" applyNumberFormat="1" applyFont="1" applyFill="1" applyBorder="1"/>
    <xf numFmtId="176" fontId="55" fillId="26" borderId="0" xfId="8" applyNumberFormat="1" applyFont="1" applyFill="1" applyBorder="1"/>
    <xf numFmtId="1" fontId="55" fillId="26" borderId="0" xfId="8" applyNumberFormat="1" applyFont="1" applyFill="1" applyBorder="1"/>
    <xf numFmtId="0" fontId="54" fillId="26" borderId="0" xfId="0" applyFont="1" applyFill="1" applyBorder="1" applyAlignment="1">
      <alignment vertical="center" wrapText="1"/>
    </xf>
    <xf numFmtId="168" fontId="54" fillId="26" borderId="0" xfId="0" applyNumberFormat="1" applyFont="1" applyFill="1" applyBorder="1" applyAlignment="1">
      <alignment horizontal="center" vertical="center" wrapText="1"/>
    </xf>
    <xf numFmtId="3" fontId="55" fillId="26" borderId="0" xfId="8" applyNumberFormat="1" applyFont="1" applyFill="1" applyBorder="1"/>
    <xf numFmtId="3" fontId="44" fillId="26" borderId="0" xfId="8" applyNumberFormat="1" applyFont="1" applyFill="1" applyBorder="1"/>
    <xf numFmtId="10" fontId="44" fillId="26" borderId="0" xfId="1" applyNumberFormat="1" applyFont="1" applyFill="1" applyBorder="1"/>
    <xf numFmtId="0" fontId="55" fillId="26" borderId="0" xfId="0" applyFont="1" applyFill="1" applyBorder="1"/>
    <xf numFmtId="174" fontId="55" fillId="26" borderId="0" xfId="10" applyNumberFormat="1" applyFont="1" applyFill="1" applyBorder="1"/>
    <xf numFmtId="0" fontId="53" fillId="26" borderId="0" xfId="0" applyFont="1" applyFill="1" applyBorder="1"/>
    <xf numFmtId="0" fontId="44" fillId="20" borderId="0" xfId="8" applyFont="1" applyFill="1"/>
    <xf numFmtId="0" fontId="54" fillId="20" borderId="0" xfId="0" applyFont="1" applyFill="1" applyBorder="1" applyAlignment="1">
      <alignment horizontal="center" vertical="center" wrapText="1"/>
    </xf>
    <xf numFmtId="0" fontId="43" fillId="20" borderId="34" xfId="0" applyFont="1" applyFill="1" applyBorder="1" applyAlignment="1">
      <alignment horizontal="center" vertical="center" wrapText="1"/>
    </xf>
    <xf numFmtId="0" fontId="54" fillId="33" borderId="47" xfId="0" applyFont="1" applyFill="1" applyBorder="1" applyAlignment="1">
      <alignment vertical="center" wrapText="1"/>
    </xf>
    <xf numFmtId="3" fontId="54" fillId="33" borderId="46" xfId="0" applyNumberFormat="1" applyFont="1" applyFill="1" applyBorder="1" applyAlignment="1">
      <alignment horizontal="center" vertical="center" wrapText="1"/>
    </xf>
    <xf numFmtId="0" fontId="54" fillId="22" borderId="38" xfId="0" applyFont="1" applyFill="1" applyBorder="1" applyAlignment="1">
      <alignment vertical="center" wrapText="1"/>
    </xf>
    <xf numFmtId="3" fontId="54" fillId="22" borderId="38" xfId="0" applyNumberFormat="1" applyFont="1" applyFill="1" applyBorder="1" applyAlignment="1">
      <alignment horizontal="center" vertical="center" wrapText="1"/>
    </xf>
    <xf numFmtId="3" fontId="54" fillId="22" borderId="29" xfId="0" applyNumberFormat="1" applyFont="1" applyFill="1" applyBorder="1" applyAlignment="1">
      <alignment horizontal="center" vertical="center" wrapText="1"/>
    </xf>
    <xf numFmtId="0" fontId="54" fillId="20" borderId="47" xfId="0" applyFont="1" applyFill="1" applyBorder="1" applyAlignment="1">
      <alignment vertical="center" wrapText="1"/>
    </xf>
    <xf numFmtId="3" fontId="54" fillId="20" borderId="47" xfId="0" applyNumberFormat="1" applyFont="1" applyFill="1" applyBorder="1" applyAlignment="1">
      <alignment horizontal="center" vertical="center" wrapText="1"/>
    </xf>
    <xf numFmtId="3" fontId="54" fillId="20" borderId="37" xfId="0" applyNumberFormat="1" applyFont="1" applyFill="1" applyBorder="1" applyAlignment="1">
      <alignment horizontal="center" vertical="center" wrapText="1"/>
    </xf>
    <xf numFmtId="0" fontId="54" fillId="20" borderId="34" xfId="0" applyFont="1" applyFill="1" applyBorder="1" applyAlignment="1">
      <alignment vertical="center" wrapText="1"/>
    </xf>
    <xf numFmtId="168" fontId="54" fillId="20" borderId="34" xfId="0" applyNumberFormat="1" applyFont="1" applyFill="1" applyBorder="1" applyAlignment="1">
      <alignment horizontal="center" vertical="center" wrapText="1"/>
    </xf>
    <xf numFmtId="0" fontId="44" fillId="26" borderId="0" xfId="0" applyFont="1" applyFill="1"/>
    <xf numFmtId="0" fontId="44" fillId="27" borderId="17" xfId="0" applyFont="1" applyFill="1" applyBorder="1" applyAlignment="1">
      <alignment horizontal="right"/>
    </xf>
    <xf numFmtId="0" fontId="45" fillId="26" borderId="40" xfId="0" applyFont="1" applyFill="1" applyBorder="1"/>
    <xf numFmtId="0" fontId="45" fillId="20" borderId="26" xfId="0" applyFont="1" applyFill="1" applyBorder="1" applyAlignment="1">
      <alignment horizontal="right"/>
    </xf>
    <xf numFmtId="0" fontId="43" fillId="0" borderId="0" xfId="0" applyFont="1" applyBorder="1" applyAlignment="1">
      <alignment vertical="center" wrapText="1"/>
    </xf>
    <xf numFmtId="168" fontId="54" fillId="0" borderId="0" xfId="0" applyNumberFormat="1" applyFont="1" applyBorder="1" applyAlignment="1">
      <alignment horizontal="center" vertical="center" wrapText="1"/>
    </xf>
    <xf numFmtId="168" fontId="54" fillId="27" borderId="0" xfId="0" applyNumberFormat="1" applyFont="1" applyFill="1" applyBorder="1" applyAlignment="1">
      <alignment horizontal="center" vertical="center" wrapText="1"/>
    </xf>
    <xf numFmtId="0" fontId="43" fillId="40" borderId="51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vertical="center" wrapText="1"/>
    </xf>
    <xf numFmtId="0" fontId="54" fillId="0" borderId="48" xfId="0" applyFont="1" applyBorder="1" applyAlignment="1">
      <alignment horizontal="center" vertical="center" wrapText="1"/>
    </xf>
    <xf numFmtId="3" fontId="54" fillId="0" borderId="48" xfId="0" applyNumberFormat="1" applyFont="1" applyBorder="1" applyAlignment="1">
      <alignment horizontal="center" vertical="center" wrapText="1"/>
    </xf>
    <xf numFmtId="0" fontId="43" fillId="0" borderId="50" xfId="0" applyFont="1" applyBorder="1" applyAlignment="1">
      <alignment vertical="center" wrapText="1"/>
    </xf>
    <xf numFmtId="3" fontId="54" fillId="26" borderId="51" xfId="0" applyNumberFormat="1" applyFont="1" applyFill="1" applyBorder="1" applyAlignment="1">
      <alignment horizontal="center" vertical="center" wrapText="1"/>
    </xf>
    <xf numFmtId="168" fontId="54" fillId="0" borderId="51" xfId="0" applyNumberFormat="1" applyFont="1" applyBorder="1" applyAlignment="1">
      <alignment horizontal="center" vertical="center" wrapText="1"/>
    </xf>
    <xf numFmtId="168" fontId="44" fillId="26" borderId="0" xfId="1" applyNumberFormat="1" applyFont="1" applyFill="1"/>
    <xf numFmtId="0" fontId="45" fillId="40" borderId="23" xfId="0" applyFont="1" applyFill="1" applyBorder="1" applyAlignment="1">
      <alignment horizontal="center" vertical="center" wrapText="1"/>
    </xf>
    <xf numFmtId="0" fontId="45" fillId="0" borderId="36" xfId="0" applyFont="1" applyBorder="1" applyAlignment="1">
      <alignment vertical="center" wrapText="1"/>
    </xf>
    <xf numFmtId="0" fontId="44" fillId="0" borderId="23" xfId="0" applyFont="1" applyBorder="1" applyAlignment="1">
      <alignment horizontal="center" vertical="center" wrapText="1"/>
    </xf>
    <xf numFmtId="0" fontId="44" fillId="28" borderId="23" xfId="0" applyFont="1" applyFill="1" applyBorder="1" applyAlignment="1">
      <alignment horizontal="center" vertical="center" wrapText="1"/>
    </xf>
    <xf numFmtId="176" fontId="44" fillId="26" borderId="0" xfId="8" applyNumberFormat="1" applyFont="1" applyFill="1"/>
    <xf numFmtId="178" fontId="44" fillId="28" borderId="0" xfId="8" applyNumberFormat="1" applyFont="1" applyFill="1"/>
    <xf numFmtId="9" fontId="2" fillId="0" borderId="0" xfId="1" applyFont="1"/>
    <xf numFmtId="2" fontId="45" fillId="33" borderId="0" xfId="0" applyNumberFormat="1" applyFont="1" applyFill="1" applyBorder="1" applyAlignment="1">
      <alignment horizontal="center"/>
    </xf>
    <xf numFmtId="9" fontId="0" fillId="33" borderId="0" xfId="1" applyFont="1" applyFill="1"/>
    <xf numFmtId="3" fontId="33" fillId="26" borderId="0" xfId="0" applyNumberFormat="1" applyFont="1" applyFill="1"/>
    <xf numFmtId="0" fontId="39" fillId="18" borderId="1" xfId="0" applyFont="1" applyFill="1" applyBorder="1" applyAlignment="1">
      <alignment horizontal="center" vertical="center" wrapText="1"/>
    </xf>
    <xf numFmtId="0" fontId="39" fillId="18" borderId="29" xfId="0" applyFont="1" applyFill="1" applyBorder="1" applyAlignment="1">
      <alignment horizontal="center" vertical="center" wrapText="1"/>
    </xf>
    <xf numFmtId="0" fontId="39" fillId="26" borderId="28" xfId="0" applyFont="1" applyFill="1" applyBorder="1" applyAlignment="1">
      <alignment horizontal="center" vertical="center" wrapText="1"/>
    </xf>
    <xf numFmtId="10" fontId="39" fillId="18" borderId="29" xfId="1" applyNumberFormat="1" applyFont="1" applyFill="1" applyBorder="1" applyAlignment="1">
      <alignment horizontal="center" vertical="center" wrapText="1"/>
    </xf>
    <xf numFmtId="10" fontId="20" fillId="18" borderId="1" xfId="1" applyNumberFormat="1" applyFont="1" applyFill="1" applyBorder="1" applyAlignment="1">
      <alignment horizontal="center" vertical="center" wrapText="1"/>
    </xf>
    <xf numFmtId="10" fontId="20" fillId="18" borderId="29" xfId="1" applyNumberFormat="1" applyFont="1" applyFill="1" applyBorder="1" applyAlignment="1">
      <alignment horizontal="center" vertical="center" wrapText="1"/>
    </xf>
    <xf numFmtId="9" fontId="63" fillId="26" borderId="1" xfId="1" applyNumberFormat="1" applyFont="1" applyFill="1" applyBorder="1" applyAlignment="1">
      <alignment horizontal="center" vertical="center" wrapText="1"/>
    </xf>
    <xf numFmtId="10" fontId="47" fillId="26" borderId="1" xfId="1" applyNumberFormat="1" applyFont="1" applyFill="1" applyBorder="1" applyAlignment="1">
      <alignment horizontal="center" vertical="center" wrapText="1"/>
    </xf>
    <xf numFmtId="10" fontId="64" fillId="18" borderId="1" xfId="1" applyNumberFormat="1" applyFont="1" applyFill="1" applyBorder="1" applyAlignment="1">
      <alignment horizontal="center" vertical="center" wrapText="1"/>
    </xf>
    <xf numFmtId="10" fontId="63" fillId="26" borderId="1" xfId="1" applyNumberFormat="1" applyFont="1" applyFill="1" applyBorder="1" applyAlignment="1">
      <alignment horizontal="center" vertical="center" wrapText="1"/>
    </xf>
    <xf numFmtId="0" fontId="39" fillId="26" borderId="57" xfId="0" applyFont="1" applyFill="1" applyBorder="1" applyAlignment="1">
      <alignment horizontal="center" vertical="center" wrapText="1"/>
    </xf>
    <xf numFmtId="10" fontId="63" fillId="26" borderId="12" xfId="1" applyNumberFormat="1" applyFont="1" applyFill="1" applyBorder="1" applyAlignment="1">
      <alignment horizontal="center" vertical="center" wrapText="1"/>
    </xf>
    <xf numFmtId="9" fontId="63" fillId="26" borderId="12" xfId="1" applyNumberFormat="1" applyFont="1" applyFill="1" applyBorder="1" applyAlignment="1">
      <alignment horizontal="center" vertical="center" wrapText="1"/>
    </xf>
    <xf numFmtId="10" fontId="20" fillId="26" borderId="12" xfId="1" applyNumberFormat="1" applyFont="1" applyFill="1" applyBorder="1" applyAlignment="1">
      <alignment horizontal="center" vertical="center" wrapText="1"/>
    </xf>
    <xf numFmtId="10" fontId="64" fillId="18" borderId="12" xfId="1" applyNumberFormat="1" applyFont="1" applyFill="1" applyBorder="1" applyAlignment="1">
      <alignment horizontal="center" vertical="center" wrapText="1"/>
    </xf>
    <xf numFmtId="9" fontId="39" fillId="26" borderId="12" xfId="1" applyNumberFormat="1" applyFont="1" applyFill="1" applyBorder="1" applyAlignment="1">
      <alignment horizontal="center" vertical="center" wrapText="1"/>
    </xf>
    <xf numFmtId="10" fontId="39" fillId="26" borderId="12" xfId="1" applyNumberFormat="1" applyFont="1" applyFill="1" applyBorder="1" applyAlignment="1">
      <alignment horizontal="center" vertical="center" wrapText="1"/>
    </xf>
    <xf numFmtId="10" fontId="39" fillId="18" borderId="37" xfId="1" applyNumberFormat="1" applyFont="1" applyFill="1" applyBorder="1" applyAlignment="1">
      <alignment horizontal="center" vertical="center" wrapText="1"/>
    </xf>
    <xf numFmtId="0" fontId="54" fillId="20" borderId="41" xfId="0" applyFont="1" applyFill="1" applyBorder="1" applyAlignment="1">
      <alignment horizontal="center" vertical="center" wrapText="1"/>
    </xf>
    <xf numFmtId="17" fontId="53" fillId="27" borderId="17" xfId="0" applyNumberFormat="1" applyFont="1" applyFill="1" applyBorder="1" applyAlignment="1">
      <alignment horizontal="right"/>
    </xf>
    <xf numFmtId="0" fontId="44" fillId="26" borderId="1" xfId="8" applyFont="1" applyFill="1" applyBorder="1"/>
    <xf numFmtId="0" fontId="54" fillId="14" borderId="1" xfId="0" applyFont="1" applyFill="1" applyBorder="1" applyAlignment="1">
      <alignment horizontal="center" vertical="center" wrapText="1"/>
    </xf>
    <xf numFmtId="0" fontId="43" fillId="27" borderId="1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vertical="center" wrapText="1"/>
    </xf>
    <xf numFmtId="0" fontId="54" fillId="0" borderId="1" xfId="0" applyFont="1" applyBorder="1" applyAlignment="1">
      <alignment horizontal="center" vertical="center" wrapText="1"/>
    </xf>
    <xf numFmtId="3" fontId="54" fillId="0" borderId="1" xfId="0" applyNumberFormat="1" applyFont="1" applyBorder="1" applyAlignment="1">
      <alignment horizontal="center" vertical="center" wrapText="1"/>
    </xf>
    <xf numFmtId="3" fontId="54" fillId="27" borderId="1" xfId="0" applyNumberFormat="1" applyFont="1" applyFill="1" applyBorder="1" applyAlignment="1">
      <alignment horizontal="center" vertical="center" wrapText="1"/>
    </xf>
    <xf numFmtId="3" fontId="54" fillId="26" borderId="1" xfId="0" applyNumberFormat="1" applyFont="1" applyFill="1" applyBorder="1" applyAlignment="1">
      <alignment horizontal="center" vertical="center" wrapText="1"/>
    </xf>
    <xf numFmtId="168" fontId="57" fillId="0" borderId="1" xfId="0" applyNumberFormat="1" applyFont="1" applyBorder="1" applyAlignment="1">
      <alignment horizontal="center" vertical="center" wrapText="1"/>
    </xf>
    <xf numFmtId="168" fontId="57" fillId="27" borderId="1" xfId="0" applyNumberFormat="1" applyFont="1" applyFill="1" applyBorder="1" applyAlignment="1">
      <alignment horizontal="center" vertical="center" wrapText="1"/>
    </xf>
    <xf numFmtId="1" fontId="54" fillId="0" borderId="1" xfId="0" applyNumberFormat="1" applyFont="1" applyBorder="1" applyAlignment="1">
      <alignment horizontal="center" vertical="center" wrapText="1"/>
    </xf>
    <xf numFmtId="0" fontId="57" fillId="26" borderId="0" xfId="8" applyFont="1" applyFill="1"/>
    <xf numFmtId="2" fontId="65" fillId="26" borderId="0" xfId="8" applyNumberFormat="1" applyFont="1" applyFill="1"/>
    <xf numFmtId="0" fontId="65" fillId="26" borderId="0" xfId="8" applyFont="1" applyFill="1"/>
    <xf numFmtId="0" fontId="65" fillId="27" borderId="17" xfId="0" applyFont="1" applyFill="1" applyBorder="1"/>
    <xf numFmtId="0" fontId="65" fillId="26" borderId="0" xfId="0" applyFont="1" applyFill="1" applyBorder="1"/>
    <xf numFmtId="0" fontId="66" fillId="26" borderId="26" xfId="0" applyFont="1" applyFill="1" applyBorder="1" applyAlignment="1">
      <alignment horizontal="center"/>
    </xf>
    <xf numFmtId="176" fontId="65" fillId="26" borderId="0" xfId="0" applyNumberFormat="1" applyFont="1" applyFill="1" applyBorder="1" applyAlignment="1">
      <alignment horizontal="center"/>
    </xf>
    <xf numFmtId="2" fontId="66" fillId="26" borderId="0" xfId="0" applyNumberFormat="1" applyFont="1" applyFill="1" applyBorder="1" applyAlignment="1">
      <alignment horizontal="center"/>
    </xf>
    <xf numFmtId="2" fontId="65" fillId="26" borderId="0" xfId="0" applyNumberFormat="1" applyFont="1" applyFill="1" applyBorder="1" applyAlignment="1">
      <alignment horizontal="center"/>
    </xf>
    <xf numFmtId="2" fontId="65" fillId="38" borderId="0" xfId="0" applyNumberFormat="1" applyFont="1" applyFill="1" applyBorder="1" applyAlignment="1">
      <alignment horizontal="center"/>
    </xf>
    <xf numFmtId="9" fontId="65" fillId="26" borderId="0" xfId="9" applyFont="1" applyFill="1" applyBorder="1" applyAlignment="1">
      <alignment horizontal="center"/>
    </xf>
    <xf numFmtId="2" fontId="66" fillId="16" borderId="0" xfId="0" applyNumberFormat="1" applyFont="1" applyFill="1" applyBorder="1" applyAlignment="1">
      <alignment horizontal="center"/>
    </xf>
    <xf numFmtId="2" fontId="65" fillId="16" borderId="0" xfId="0" applyNumberFormat="1" applyFont="1" applyFill="1" applyBorder="1" applyAlignment="1">
      <alignment horizontal="center"/>
    </xf>
    <xf numFmtId="174" fontId="66" fillId="16" borderId="0" xfId="10" applyNumberFormat="1" applyFont="1" applyFill="1" applyBorder="1"/>
    <xf numFmtId="174" fontId="65" fillId="28" borderId="0" xfId="10" applyNumberFormat="1" applyFont="1" applyFill="1" applyBorder="1"/>
    <xf numFmtId="174" fontId="65" fillId="25" borderId="22" xfId="10" applyNumberFormat="1" applyFont="1" applyFill="1" applyBorder="1"/>
    <xf numFmtId="1" fontId="65" fillId="26" borderId="17" xfId="0" applyNumberFormat="1" applyFont="1" applyFill="1" applyBorder="1"/>
    <xf numFmtId="1" fontId="65" fillId="26" borderId="0" xfId="0" applyNumberFormat="1" applyFont="1" applyFill="1" applyBorder="1"/>
    <xf numFmtId="1" fontId="66" fillId="27" borderId="22" xfId="0" applyNumberFormat="1" applyFont="1" applyFill="1" applyBorder="1"/>
    <xf numFmtId="176" fontId="65" fillId="26" borderId="0" xfId="8" applyNumberFormat="1" applyFont="1" applyFill="1" applyBorder="1"/>
    <xf numFmtId="0" fontId="65" fillId="14" borderId="1" xfId="0" applyFont="1" applyFill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3" fontId="65" fillId="26" borderId="1" xfId="0" applyNumberFormat="1" applyFont="1" applyFill="1" applyBorder="1" applyAlignment="1">
      <alignment horizontal="center" vertical="center" wrapText="1"/>
    </xf>
    <xf numFmtId="168" fontId="65" fillId="0" borderId="1" xfId="0" applyNumberFormat="1" applyFont="1" applyBorder="1" applyAlignment="1">
      <alignment horizontal="center" vertical="center" wrapText="1"/>
    </xf>
    <xf numFmtId="168" fontId="65" fillId="26" borderId="0" xfId="0" applyNumberFormat="1" applyFont="1" applyFill="1" applyBorder="1" applyAlignment="1">
      <alignment horizontal="center" vertical="center" wrapText="1"/>
    </xf>
    <xf numFmtId="0" fontId="65" fillId="26" borderId="0" xfId="8" applyFont="1" applyFill="1" applyBorder="1"/>
    <xf numFmtId="1" fontId="65" fillId="0" borderId="1" xfId="0" applyNumberFormat="1" applyFont="1" applyBorder="1" applyAlignment="1">
      <alignment horizontal="center" vertical="center" wrapText="1"/>
    </xf>
    <xf numFmtId="174" fontId="65" fillId="26" borderId="0" xfId="10" applyNumberFormat="1" applyFont="1" applyFill="1" applyBorder="1"/>
    <xf numFmtId="0" fontId="65" fillId="20" borderId="41" xfId="0" applyFont="1" applyFill="1" applyBorder="1" applyAlignment="1">
      <alignment horizontal="center" vertical="center" wrapText="1"/>
    </xf>
    <xf numFmtId="3" fontId="65" fillId="33" borderId="46" xfId="0" applyNumberFormat="1" applyFont="1" applyFill="1" applyBorder="1" applyAlignment="1">
      <alignment horizontal="center" vertical="center" wrapText="1"/>
    </xf>
    <xf numFmtId="3" fontId="65" fillId="22" borderId="38" xfId="0" applyNumberFormat="1" applyFont="1" applyFill="1" applyBorder="1" applyAlignment="1">
      <alignment horizontal="center" vertical="center" wrapText="1"/>
    </xf>
    <xf numFmtId="3" fontId="65" fillId="20" borderId="47" xfId="0" applyNumberFormat="1" applyFont="1" applyFill="1" applyBorder="1" applyAlignment="1">
      <alignment horizontal="center" vertical="center" wrapText="1"/>
    </xf>
    <xf numFmtId="168" fontId="65" fillId="20" borderId="34" xfId="0" applyNumberFormat="1" applyFont="1" applyFill="1" applyBorder="1" applyAlignment="1">
      <alignment horizontal="center" vertical="center" wrapText="1"/>
    </xf>
    <xf numFmtId="0" fontId="65" fillId="26" borderId="0" xfId="0" applyFont="1" applyFill="1"/>
    <xf numFmtId="0" fontId="66" fillId="20" borderId="26" xfId="0" applyFont="1" applyFill="1" applyBorder="1" applyAlignment="1">
      <alignment horizontal="right"/>
    </xf>
    <xf numFmtId="168" fontId="65" fillId="0" borderId="0" xfId="0" applyNumberFormat="1" applyFont="1" applyBorder="1" applyAlignment="1">
      <alignment horizontal="center" vertical="center" wrapText="1"/>
    </xf>
    <xf numFmtId="0" fontId="66" fillId="40" borderId="51" xfId="0" applyFont="1" applyFill="1" applyBorder="1" applyAlignment="1">
      <alignment horizontal="center" vertical="center" wrapText="1"/>
    </xf>
    <xf numFmtId="3" fontId="65" fillId="0" borderId="48" xfId="0" applyNumberFormat="1" applyFont="1" applyBorder="1" applyAlignment="1">
      <alignment horizontal="center" vertical="center" wrapText="1"/>
    </xf>
    <xf numFmtId="3" fontId="65" fillId="26" borderId="51" xfId="0" applyNumberFormat="1" applyFont="1" applyFill="1" applyBorder="1" applyAlignment="1">
      <alignment horizontal="center" vertical="center" wrapText="1"/>
    </xf>
    <xf numFmtId="168" fontId="65" fillId="0" borderId="51" xfId="0" applyNumberFormat="1" applyFont="1" applyBorder="1" applyAlignment="1">
      <alignment horizontal="center" vertical="center" wrapText="1"/>
    </xf>
    <xf numFmtId="168" fontId="65" fillId="26" borderId="0" xfId="1" applyNumberFormat="1" applyFont="1" applyFill="1"/>
    <xf numFmtId="0" fontId="66" fillId="40" borderId="23" xfId="0" applyFont="1" applyFill="1" applyBorder="1" applyAlignment="1">
      <alignment horizontal="center" vertical="center" wrapText="1"/>
    </xf>
    <xf numFmtId="0" fontId="65" fillId="0" borderId="23" xfId="0" applyFont="1" applyBorder="1" applyAlignment="1">
      <alignment horizontal="center" vertical="center" wrapText="1"/>
    </xf>
    <xf numFmtId="0" fontId="65" fillId="28" borderId="23" xfId="0" applyFont="1" applyFill="1" applyBorder="1" applyAlignment="1">
      <alignment horizontal="center" vertical="center" wrapText="1"/>
    </xf>
    <xf numFmtId="176" fontId="65" fillId="26" borderId="0" xfId="8" applyNumberFormat="1" applyFont="1" applyFill="1"/>
    <xf numFmtId="178" fontId="65" fillId="28" borderId="0" xfId="8" applyNumberFormat="1" applyFont="1" applyFill="1"/>
    <xf numFmtId="0" fontId="65" fillId="0" borderId="0" xfId="8" applyFont="1" applyFill="1"/>
    <xf numFmtId="0" fontId="67" fillId="26" borderId="0" xfId="0" applyFont="1" applyFill="1" applyBorder="1"/>
    <xf numFmtId="2" fontId="67" fillId="26" borderId="0" xfId="0" applyNumberFormat="1" applyFont="1" applyFill="1" applyBorder="1" applyAlignment="1">
      <alignment horizontal="center"/>
    </xf>
    <xf numFmtId="0" fontId="67" fillId="26" borderId="0" xfId="8" applyFont="1" applyFill="1"/>
    <xf numFmtId="0" fontId="68" fillId="0" borderId="0" xfId="8" applyFont="1" applyFill="1"/>
    <xf numFmtId="0" fontId="68" fillId="26" borderId="19" xfId="0" applyFont="1" applyFill="1" applyBorder="1" applyAlignment="1">
      <alignment horizontal="right"/>
    </xf>
    <xf numFmtId="0" fontId="68" fillId="26" borderId="0" xfId="0" applyFont="1" applyFill="1" applyBorder="1"/>
    <xf numFmtId="2" fontId="68" fillId="26" borderId="0" xfId="0" applyNumberFormat="1" applyFont="1" applyFill="1" applyBorder="1" applyAlignment="1">
      <alignment horizontal="center"/>
    </xf>
    <xf numFmtId="0" fontId="68" fillId="26" borderId="0" xfId="8" applyFont="1" applyFill="1" applyBorder="1"/>
    <xf numFmtId="0" fontId="68" fillId="26" borderId="0" xfId="8" applyFont="1" applyFill="1"/>
    <xf numFmtId="0" fontId="45" fillId="33" borderId="19" xfId="0" applyFont="1" applyFill="1" applyBorder="1" applyAlignment="1">
      <alignment horizontal="right"/>
    </xf>
    <xf numFmtId="0" fontId="45" fillId="33" borderId="0" xfId="0" applyFont="1" applyFill="1" applyBorder="1"/>
    <xf numFmtId="175" fontId="44" fillId="16" borderId="0" xfId="10" applyNumberFormat="1" applyFont="1" applyFill="1" applyBorder="1" applyAlignment="1">
      <alignment horizontal="center"/>
    </xf>
    <xf numFmtId="175" fontId="45" fillId="16" borderId="0" xfId="10" applyNumberFormat="1" applyFont="1" applyFill="1" applyBorder="1" applyAlignment="1">
      <alignment horizontal="center"/>
    </xf>
    <xf numFmtId="175" fontId="44" fillId="26" borderId="0" xfId="10" applyNumberFormat="1" applyFont="1" applyFill="1" applyBorder="1" applyAlignment="1">
      <alignment horizontal="center"/>
    </xf>
    <xf numFmtId="175" fontId="44" fillId="28" borderId="0" xfId="10" applyNumberFormat="1" applyFont="1" applyFill="1" applyBorder="1" applyAlignment="1">
      <alignment horizontal="center"/>
    </xf>
    <xf numFmtId="174" fontId="55" fillId="25" borderId="22" xfId="10" applyNumberFormat="1" applyFont="1" applyFill="1" applyBorder="1" applyAlignment="1">
      <alignment horizontal="center"/>
    </xf>
    <xf numFmtId="0" fontId="55" fillId="26" borderId="22" xfId="0" applyFont="1" applyFill="1" applyBorder="1" applyAlignment="1">
      <alignment horizontal="center"/>
    </xf>
    <xf numFmtId="0" fontId="59" fillId="26" borderId="17" xfId="0" applyFont="1" applyFill="1" applyBorder="1" applyAlignment="1">
      <alignment horizontal="center"/>
    </xf>
    <xf numFmtId="175" fontId="59" fillId="26" borderId="17" xfId="0" applyNumberFormat="1" applyFont="1" applyFill="1" applyBorder="1" applyAlignment="1">
      <alignment horizontal="center"/>
    </xf>
    <xf numFmtId="0" fontId="59" fillId="26" borderId="0" xfId="0" applyFont="1" applyFill="1" applyBorder="1" applyAlignment="1">
      <alignment horizontal="center"/>
    </xf>
    <xf numFmtId="175" fontId="59" fillId="26" borderId="0" xfId="0" applyNumberFormat="1" applyFont="1" applyFill="1" applyBorder="1" applyAlignment="1">
      <alignment horizontal="center"/>
    </xf>
    <xf numFmtId="0" fontId="60" fillId="26" borderId="0" xfId="0" applyFont="1" applyFill="1" applyBorder="1" applyAlignment="1">
      <alignment horizontal="center"/>
    </xf>
    <xf numFmtId="175" fontId="61" fillId="27" borderId="22" xfId="0" applyNumberFormat="1" applyFont="1" applyFill="1" applyBorder="1" applyAlignment="1">
      <alignment horizontal="center"/>
    </xf>
    <xf numFmtId="0" fontId="45" fillId="20" borderId="0" xfId="0" applyFont="1" applyFill="1" applyBorder="1" applyAlignment="1">
      <alignment horizontal="center"/>
    </xf>
    <xf numFmtId="2" fontId="71" fillId="26" borderId="0" xfId="0" applyNumberFormat="1" applyFont="1" applyFill="1" applyBorder="1" applyAlignment="1">
      <alignment horizontal="center"/>
    </xf>
    <xf numFmtId="2" fontId="71" fillId="16" borderId="0" xfId="0" applyNumberFormat="1" applyFont="1" applyFill="1" applyBorder="1" applyAlignment="1">
      <alignment horizontal="center"/>
    </xf>
    <xf numFmtId="2" fontId="67" fillId="16" borderId="0" xfId="0" applyNumberFormat="1" applyFont="1" applyFill="1" applyBorder="1" applyAlignment="1">
      <alignment horizontal="center"/>
    </xf>
    <xf numFmtId="175" fontId="71" fillId="16" borderId="0" xfId="10" applyNumberFormat="1" applyFont="1" applyFill="1" applyBorder="1" applyAlignment="1">
      <alignment horizontal="center"/>
    </xf>
    <xf numFmtId="175" fontId="67" fillId="26" borderId="0" xfId="10" applyNumberFormat="1" applyFont="1" applyFill="1" applyBorder="1" applyAlignment="1">
      <alignment horizontal="center"/>
    </xf>
    <xf numFmtId="0" fontId="71" fillId="20" borderId="0" xfId="0" applyFont="1" applyFill="1" applyBorder="1" applyAlignment="1">
      <alignment horizontal="right"/>
    </xf>
    <xf numFmtId="175" fontId="67" fillId="28" borderId="0" xfId="10" applyNumberFormat="1" applyFont="1" applyFill="1" applyBorder="1" applyAlignment="1">
      <alignment horizontal="center"/>
    </xf>
    <xf numFmtId="174" fontId="67" fillId="25" borderId="22" xfId="10" applyNumberFormat="1" applyFont="1" applyFill="1" applyBorder="1"/>
    <xf numFmtId="175" fontId="67" fillId="26" borderId="17" xfId="0" applyNumberFormat="1" applyFont="1" applyFill="1" applyBorder="1" applyAlignment="1">
      <alignment horizontal="center"/>
    </xf>
    <xf numFmtId="175" fontId="67" fillId="26" borderId="0" xfId="0" applyNumberFormat="1" applyFont="1" applyFill="1" applyBorder="1" applyAlignment="1">
      <alignment horizontal="center"/>
    </xf>
    <xf numFmtId="175" fontId="71" fillId="27" borderId="22" xfId="0" applyNumberFormat="1" applyFont="1" applyFill="1" applyBorder="1" applyAlignment="1">
      <alignment horizontal="center"/>
    </xf>
    <xf numFmtId="2" fontId="53" fillId="33" borderId="0" xfId="0" applyNumberFormat="1" applyFont="1" applyFill="1" applyBorder="1" applyAlignment="1">
      <alignment horizontal="center"/>
    </xf>
    <xf numFmtId="0" fontId="54" fillId="14" borderId="1" xfId="0" applyFont="1" applyFill="1" applyBorder="1" applyAlignment="1">
      <alignment horizontal="center" vertical="center" wrapText="1"/>
    </xf>
    <xf numFmtId="0" fontId="54" fillId="20" borderId="41" xfId="0" applyFont="1" applyFill="1" applyBorder="1" applyAlignment="1">
      <alignment horizontal="center" vertical="center" wrapText="1"/>
    </xf>
    <xf numFmtId="0" fontId="72" fillId="42" borderId="35" xfId="0" applyFont="1" applyFill="1" applyBorder="1" applyAlignment="1">
      <alignment horizontal="center" vertical="center"/>
    </xf>
    <xf numFmtId="0" fontId="72" fillId="0" borderId="23" xfId="0" applyFont="1" applyBorder="1" applyAlignment="1">
      <alignment horizontal="center" vertical="center"/>
    </xf>
    <xf numFmtId="0" fontId="74" fillId="0" borderId="23" xfId="0" applyFont="1" applyBorder="1" applyAlignment="1">
      <alignment horizontal="center" vertical="center"/>
    </xf>
    <xf numFmtId="1" fontId="61" fillId="26" borderId="0" xfId="0" applyNumberFormat="1" applyFont="1" applyFill="1" applyBorder="1" applyAlignment="1">
      <alignment horizontal="center"/>
    </xf>
    <xf numFmtId="166" fontId="59" fillId="26" borderId="0" xfId="0" applyNumberFormat="1" applyFont="1" applyFill="1" applyBorder="1" applyAlignment="1">
      <alignment horizontal="center"/>
    </xf>
    <xf numFmtId="1" fontId="59" fillId="26" borderId="0" xfId="0" applyNumberFormat="1" applyFont="1" applyFill="1" applyBorder="1" applyAlignment="1">
      <alignment horizontal="center"/>
    </xf>
    <xf numFmtId="1" fontId="66" fillId="26" borderId="0" xfId="0" applyNumberFormat="1" applyFont="1" applyFill="1" applyBorder="1" applyAlignment="1">
      <alignment horizontal="center"/>
    </xf>
    <xf numFmtId="174" fontId="55" fillId="26" borderId="0" xfId="8" applyNumberFormat="1" applyFont="1" applyFill="1" applyBorder="1" applyAlignment="1">
      <alignment horizontal="center"/>
    </xf>
    <xf numFmtId="0" fontId="55" fillId="26" borderId="0" xfId="8" applyFont="1" applyFill="1" applyAlignment="1">
      <alignment horizontal="center"/>
    </xf>
    <xf numFmtId="0" fontId="44" fillId="26" borderId="0" xfId="0" applyFont="1" applyFill="1" applyBorder="1" applyAlignment="1">
      <alignment horizontal="left"/>
    </xf>
    <xf numFmtId="0" fontId="45" fillId="26" borderId="1" xfId="0" applyFont="1" applyFill="1" applyBorder="1"/>
    <xf numFmtId="176" fontId="0" fillId="0" borderId="1" xfId="0" applyNumberFormat="1" applyBorder="1"/>
    <xf numFmtId="0" fontId="44" fillId="26" borderId="1" xfId="0" applyFont="1" applyFill="1" applyBorder="1" applyAlignment="1">
      <alignment horizontal="left"/>
    </xf>
    <xf numFmtId="0" fontId="0" fillId="27" borderId="1" xfId="0" applyFill="1" applyBorder="1" applyAlignment="1">
      <alignment horizontal="center" wrapText="1"/>
    </xf>
    <xf numFmtId="0" fontId="72" fillId="18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/>
    <xf numFmtId="166" fontId="2" fillId="0" borderId="1" xfId="0" applyNumberFormat="1" applyFont="1" applyBorder="1" applyAlignment="1">
      <alignment horizontal="center"/>
    </xf>
    <xf numFmtId="0" fontId="59" fillId="26" borderId="1" xfId="0" applyFont="1" applyFill="1" applyBorder="1"/>
    <xf numFmtId="0" fontId="72" fillId="26" borderId="36" xfId="0" applyFont="1" applyFill="1" applyBorder="1" applyAlignment="1">
      <alignment horizontal="center" vertical="center"/>
    </xf>
    <xf numFmtId="0" fontId="72" fillId="26" borderId="23" xfId="0" applyFont="1" applyFill="1" applyBorder="1" applyAlignment="1">
      <alignment horizontal="center" vertical="center" wrapText="1"/>
    </xf>
    <xf numFmtId="0" fontId="72" fillId="26" borderId="23" xfId="0" applyFont="1" applyFill="1" applyBorder="1" applyAlignment="1">
      <alignment horizontal="center" vertical="center"/>
    </xf>
    <xf numFmtId="0" fontId="74" fillId="26" borderId="36" xfId="0" applyFont="1" applyFill="1" applyBorder="1" applyAlignment="1">
      <alignment horizontal="center" vertical="center"/>
    </xf>
    <xf numFmtId="0" fontId="74" fillId="26" borderId="23" xfId="0" applyFont="1" applyFill="1" applyBorder="1" applyAlignment="1">
      <alignment horizontal="center" vertical="center" wrapText="1"/>
    </xf>
    <xf numFmtId="0" fontId="74" fillId="26" borderId="23" xfId="0" applyFont="1" applyFill="1" applyBorder="1" applyAlignment="1">
      <alignment horizontal="center" vertical="center"/>
    </xf>
    <xf numFmtId="0" fontId="72" fillId="18" borderId="34" xfId="0" applyFont="1" applyFill="1" applyBorder="1" applyAlignment="1">
      <alignment horizontal="center" vertical="center"/>
    </xf>
    <xf numFmtId="0" fontId="72" fillId="18" borderId="35" xfId="0" applyFont="1" applyFill="1" applyBorder="1" applyAlignment="1">
      <alignment horizontal="center" vertical="center" wrapText="1"/>
    </xf>
    <xf numFmtId="0" fontId="72" fillId="18" borderId="35" xfId="0" applyFont="1" applyFill="1" applyBorder="1" applyAlignment="1">
      <alignment horizontal="center" vertical="center"/>
    </xf>
    <xf numFmtId="166" fontId="0" fillId="26" borderId="0" xfId="0" applyNumberFormat="1" applyFill="1"/>
    <xf numFmtId="1" fontId="0" fillId="0" borderId="1" xfId="0" applyNumberFormat="1" applyBorder="1"/>
    <xf numFmtId="10" fontId="75" fillId="0" borderId="1" xfId="1" applyNumberFormat="1" applyFont="1" applyBorder="1"/>
    <xf numFmtId="10" fontId="0" fillId="0" borderId="1" xfId="0" applyNumberFormat="1" applyBorder="1"/>
    <xf numFmtId="17" fontId="53" fillId="26" borderId="0" xfId="8" applyNumberFormat="1" applyFont="1" applyFill="1"/>
    <xf numFmtId="0" fontId="76" fillId="27" borderId="16" xfId="0" applyFont="1" applyFill="1" applyBorder="1"/>
    <xf numFmtId="174" fontId="59" fillId="26" borderId="0" xfId="10" applyNumberFormat="1" applyFont="1" applyFill="1" applyBorder="1"/>
    <xf numFmtId="179" fontId="59" fillId="26" borderId="0" xfId="6" applyNumberFormat="1" applyFont="1" applyFill="1" applyBorder="1"/>
    <xf numFmtId="0" fontId="52" fillId="43" borderId="34" xfId="0" applyFont="1" applyFill="1" applyBorder="1" applyAlignment="1">
      <alignment vertical="center"/>
    </xf>
    <xf numFmtId="0" fontId="52" fillId="43" borderId="35" xfId="0" applyFont="1" applyFill="1" applyBorder="1" applyAlignment="1">
      <alignment horizontal="center" vertical="center"/>
    </xf>
    <xf numFmtId="0" fontId="77" fillId="44" borderId="36" xfId="0" applyFont="1" applyFill="1" applyBorder="1" applyAlignment="1">
      <alignment vertical="center"/>
    </xf>
    <xf numFmtId="0" fontId="77" fillId="44" borderId="23" xfId="0" applyFont="1" applyFill="1" applyBorder="1" applyAlignment="1">
      <alignment vertical="center"/>
    </xf>
    <xf numFmtId="0" fontId="62" fillId="0" borderId="36" xfId="0" applyFont="1" applyBorder="1" applyAlignment="1">
      <alignment vertical="center"/>
    </xf>
    <xf numFmtId="0" fontId="62" fillId="0" borderId="23" xfId="0" applyFont="1" applyBorder="1" applyAlignment="1">
      <alignment vertical="center"/>
    </xf>
    <xf numFmtId="0" fontId="77" fillId="43" borderId="36" xfId="0" applyFont="1" applyFill="1" applyBorder="1" applyAlignment="1">
      <alignment horizontal="right" vertical="center"/>
    </xf>
    <xf numFmtId="0" fontId="77" fillId="43" borderId="23" xfId="0" applyFont="1" applyFill="1" applyBorder="1" applyAlignment="1">
      <alignment vertical="center"/>
    </xf>
    <xf numFmtId="0" fontId="78" fillId="0" borderId="0" xfId="0" applyFont="1" applyAlignment="1">
      <alignment vertical="center"/>
    </xf>
    <xf numFmtId="0" fontId="79" fillId="0" borderId="0" xfId="0" applyFont="1" applyAlignment="1">
      <alignment vertical="center"/>
    </xf>
    <xf numFmtId="1" fontId="77" fillId="43" borderId="23" xfId="0" applyNumberFormat="1" applyFont="1" applyFill="1" applyBorder="1" applyAlignment="1">
      <alignment vertical="center"/>
    </xf>
    <xf numFmtId="2" fontId="48" fillId="27" borderId="0" xfId="0" applyNumberFormat="1" applyFont="1" applyFill="1"/>
    <xf numFmtId="2" fontId="80" fillId="33" borderId="0" xfId="0" applyNumberFormat="1" applyFont="1" applyFill="1" applyBorder="1" applyAlignment="1">
      <alignment horizontal="center"/>
    </xf>
    <xf numFmtId="0" fontId="76" fillId="26" borderId="0" xfId="0" applyFont="1" applyFill="1" applyBorder="1"/>
    <xf numFmtId="0" fontId="45" fillId="13" borderId="0" xfId="0" applyFont="1" applyFill="1" applyBorder="1"/>
    <xf numFmtId="174" fontId="55" fillId="13" borderId="0" xfId="10" applyNumberFormat="1" applyFont="1" applyFill="1" applyBorder="1"/>
    <xf numFmtId="0" fontId="45" fillId="20" borderId="0" xfId="0" applyFont="1" applyFill="1" applyBorder="1"/>
    <xf numFmtId="0" fontId="55" fillId="20" borderId="0" xfId="0" applyFont="1" applyFill="1" applyBorder="1"/>
    <xf numFmtId="0" fontId="76" fillId="21" borderId="0" xfId="0" applyFont="1" applyFill="1" applyBorder="1"/>
    <xf numFmtId="0" fontId="76" fillId="30" borderId="0" xfId="0" applyFont="1" applyFill="1" applyBorder="1"/>
    <xf numFmtId="44" fontId="55" fillId="26" borderId="0" xfId="10" applyNumberFormat="1" applyFont="1" applyFill="1" applyBorder="1"/>
    <xf numFmtId="174" fontId="55" fillId="20" borderId="0" xfId="10" applyNumberFormat="1" applyFont="1" applyFill="1" applyBorder="1"/>
    <xf numFmtId="0" fontId="76" fillId="37" borderId="0" xfId="0" applyFont="1" applyFill="1" applyBorder="1"/>
    <xf numFmtId="0" fontId="44" fillId="0" borderId="1" xfId="8" applyFont="1" applyFill="1" applyBorder="1"/>
    <xf numFmtId="2" fontId="45" fillId="26" borderId="1" xfId="0" applyNumberFormat="1" applyFont="1" applyFill="1" applyBorder="1" applyAlignment="1">
      <alignment horizontal="center"/>
    </xf>
    <xf numFmtId="0" fontId="81" fillId="26" borderId="1" xfId="0" applyFont="1" applyFill="1" applyBorder="1" applyAlignment="1">
      <alignment horizontal="right"/>
    </xf>
    <xf numFmtId="0" fontId="82" fillId="26" borderId="1" xfId="0" applyFont="1" applyFill="1" applyBorder="1" applyAlignment="1">
      <alignment horizontal="right"/>
    </xf>
    <xf numFmtId="0" fontId="45" fillId="21" borderId="1" xfId="0" applyFont="1" applyFill="1" applyBorder="1"/>
    <xf numFmtId="0" fontId="45" fillId="18" borderId="1" xfId="0" applyFont="1" applyFill="1" applyBorder="1" applyAlignment="1">
      <alignment horizontal="center"/>
    </xf>
    <xf numFmtId="174" fontId="55" fillId="26" borderId="1" xfId="10" applyNumberFormat="1" applyFont="1" applyFill="1" applyBorder="1"/>
    <xf numFmtId="0" fontId="44" fillId="18" borderId="1" xfId="8" applyFont="1" applyFill="1" applyBorder="1"/>
    <xf numFmtId="0" fontId="45" fillId="34" borderId="1" xfId="0" applyFont="1" applyFill="1" applyBorder="1"/>
    <xf numFmtId="176" fontId="44" fillId="26" borderId="1" xfId="0" applyNumberFormat="1" applyFont="1" applyFill="1" applyBorder="1" applyAlignment="1">
      <alignment horizontal="center"/>
    </xf>
    <xf numFmtId="175" fontId="45" fillId="26" borderId="1" xfId="0" applyNumberFormat="1" applyFont="1" applyFill="1" applyBorder="1" applyAlignment="1">
      <alignment horizontal="center"/>
    </xf>
    <xf numFmtId="0" fontId="70" fillId="26" borderId="1" xfId="0" applyFont="1" applyFill="1" applyBorder="1" applyAlignment="1">
      <alignment horizontal="right"/>
    </xf>
    <xf numFmtId="174" fontId="69" fillId="26" borderId="1" xfId="10" applyNumberFormat="1" applyFont="1" applyFill="1" applyBorder="1"/>
    <xf numFmtId="0" fontId="45" fillId="36" borderId="1" xfId="0" applyFont="1" applyFill="1" applyBorder="1" applyAlignment="1">
      <alignment wrapText="1"/>
    </xf>
    <xf numFmtId="0" fontId="84" fillId="26" borderId="1" xfId="0" applyFont="1" applyFill="1" applyBorder="1" applyAlignment="1">
      <alignment horizontal="right"/>
    </xf>
    <xf numFmtId="0" fontId="24" fillId="0" borderId="0" xfId="0" applyFont="1"/>
    <xf numFmtId="2" fontId="86" fillId="26" borderId="1" xfId="0" applyNumberFormat="1" applyFont="1" applyFill="1" applyBorder="1" applyAlignment="1">
      <alignment horizontal="center"/>
    </xf>
    <xf numFmtId="0" fontId="44" fillId="18" borderId="1" xfId="0" applyFont="1" applyFill="1" applyBorder="1" applyAlignment="1">
      <alignment horizontal="center"/>
    </xf>
    <xf numFmtId="0" fontId="59" fillId="18" borderId="1" xfId="0" applyFont="1" applyFill="1" applyBorder="1" applyAlignment="1">
      <alignment horizontal="center"/>
    </xf>
    <xf numFmtId="2" fontId="45" fillId="13" borderId="1" xfId="0" applyNumberFormat="1" applyFont="1" applyFill="1" applyBorder="1" applyAlignment="1">
      <alignment horizontal="center"/>
    </xf>
    <xf numFmtId="2" fontId="84" fillId="13" borderId="1" xfId="0" applyNumberFormat="1" applyFont="1" applyFill="1" applyBorder="1" applyAlignment="1">
      <alignment horizontal="center"/>
    </xf>
    <xf numFmtId="2" fontId="84" fillId="26" borderId="1" xfId="0" applyNumberFormat="1" applyFont="1" applyFill="1" applyBorder="1" applyAlignment="1">
      <alignment horizontal="center"/>
    </xf>
    <xf numFmtId="175" fontId="45" fillId="13" borderId="1" xfId="0" applyNumberFormat="1" applyFont="1" applyFill="1" applyBorder="1" applyAlignment="1">
      <alignment horizontal="center"/>
    </xf>
    <xf numFmtId="0" fontId="61" fillId="18" borderId="1" xfId="0" applyFont="1" applyFill="1" applyBorder="1" applyAlignment="1">
      <alignment horizontal="center"/>
    </xf>
    <xf numFmtId="174" fontId="59" fillId="26" borderId="0" xfId="10" applyNumberFormat="1" applyFont="1" applyFill="1" applyBorder="1" applyAlignment="1">
      <alignment horizontal="center"/>
    </xf>
    <xf numFmtId="3" fontId="87" fillId="0" borderId="0" xfId="0" applyNumberFormat="1" applyFont="1"/>
    <xf numFmtId="2" fontId="61" fillId="26" borderId="1" xfId="0" applyNumberFormat="1" applyFont="1" applyFill="1" applyBorder="1" applyAlignment="1">
      <alignment horizontal="center"/>
    </xf>
    <xf numFmtId="2" fontId="83" fillId="13" borderId="1" xfId="0" applyNumberFormat="1" applyFont="1" applyFill="1" applyBorder="1" applyAlignment="1">
      <alignment horizontal="center"/>
    </xf>
    <xf numFmtId="2" fontId="83" fillId="26" borderId="1" xfId="0" applyNumberFormat="1" applyFont="1" applyFill="1" applyBorder="1" applyAlignment="1">
      <alignment horizontal="center"/>
    </xf>
    <xf numFmtId="0" fontId="48" fillId="0" borderId="0" xfId="0" applyFont="1"/>
    <xf numFmtId="0" fontId="48" fillId="0" borderId="1" xfId="0" applyFont="1" applyBorder="1" applyAlignment="1">
      <alignment horizontal="right"/>
    </xf>
    <xf numFmtId="2" fontId="82" fillId="13" borderId="1" xfId="0" applyNumberFormat="1" applyFont="1" applyFill="1" applyBorder="1" applyAlignment="1">
      <alignment horizontal="center"/>
    </xf>
    <xf numFmtId="2" fontId="82" fillId="26" borderId="1" xfId="0" applyNumberFormat="1" applyFont="1" applyFill="1" applyBorder="1" applyAlignment="1">
      <alignment horizontal="center"/>
    </xf>
    <xf numFmtId="0" fontId="45" fillId="38" borderId="1" xfId="0" applyFont="1" applyFill="1" applyBorder="1"/>
    <xf numFmtId="0" fontId="45" fillId="39" borderId="1" xfId="0" applyFont="1" applyFill="1" applyBorder="1"/>
    <xf numFmtId="0" fontId="76" fillId="18" borderId="1" xfId="0" applyFont="1" applyFill="1" applyBorder="1"/>
    <xf numFmtId="174" fontId="55" fillId="18" borderId="1" xfId="10" applyNumberFormat="1" applyFont="1" applyFill="1" applyBorder="1"/>
    <xf numFmtId="4" fontId="44" fillId="26" borderId="1" xfId="0" applyNumberFormat="1" applyFont="1" applyFill="1" applyBorder="1" applyAlignment="1">
      <alignment horizontal="center"/>
    </xf>
    <xf numFmtId="2" fontId="90" fillId="0" borderId="0" xfId="0" applyNumberFormat="1" applyFont="1"/>
    <xf numFmtId="0" fontId="44" fillId="13" borderId="0" xfId="8" applyFont="1" applyFill="1"/>
    <xf numFmtId="0" fontId="45" fillId="27" borderId="1" xfId="0" applyFont="1" applyFill="1" applyBorder="1" applyAlignment="1">
      <alignment horizontal="center"/>
    </xf>
    <xf numFmtId="2" fontId="45" fillId="27" borderId="1" xfId="0" applyNumberFormat="1" applyFont="1" applyFill="1" applyBorder="1" applyAlignment="1">
      <alignment horizontal="center"/>
    </xf>
    <xf numFmtId="2" fontId="86" fillId="13" borderId="1" xfId="0" applyNumberFormat="1" applyFont="1" applyFill="1" applyBorder="1" applyAlignment="1">
      <alignment horizontal="center"/>
    </xf>
    <xf numFmtId="2" fontId="86" fillId="27" borderId="1" xfId="0" applyNumberFormat="1" applyFont="1" applyFill="1" applyBorder="1" applyAlignment="1">
      <alignment horizontal="center"/>
    </xf>
    <xf numFmtId="175" fontId="45" fillId="27" borderId="1" xfId="0" applyNumberFormat="1" applyFont="1" applyFill="1" applyBorder="1" applyAlignment="1">
      <alignment horizontal="center"/>
    </xf>
    <xf numFmtId="0" fontId="69" fillId="26" borderId="1" xfId="0" applyFont="1" applyFill="1" applyBorder="1" applyAlignment="1">
      <alignment horizontal="right"/>
    </xf>
    <xf numFmtId="2" fontId="69" fillId="26" borderId="1" xfId="0" applyNumberFormat="1" applyFont="1" applyFill="1" applyBorder="1" applyAlignment="1">
      <alignment horizontal="center"/>
    </xf>
    <xf numFmtId="174" fontId="81" fillId="26" borderId="1" xfId="10" applyNumberFormat="1" applyFont="1" applyFill="1" applyBorder="1"/>
    <xf numFmtId="0" fontId="0" fillId="0" borderId="1" xfId="0" applyBorder="1" applyAlignment="1">
      <alignment horizontal="left"/>
    </xf>
    <xf numFmtId="0" fontId="91" fillId="0" borderId="0" xfId="0" applyFont="1"/>
    <xf numFmtId="2" fontId="91" fillId="0" borderId="0" xfId="0" applyNumberFormat="1" applyFont="1"/>
    <xf numFmtId="2" fontId="84" fillId="27" borderId="1" xfId="0" applyNumberFormat="1" applyFont="1" applyFill="1" applyBorder="1" applyAlignment="1">
      <alignment horizontal="center"/>
    </xf>
    <xf numFmtId="2" fontId="82" fillId="27" borderId="1" xfId="0" applyNumberFormat="1" applyFont="1" applyFill="1" applyBorder="1" applyAlignment="1">
      <alignment horizontal="center"/>
    </xf>
    <xf numFmtId="0" fontId="76" fillId="29" borderId="0" xfId="0" applyFont="1" applyFill="1" applyBorder="1"/>
    <xf numFmtId="0" fontId="92" fillId="0" borderId="0" xfId="0" applyFont="1" applyBorder="1"/>
    <xf numFmtId="0" fontId="76" fillId="45" borderId="0" xfId="0" applyFont="1" applyFill="1" applyBorder="1"/>
    <xf numFmtId="0" fontId="0" fillId="0" borderId="0" xfId="0" applyFill="1" applyBorder="1"/>
    <xf numFmtId="0" fontId="94" fillId="0" borderId="0" xfId="8" applyFont="1" applyFill="1"/>
    <xf numFmtId="0" fontId="95" fillId="41" borderId="19" xfId="0" applyFont="1" applyFill="1" applyBorder="1" applyAlignment="1">
      <alignment horizontal="right"/>
    </xf>
    <xf numFmtId="0" fontId="95" fillId="41" borderId="0" xfId="0" applyFont="1" applyFill="1" applyBorder="1"/>
    <xf numFmtId="2" fontId="95" fillId="41" borderId="0" xfId="0" applyNumberFormat="1" applyFont="1" applyFill="1" applyBorder="1" applyAlignment="1">
      <alignment horizontal="center"/>
    </xf>
    <xf numFmtId="0" fontId="94" fillId="26" borderId="0" xfId="8" applyFont="1" applyFill="1" applyBorder="1"/>
    <xf numFmtId="0" fontId="94" fillId="26" borderId="0" xfId="8" applyFont="1" applyFill="1"/>
    <xf numFmtId="0" fontId="95" fillId="26" borderId="26" xfId="0" applyFont="1" applyFill="1" applyBorder="1" applyAlignment="1">
      <alignment horizontal="center"/>
    </xf>
    <xf numFmtId="0" fontId="94" fillId="26" borderId="19" xfId="0" applyFont="1" applyFill="1" applyBorder="1" applyAlignment="1">
      <alignment horizontal="right"/>
    </xf>
    <xf numFmtId="0" fontId="94" fillId="26" borderId="0" xfId="0" applyFont="1" applyFill="1" applyBorder="1"/>
    <xf numFmtId="9" fontId="94" fillId="26" borderId="0" xfId="9" applyFont="1" applyFill="1" applyBorder="1" applyAlignment="1">
      <alignment horizontal="center"/>
    </xf>
    <xf numFmtId="176" fontId="94" fillId="26" borderId="0" xfId="0" applyNumberFormat="1" applyFont="1" applyFill="1" applyBorder="1" applyAlignment="1">
      <alignment horizontal="center"/>
    </xf>
    <xf numFmtId="176" fontId="50" fillId="26" borderId="0" xfId="0" applyNumberFormat="1" applyFont="1" applyFill="1" applyBorder="1" applyAlignment="1">
      <alignment horizontal="center"/>
    </xf>
    <xf numFmtId="0" fontId="0" fillId="0" borderId="0" xfId="0" applyAlignment="1">
      <alignment horizontal="left" indent="2"/>
    </xf>
    <xf numFmtId="166" fontId="0" fillId="12" borderId="0" xfId="0" applyNumberFormat="1" applyFill="1"/>
    <xf numFmtId="0" fontId="0" fillId="46" borderId="0" xfId="0" applyFill="1"/>
    <xf numFmtId="0" fontId="98" fillId="0" borderId="0" xfId="0" applyFont="1"/>
    <xf numFmtId="0" fontId="0" fillId="0" borderId="0" xfId="0" applyFont="1" applyBorder="1"/>
    <xf numFmtId="166" fontId="3" fillId="0" borderId="0" xfId="0" applyNumberFormat="1" applyFont="1"/>
    <xf numFmtId="174" fontId="3" fillId="26" borderId="0" xfId="0" applyNumberFormat="1" applyFont="1" applyFill="1" applyAlignment="1">
      <alignment horizontal="center"/>
    </xf>
    <xf numFmtId="0" fontId="20" fillId="14" borderId="0" xfId="0" applyFont="1" applyFill="1"/>
    <xf numFmtId="0" fontId="20" fillId="0" borderId="1" xfId="0" applyFont="1" applyBorder="1"/>
    <xf numFmtId="0" fontId="39" fillId="0" borderId="1" xfId="0" applyFont="1" applyBorder="1"/>
    <xf numFmtId="0" fontId="20" fillId="14" borderId="0" xfId="0" applyFont="1" applyFill="1" applyBorder="1"/>
    <xf numFmtId="0" fontId="31" fillId="0" borderId="0" xfId="0" applyFont="1" applyBorder="1" applyAlignment="1">
      <alignment horizontal="right"/>
    </xf>
    <xf numFmtId="0" fontId="64" fillId="0" borderId="0" xfId="0" applyFont="1" applyBorder="1" applyAlignment="1">
      <alignment horizontal="right"/>
    </xf>
    <xf numFmtId="0" fontId="96" fillId="14" borderId="0" xfId="0" applyFont="1" applyFill="1" applyBorder="1" applyAlignment="1"/>
    <xf numFmtId="0" fontId="0" fillId="14" borderId="0" xfId="0" applyFont="1" applyFill="1"/>
    <xf numFmtId="0" fontId="97" fillId="14" borderId="0" xfId="0" applyFont="1" applyFill="1" applyBorder="1" applyAlignment="1">
      <alignment horizontal="right"/>
    </xf>
    <xf numFmtId="167" fontId="99" fillId="14" borderId="0" xfId="2" applyNumberFormat="1" applyFont="1" applyFill="1" applyBorder="1"/>
    <xf numFmtId="0" fontId="96" fillId="14" borderId="0" xfId="0" applyFont="1" applyFill="1" applyBorder="1"/>
    <xf numFmtId="0" fontId="96" fillId="26" borderId="0" xfId="0" applyFont="1" applyFill="1"/>
    <xf numFmtId="0" fontId="96" fillId="0" borderId="0" xfId="0" applyFont="1"/>
    <xf numFmtId="0" fontId="64" fillId="0" borderId="0" xfId="0" applyFont="1"/>
    <xf numFmtId="0" fontId="0" fillId="2" borderId="0" xfId="0" applyFont="1" applyFill="1"/>
    <xf numFmtId="3" fontId="0" fillId="0" borderId="0" xfId="0" applyNumberFormat="1" applyFont="1"/>
    <xf numFmtId="0" fontId="0" fillId="3" borderId="0" xfId="0" applyFont="1" applyFill="1"/>
    <xf numFmtId="0" fontId="0" fillId="26" borderId="0" xfId="0" applyFont="1" applyFill="1"/>
    <xf numFmtId="0" fontId="0" fillId="4" borderId="0" xfId="0" applyFont="1" applyFill="1"/>
    <xf numFmtId="0" fontId="0" fillId="6" borderId="0" xfId="0" applyFont="1" applyFill="1"/>
    <xf numFmtId="0" fontId="0" fillId="25" borderId="0" xfId="0" applyFont="1" applyFill="1"/>
    <xf numFmtId="0" fontId="0" fillId="18" borderId="1" xfId="0" applyFont="1" applyFill="1" applyBorder="1"/>
    <xf numFmtId="0" fontId="0" fillId="27" borderId="1" xfId="0" applyFont="1" applyFill="1" applyBorder="1"/>
    <xf numFmtId="0" fontId="101" fillId="13" borderId="0" xfId="4" applyFont="1" applyFill="1" applyAlignment="1">
      <alignment horizontal="right"/>
    </xf>
    <xf numFmtId="0" fontId="0" fillId="0" borderId="17" xfId="0" applyFont="1" applyBorder="1"/>
    <xf numFmtId="0" fontId="0" fillId="0" borderId="0" xfId="0" applyFont="1" applyAlignment="1">
      <alignment horizontal="center"/>
    </xf>
    <xf numFmtId="44" fontId="0" fillId="0" borderId="0" xfId="0" applyNumberFormat="1" applyFont="1" applyBorder="1"/>
    <xf numFmtId="0" fontId="0" fillId="12" borderId="0" xfId="0" applyFont="1" applyFill="1"/>
    <xf numFmtId="0" fontId="0" fillId="18" borderId="0" xfId="0" applyFont="1" applyFill="1"/>
    <xf numFmtId="0" fontId="20" fillId="26" borderId="0" xfId="0" applyFont="1" applyFill="1"/>
    <xf numFmtId="0" fontId="31" fillId="26" borderId="0" xfId="0" applyFont="1" applyFill="1" applyBorder="1" applyAlignment="1">
      <alignment horizontal="right"/>
    </xf>
    <xf numFmtId="0" fontId="31" fillId="0" borderId="0" xfId="0" applyFont="1" applyFill="1" applyBorder="1" applyAlignment="1">
      <alignment horizontal="right" wrapText="1"/>
    </xf>
    <xf numFmtId="166" fontId="31" fillId="0" borderId="0" xfId="0" applyNumberFormat="1" applyFont="1" applyBorder="1" applyAlignment="1">
      <alignment horizontal="right"/>
    </xf>
    <xf numFmtId="0" fontId="0" fillId="0" borderId="0" xfId="0" applyFont="1" applyFill="1"/>
    <xf numFmtId="0" fontId="20" fillId="49" borderId="0" xfId="0" applyFont="1" applyFill="1"/>
    <xf numFmtId="0" fontId="20" fillId="50" borderId="0" xfId="0" applyFont="1" applyFill="1"/>
    <xf numFmtId="0" fontId="0" fillId="48" borderId="0" xfId="0" applyFont="1" applyFill="1" applyAlignment="1"/>
    <xf numFmtId="0" fontId="0" fillId="0" borderId="0" xfId="0" applyFont="1" applyFill="1" applyAlignment="1"/>
    <xf numFmtId="0" fontId="98" fillId="48" borderId="0" xfId="0" applyFont="1" applyFill="1" applyAlignment="1"/>
    <xf numFmtId="0" fontId="99" fillId="0" borderId="0" xfId="0" applyFont="1"/>
    <xf numFmtId="0" fontId="102" fillId="0" borderId="0" xfId="0" applyFont="1"/>
    <xf numFmtId="0" fontId="30" fillId="26" borderId="0" xfId="0" applyFont="1" applyFill="1" applyBorder="1"/>
    <xf numFmtId="0" fontId="103" fillId="35" borderId="0" xfId="0" applyFont="1" applyFill="1" applyBorder="1"/>
    <xf numFmtId="0" fontId="30" fillId="0" borderId="0" xfId="0" applyFont="1" applyBorder="1"/>
    <xf numFmtId="0" fontId="103" fillId="26" borderId="0" xfId="0" applyFont="1" applyFill="1" applyBorder="1"/>
    <xf numFmtId="0" fontId="30" fillId="26" borderId="0" xfId="0" applyFont="1" applyFill="1"/>
    <xf numFmtId="0" fontId="30" fillId="0" borderId="0" xfId="0" applyFont="1"/>
    <xf numFmtId="0" fontId="25" fillId="30" borderId="0" xfId="0" applyFont="1" applyFill="1"/>
    <xf numFmtId="0" fontId="98" fillId="26" borderId="0" xfId="0" applyFont="1" applyFill="1"/>
    <xf numFmtId="0" fontId="19" fillId="24" borderId="0" xfId="0" applyFont="1" applyFill="1"/>
    <xf numFmtId="166" fontId="98" fillId="24" borderId="0" xfId="0" applyNumberFormat="1" applyFont="1" applyFill="1" applyAlignment="1">
      <alignment horizontal="center"/>
    </xf>
    <xf numFmtId="0" fontId="98" fillId="14" borderId="0" xfId="0" applyFont="1" applyFill="1"/>
    <xf numFmtId="166" fontId="98" fillId="14" borderId="0" xfId="0" applyNumberFormat="1" applyFont="1" applyFill="1" applyAlignment="1">
      <alignment horizontal="center"/>
    </xf>
    <xf numFmtId="0" fontId="105" fillId="26" borderId="0" xfId="0" applyFont="1" applyFill="1"/>
    <xf numFmtId="0" fontId="105" fillId="0" borderId="0" xfId="0" applyFont="1" applyAlignment="1">
      <alignment horizontal="right"/>
    </xf>
    <xf numFmtId="9" fontId="105" fillId="0" borderId="0" xfId="1" applyFont="1" applyAlignment="1">
      <alignment horizontal="center"/>
    </xf>
    <xf numFmtId="0" fontId="105" fillId="0" borderId="0" xfId="0" applyFont="1"/>
    <xf numFmtId="0" fontId="107" fillId="0" borderId="0" xfId="0" applyFont="1"/>
    <xf numFmtId="0" fontId="108" fillId="26" borderId="0" xfId="0" applyFont="1" applyFill="1"/>
    <xf numFmtId="0" fontId="108" fillId="0" borderId="0" xfId="0" applyFont="1"/>
    <xf numFmtId="166" fontId="98" fillId="34" borderId="0" xfId="0" applyNumberFormat="1" applyFont="1" applyFill="1" applyAlignment="1">
      <alignment horizontal="center"/>
    </xf>
    <xf numFmtId="166" fontId="98" fillId="50" borderId="0" xfId="0" applyNumberFormat="1" applyFont="1" applyFill="1" applyAlignment="1">
      <alignment horizontal="center"/>
    </xf>
    <xf numFmtId="166" fontId="98" fillId="47" borderId="0" xfId="0" applyNumberFormat="1" applyFont="1" applyFill="1" applyAlignment="1">
      <alignment horizontal="center"/>
    </xf>
    <xf numFmtId="166" fontId="98" fillId="49" borderId="0" xfId="0" applyNumberFormat="1" applyFont="1" applyFill="1" applyAlignment="1">
      <alignment horizontal="center"/>
    </xf>
    <xf numFmtId="166" fontId="97" fillId="49" borderId="0" xfId="0" applyNumberFormat="1" applyFont="1" applyFill="1" applyAlignment="1">
      <alignment horizontal="center"/>
    </xf>
    <xf numFmtId="166" fontId="106" fillId="49" borderId="0" xfId="0" applyNumberFormat="1" applyFont="1" applyFill="1" applyAlignment="1">
      <alignment horizontal="center"/>
    </xf>
    <xf numFmtId="9" fontId="105" fillId="47" borderId="0" xfId="1" applyFont="1" applyFill="1" applyAlignment="1">
      <alignment horizontal="center"/>
    </xf>
    <xf numFmtId="166" fontId="106" fillId="47" borderId="0" xfId="0" applyNumberFormat="1" applyFont="1" applyFill="1" applyAlignment="1">
      <alignment horizontal="center"/>
    </xf>
    <xf numFmtId="166" fontId="106" fillId="34" borderId="0" xfId="0" applyNumberFormat="1" applyFont="1" applyFill="1" applyAlignment="1">
      <alignment horizontal="center"/>
    </xf>
    <xf numFmtId="166" fontId="98" fillId="48" borderId="0" xfId="0" applyNumberFormat="1" applyFont="1" applyFill="1" applyAlignment="1">
      <alignment horizontal="center"/>
    </xf>
    <xf numFmtId="168" fontId="105" fillId="48" borderId="0" xfId="1" applyNumberFormat="1" applyFont="1" applyFill="1" applyAlignment="1">
      <alignment horizontal="center"/>
    </xf>
    <xf numFmtId="166" fontId="106" fillId="48" borderId="0" xfId="0" applyNumberFormat="1" applyFont="1" applyFill="1" applyAlignment="1">
      <alignment horizontal="center"/>
    </xf>
    <xf numFmtId="166" fontId="25" fillId="21" borderId="0" xfId="0" applyNumberFormat="1" applyFont="1" applyFill="1" applyAlignment="1">
      <alignment horizontal="center"/>
    </xf>
    <xf numFmtId="166" fontId="109" fillId="0" borderId="0" xfId="0" applyNumberFormat="1" applyFont="1"/>
    <xf numFmtId="166" fontId="63" fillId="30" borderId="1" xfId="0" applyNumberFormat="1" applyFont="1" applyFill="1" applyBorder="1"/>
    <xf numFmtId="1" fontId="25" fillId="30" borderId="0" xfId="0" applyNumberFormat="1" applyFont="1" applyFill="1"/>
    <xf numFmtId="166" fontId="0" fillId="0" borderId="0" xfId="0" applyNumberFormat="1" applyFont="1" applyBorder="1"/>
    <xf numFmtId="0" fontId="96" fillId="0" borderId="0" xfId="4" applyFont="1" applyFill="1" applyAlignment="1">
      <alignment horizontal="right"/>
    </xf>
    <xf numFmtId="0" fontId="97" fillId="0" borderId="0" xfId="4" applyFont="1" applyFill="1" applyAlignment="1">
      <alignment horizontal="right"/>
    </xf>
    <xf numFmtId="166" fontId="98" fillId="0" borderId="0" xfId="0" applyNumberFormat="1" applyFont="1" applyFill="1" applyAlignment="1">
      <alignment horizontal="center"/>
    </xf>
    <xf numFmtId="166" fontId="98" fillId="49" borderId="0" xfId="0" applyNumberFormat="1" applyFont="1" applyFill="1"/>
    <xf numFmtId="166" fontId="25" fillId="51" borderId="0" xfId="0" applyNumberFormat="1" applyFont="1" applyFill="1" applyAlignment="1">
      <alignment horizontal="center"/>
    </xf>
    <xf numFmtId="166" fontId="111" fillId="21" borderId="0" xfId="0" applyNumberFormat="1" applyFont="1" applyFill="1" applyAlignment="1">
      <alignment horizontal="center"/>
    </xf>
    <xf numFmtId="166" fontId="111" fillId="51" borderId="0" xfId="0" applyNumberFormat="1" applyFont="1" applyFill="1" applyAlignment="1">
      <alignment horizontal="center"/>
    </xf>
    <xf numFmtId="0" fontId="111" fillId="13" borderId="0" xfId="4" applyFont="1" applyFill="1" applyAlignment="1">
      <alignment horizontal="right"/>
    </xf>
    <xf numFmtId="0" fontId="3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97" fillId="0" borderId="0" xfId="4" applyFont="1" applyFill="1" applyBorder="1" applyAlignment="1">
      <alignment horizontal="right"/>
    </xf>
    <xf numFmtId="0" fontId="0" fillId="0" borderId="0" xfId="0" applyFont="1" applyFill="1" applyBorder="1"/>
    <xf numFmtId="0" fontId="0" fillId="0" borderId="18" xfId="0" applyFont="1" applyBorder="1"/>
    <xf numFmtId="0" fontId="20" fillId="0" borderId="17" xfId="0" applyFont="1" applyBorder="1"/>
    <xf numFmtId="0" fontId="20" fillId="0" borderId="0" xfId="0" applyFont="1" applyBorder="1"/>
    <xf numFmtId="0" fontId="39" fillId="26" borderId="0" xfId="0" applyFont="1" applyFill="1" applyBorder="1" applyAlignment="1">
      <alignment horizontal="right"/>
    </xf>
    <xf numFmtId="169" fontId="20" fillId="27" borderId="0" xfId="0" applyNumberFormat="1" applyFont="1" applyFill="1" applyBorder="1"/>
    <xf numFmtId="0" fontId="20" fillId="26" borderId="0" xfId="0" applyFont="1" applyFill="1" applyBorder="1" applyAlignment="1">
      <alignment horizontal="left"/>
    </xf>
    <xf numFmtId="0" fontId="39" fillId="26" borderId="0" xfId="0" applyFont="1" applyFill="1" applyBorder="1"/>
    <xf numFmtId="168" fontId="20" fillId="27" borderId="0" xfId="0" applyNumberFormat="1" applyFont="1" applyFill="1" applyBorder="1"/>
    <xf numFmtId="0" fontId="20" fillId="26" borderId="0" xfId="0" applyFont="1" applyFill="1" applyBorder="1"/>
    <xf numFmtId="10" fontId="63" fillId="28" borderId="0" xfId="0" applyNumberFormat="1" applyFont="1" applyFill="1" applyBorder="1"/>
    <xf numFmtId="0" fontId="39" fillId="0" borderId="0" xfId="0" applyFont="1" applyBorder="1" applyAlignment="1">
      <alignment horizontal="right"/>
    </xf>
    <xf numFmtId="0" fontId="39" fillId="0" borderId="0" xfId="0" applyFont="1" applyBorder="1" applyAlignment="1">
      <alignment horizontal="center" wrapText="1"/>
    </xf>
    <xf numFmtId="0" fontId="39" fillId="26" borderId="0" xfId="0" applyFont="1" applyFill="1" applyBorder="1" applyAlignment="1">
      <alignment horizontal="center" wrapText="1"/>
    </xf>
    <xf numFmtId="168" fontId="20" fillId="0" borderId="0" xfId="1" applyNumberFormat="1" applyFont="1" applyBorder="1" applyAlignment="1">
      <alignment horizontal="center"/>
    </xf>
    <xf numFmtId="10" fontId="39" fillId="0" borderId="0" xfId="1" applyNumberFormat="1" applyFont="1" applyBorder="1" applyAlignment="1">
      <alignment horizontal="center"/>
    </xf>
    <xf numFmtId="169" fontId="39" fillId="0" borderId="0" xfId="1" applyNumberFormat="1" applyFont="1" applyBorder="1" applyAlignment="1">
      <alignment horizontal="center"/>
    </xf>
    <xf numFmtId="0" fontId="104" fillId="18" borderId="0" xfId="4" applyFont="1" applyFill="1" applyBorder="1" applyAlignment="1">
      <alignment horizontal="right"/>
    </xf>
    <xf numFmtId="0" fontId="104" fillId="6" borderId="0" xfId="4" applyFont="1" applyFill="1" applyBorder="1" applyAlignment="1">
      <alignment horizontal="right"/>
    </xf>
    <xf numFmtId="168" fontId="39" fillId="0" borderId="0" xfId="1" applyNumberFormat="1" applyFont="1" applyBorder="1" applyAlignment="1">
      <alignment horizontal="center"/>
    </xf>
    <xf numFmtId="0" fontId="104" fillId="4" borderId="0" xfId="4" applyFont="1" applyFill="1" applyBorder="1" applyAlignment="1">
      <alignment horizontal="right"/>
    </xf>
    <xf numFmtId="0" fontId="20" fillId="31" borderId="0" xfId="0" applyFont="1" applyFill="1" applyBorder="1" applyAlignment="1">
      <alignment horizontal="right"/>
    </xf>
    <xf numFmtId="168" fontId="20" fillId="0" borderId="0" xfId="1" applyNumberFormat="1" applyFont="1" applyFill="1" applyBorder="1" applyAlignment="1">
      <alignment horizontal="center"/>
    </xf>
    <xf numFmtId="169" fontId="39" fillId="27" borderId="0" xfId="1" applyNumberFormat="1" applyFont="1" applyFill="1" applyBorder="1" applyAlignment="1">
      <alignment horizontal="center"/>
    </xf>
    <xf numFmtId="0" fontId="110" fillId="0" borderId="22" xfId="0" applyFont="1" applyBorder="1"/>
    <xf numFmtId="0" fontId="110" fillId="31" borderId="22" xfId="0" applyFont="1" applyFill="1" applyBorder="1" applyAlignment="1">
      <alignment horizontal="right"/>
    </xf>
    <xf numFmtId="168" fontId="110" fillId="0" borderId="22" xfId="1" applyNumberFormat="1" applyFont="1" applyFill="1" applyBorder="1" applyAlignment="1">
      <alignment horizontal="center"/>
    </xf>
    <xf numFmtId="169" fontId="112" fillId="0" borderId="22" xfId="1" applyNumberFormat="1" applyFont="1" applyFill="1" applyBorder="1" applyAlignment="1">
      <alignment horizontal="center"/>
    </xf>
    <xf numFmtId="0" fontId="98" fillId="0" borderId="19" xfId="0" applyFont="1" applyBorder="1"/>
    <xf numFmtId="0" fontId="98" fillId="0" borderId="0" xfId="0" applyFont="1" applyBorder="1"/>
    <xf numFmtId="0" fontId="113" fillId="26" borderId="0" xfId="0" applyFont="1" applyFill="1" applyBorder="1"/>
    <xf numFmtId="0" fontId="98" fillId="0" borderId="20" xfId="0" applyFont="1" applyBorder="1"/>
    <xf numFmtId="0" fontId="98" fillId="26" borderId="0" xfId="0" applyFont="1" applyFill="1" applyBorder="1"/>
    <xf numFmtId="0" fontId="108" fillId="0" borderId="21" xfId="0" applyFont="1" applyBorder="1"/>
    <xf numFmtId="0" fontId="98" fillId="0" borderId="22" xfId="0" applyFont="1" applyBorder="1"/>
    <xf numFmtId="0" fontId="98" fillId="0" borderId="23" xfId="0" applyFont="1" applyBorder="1"/>
    <xf numFmtId="0" fontId="98" fillId="0" borderId="0" xfId="0" applyFont="1" applyFill="1" applyBorder="1"/>
    <xf numFmtId="9" fontId="20" fillId="26" borderId="0" xfId="0" applyNumberFormat="1" applyFont="1" applyFill="1" applyBorder="1" applyAlignment="1">
      <alignment horizontal="center"/>
    </xf>
    <xf numFmtId="9" fontId="104" fillId="22" borderId="0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166" fontId="0" fillId="0" borderId="0" xfId="0" applyNumberFormat="1" applyFill="1"/>
    <xf numFmtId="173" fontId="0" fillId="27" borderId="0" xfId="0" applyNumberFormat="1" applyFill="1"/>
    <xf numFmtId="172" fontId="0" fillId="0" borderId="0" xfId="0" applyNumberFormat="1" applyFill="1"/>
    <xf numFmtId="166" fontId="40" fillId="0" borderId="0" xfId="0" applyNumberFormat="1" applyFont="1" applyFill="1"/>
    <xf numFmtId="2" fontId="0" fillId="0" borderId="0" xfId="0" applyNumberFormat="1" applyFill="1"/>
    <xf numFmtId="0" fontId="0" fillId="16" borderId="0" xfId="0" applyFill="1"/>
    <xf numFmtId="0" fontId="5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73" fontId="0" fillId="0" borderId="0" xfId="0" applyNumberFormat="1" applyFill="1"/>
    <xf numFmtId="166" fontId="0" fillId="29" borderId="1" xfId="0" applyNumberFormat="1" applyFill="1" applyBorder="1" applyAlignment="1">
      <alignment horizontal="center"/>
    </xf>
    <xf numFmtId="173" fontId="0" fillId="29" borderId="0" xfId="0" applyNumberFormat="1" applyFill="1"/>
    <xf numFmtId="44" fontId="0" fillId="0" borderId="16" xfId="0" applyNumberFormat="1" applyFont="1" applyBorder="1"/>
    <xf numFmtId="0" fontId="39" fillId="0" borderId="17" xfId="0" applyFont="1" applyBorder="1" applyAlignment="1">
      <alignment horizontal="center"/>
    </xf>
    <xf numFmtId="0" fontId="39" fillId="0" borderId="17" xfId="0" applyFont="1" applyBorder="1"/>
    <xf numFmtId="0" fontId="47" fillId="26" borderId="0" xfId="0" applyFont="1" applyFill="1" applyBorder="1"/>
    <xf numFmtId="0" fontId="64" fillId="26" borderId="0" xfId="0" applyFont="1" applyFill="1" applyBorder="1"/>
    <xf numFmtId="0" fontId="104" fillId="26" borderId="0" xfId="0" applyFont="1" applyFill="1" applyBorder="1"/>
    <xf numFmtId="10" fontId="20" fillId="0" borderId="0" xfId="0" applyNumberFormat="1" applyFont="1" applyFill="1" applyBorder="1"/>
    <xf numFmtId="10" fontId="63" fillId="0" borderId="0" xfId="0" applyNumberFormat="1" applyFont="1" applyFill="1" applyBorder="1"/>
    <xf numFmtId="0" fontId="20" fillId="0" borderId="0" xfId="0" applyFont="1" applyFill="1" applyBorder="1"/>
    <xf numFmtId="0" fontId="39" fillId="27" borderId="0" xfId="0" applyFont="1" applyFill="1" applyBorder="1" applyAlignment="1">
      <alignment horizontal="right"/>
    </xf>
    <xf numFmtId="0" fontId="39" fillId="0" borderId="0" xfId="0" applyFont="1" applyFill="1" applyBorder="1" applyAlignment="1">
      <alignment horizontal="right"/>
    </xf>
    <xf numFmtId="172" fontId="0" fillId="0" borderId="0" xfId="0" applyNumberFormat="1" applyFont="1"/>
    <xf numFmtId="0" fontId="0" fillId="18" borderId="1" xfId="0" applyFont="1" applyFill="1" applyBorder="1" applyAlignment="1">
      <alignment horizontal="left"/>
    </xf>
    <xf numFmtId="0" fontId="8" fillId="18" borderId="1" xfId="0" applyFont="1" applyFill="1" applyBorder="1" applyAlignment="1">
      <alignment horizontal="center"/>
    </xf>
    <xf numFmtId="172" fontId="106" fillId="49" borderId="0" xfId="0" applyNumberFormat="1" applyFont="1" applyFill="1" applyAlignment="1">
      <alignment horizontal="center"/>
    </xf>
    <xf numFmtId="0" fontId="98" fillId="34" borderId="0" xfId="0" applyFont="1" applyFill="1"/>
    <xf numFmtId="0" fontId="98" fillId="49" borderId="0" xfId="0" applyFont="1" applyFill="1"/>
    <xf numFmtId="166" fontId="157" fillId="34" borderId="0" xfId="0" applyNumberFormat="1" applyFont="1" applyFill="1" applyAlignment="1">
      <alignment horizontal="center"/>
    </xf>
    <xf numFmtId="166" fontId="157" fillId="49" borderId="0" xfId="0" applyNumberFormat="1" applyFont="1" applyFill="1" applyAlignment="1">
      <alignment horizontal="center"/>
    </xf>
    <xf numFmtId="166" fontId="158" fillId="34" borderId="0" xfId="0" applyNumberFormat="1" applyFont="1" applyFill="1" applyAlignment="1">
      <alignment horizontal="center"/>
    </xf>
    <xf numFmtId="166" fontId="158" fillId="49" borderId="0" xfId="0" applyNumberFormat="1" applyFont="1" applyFill="1" applyAlignment="1">
      <alignment horizontal="center"/>
    </xf>
    <xf numFmtId="166" fontId="19" fillId="34" borderId="0" xfId="0" applyNumberFormat="1" applyFont="1" applyFill="1" applyAlignment="1">
      <alignment horizontal="center"/>
    </xf>
    <xf numFmtId="166" fontId="19" fillId="49" borderId="0" xfId="0" applyNumberFormat="1" applyFont="1" applyFill="1" applyAlignment="1">
      <alignment horizontal="center"/>
    </xf>
    <xf numFmtId="172" fontId="98" fillId="34" borderId="0" xfId="0" applyNumberFormat="1" applyFont="1" applyFill="1" applyAlignment="1">
      <alignment horizontal="center"/>
    </xf>
    <xf numFmtId="172" fontId="19" fillId="34" borderId="0" xfId="0" applyNumberFormat="1" applyFont="1" applyFill="1" applyAlignment="1">
      <alignment horizontal="center"/>
    </xf>
    <xf numFmtId="0" fontId="20" fillId="0" borderId="86" xfId="0" applyFont="1" applyBorder="1" applyAlignment="1">
      <alignment horizontal="center"/>
    </xf>
    <xf numFmtId="2" fontId="20" fillId="34" borderId="86" xfId="0" applyNumberFormat="1" applyFont="1" applyFill="1" applyBorder="1" applyAlignment="1">
      <alignment horizontal="center"/>
    </xf>
    <xf numFmtId="2" fontId="20" fillId="49" borderId="86" xfId="0" applyNumberFormat="1" applyFont="1" applyFill="1" applyBorder="1" applyAlignment="1">
      <alignment horizontal="center"/>
    </xf>
    <xf numFmtId="166" fontId="109" fillId="0" borderId="0" xfId="0" applyNumberFormat="1" applyFont="1" applyFill="1"/>
    <xf numFmtId="0" fontId="64" fillId="0" borderId="0" xfId="0" applyFont="1" applyFill="1"/>
    <xf numFmtId="3" fontId="63" fillId="0" borderId="0" xfId="0" applyNumberFormat="1" applyFont="1" applyFill="1"/>
    <xf numFmtId="3" fontId="20" fillId="0" borderId="0" xfId="0" applyNumberFormat="1" applyFont="1" applyFill="1"/>
    <xf numFmtId="3" fontId="37" fillId="0" borderId="0" xfId="0" applyNumberFormat="1" applyFont="1" applyFill="1"/>
    <xf numFmtId="3" fontId="47" fillId="0" borderId="0" xfId="0" applyNumberFormat="1" applyFont="1" applyFill="1"/>
    <xf numFmtId="0" fontId="98" fillId="0" borderId="0" xfId="0" applyFont="1" applyFill="1" applyAlignment="1">
      <alignment horizontal="center"/>
    </xf>
    <xf numFmtId="0" fontId="64" fillId="0" borderId="0" xfId="0" applyFont="1" applyFill="1" applyBorder="1" applyAlignment="1">
      <alignment horizontal="right"/>
    </xf>
    <xf numFmtId="0" fontId="20" fillId="0" borderId="0" xfId="0" applyFont="1" applyFill="1"/>
    <xf numFmtId="167" fontId="47" fillId="0" borderId="0" xfId="2" applyNumberFormat="1" applyFont="1" applyFill="1" applyBorder="1"/>
    <xf numFmtId="167" fontId="100" fillId="0" borderId="0" xfId="2" applyNumberFormat="1" applyFont="1" applyFill="1" applyBorder="1"/>
    <xf numFmtId="3" fontId="64" fillId="0" borderId="0" xfId="0" applyNumberFormat="1" applyFont="1" applyFill="1"/>
    <xf numFmtId="0" fontId="20" fillId="0" borderId="0" xfId="0" applyFont="1" applyFill="1" applyBorder="1" applyAlignment="1">
      <alignment horizontal="center"/>
    </xf>
    <xf numFmtId="0" fontId="39" fillId="0" borderId="0" xfId="0" applyFont="1" applyFill="1" applyBorder="1"/>
    <xf numFmtId="0" fontId="63" fillId="0" borderId="0" xfId="0" applyFont="1" applyFill="1" applyBorder="1"/>
    <xf numFmtId="1" fontId="25" fillId="0" borderId="0" xfId="0" applyNumberFormat="1" applyFont="1" applyFill="1"/>
    <xf numFmtId="0" fontId="103" fillId="0" borderId="0" xfId="0" applyFont="1" applyFill="1" applyBorder="1"/>
    <xf numFmtId="0" fontId="96" fillId="0" borderId="0" xfId="0" applyFont="1" applyFill="1"/>
    <xf numFmtId="166" fontId="97" fillId="0" borderId="0" xfId="0" applyNumberFormat="1" applyFont="1" applyFill="1" applyAlignment="1">
      <alignment horizontal="center"/>
    </xf>
    <xf numFmtId="9" fontId="105" fillId="0" borderId="0" xfId="1" applyFont="1" applyFill="1" applyAlignment="1">
      <alignment horizontal="center"/>
    </xf>
    <xf numFmtId="166" fontId="106" fillId="0" borderId="0" xfId="0" applyNumberFormat="1" applyFont="1" applyFill="1" applyAlignment="1">
      <alignment horizontal="center"/>
    </xf>
    <xf numFmtId="44" fontId="108" fillId="0" borderId="0" xfId="6" applyFont="1" applyFill="1"/>
    <xf numFmtId="166" fontId="157" fillId="0" borderId="0" xfId="0" applyNumberFormat="1" applyFont="1" applyFill="1" applyAlignment="1">
      <alignment horizontal="center"/>
    </xf>
    <xf numFmtId="166" fontId="158" fillId="0" borderId="0" xfId="0" applyNumberFormat="1" applyFont="1" applyFill="1" applyAlignment="1">
      <alignment horizontal="center"/>
    </xf>
    <xf numFmtId="166" fontId="19" fillId="0" borderId="0" xfId="0" applyNumberFormat="1" applyFont="1" applyFill="1" applyAlignment="1">
      <alignment horizontal="center"/>
    </xf>
    <xf numFmtId="172" fontId="156" fillId="0" borderId="0" xfId="0" applyNumberFormat="1" applyFont="1" applyFill="1" applyAlignment="1">
      <alignment horizontal="center"/>
    </xf>
    <xf numFmtId="166" fontId="25" fillId="0" borderId="0" xfId="0" applyNumberFormat="1" applyFont="1" applyFill="1" applyAlignment="1">
      <alignment horizontal="center"/>
    </xf>
    <xf numFmtId="166" fontId="111" fillId="0" borderId="0" xfId="0" applyNumberFormat="1" applyFont="1" applyFill="1" applyAlignment="1">
      <alignment horizontal="center"/>
    </xf>
    <xf numFmtId="0" fontId="39" fillId="34" borderId="86" xfId="0" applyFont="1" applyFill="1" applyBorder="1" applyAlignment="1">
      <alignment horizontal="center"/>
    </xf>
    <xf numFmtId="0" fontId="39" fillId="49" borderId="86" xfId="0" applyFont="1" applyFill="1" applyBorder="1" applyAlignment="1">
      <alignment horizontal="center"/>
    </xf>
    <xf numFmtId="0" fontId="0" fillId="0" borderId="86" xfId="0" applyFont="1" applyBorder="1"/>
    <xf numFmtId="9" fontId="98" fillId="0" borderId="86" xfId="0" applyNumberFormat="1" applyFont="1" applyBorder="1" applyAlignment="1">
      <alignment horizontal="center"/>
    </xf>
    <xf numFmtId="194" fontId="18" fillId="28" borderId="0" xfId="0" applyNumberFormat="1" applyFont="1" applyFill="1"/>
    <xf numFmtId="188" fontId="20" fillId="2" borderId="0" xfId="0" applyNumberFormat="1" applyFont="1" applyFill="1"/>
    <xf numFmtId="188" fontId="20" fillId="3" borderId="0" xfId="0" applyNumberFormat="1" applyFont="1" applyFill="1"/>
    <xf numFmtId="188" fontId="20" fillId="4" borderId="0" xfId="0" applyNumberFormat="1" applyFont="1" applyFill="1"/>
    <xf numFmtId="188" fontId="20" fillId="6" borderId="0" xfId="0" applyNumberFormat="1" applyFont="1" applyFill="1"/>
    <xf numFmtId="188" fontId="20" fillId="0" borderId="0" xfId="0" applyNumberFormat="1" applyFont="1"/>
    <xf numFmtId="188" fontId="64" fillId="0" borderId="0" xfId="0" applyNumberFormat="1" applyFont="1"/>
    <xf numFmtId="188" fontId="20" fillId="14" borderId="0" xfId="0" applyNumberFormat="1" applyFont="1" applyFill="1" applyBorder="1"/>
    <xf numFmtId="188" fontId="64" fillId="26" borderId="0" xfId="0" applyNumberFormat="1" applyFont="1" applyFill="1"/>
    <xf numFmtId="188" fontId="63" fillId="50" borderId="0" xfId="0" applyNumberFormat="1" applyFont="1" applyFill="1"/>
    <xf numFmtId="188" fontId="20" fillId="50" borderId="0" xfId="0" applyNumberFormat="1" applyFont="1" applyFill="1"/>
    <xf numFmtId="188" fontId="20" fillId="49" borderId="0" xfId="0" applyNumberFormat="1" applyFont="1" applyFill="1"/>
    <xf numFmtId="188" fontId="37" fillId="49" borderId="0" xfId="0" applyNumberFormat="1" applyFont="1" applyFill="1"/>
    <xf numFmtId="195" fontId="47" fillId="49" borderId="0" xfId="2" applyNumberFormat="1" applyFont="1" applyFill="1" applyBorder="1"/>
    <xf numFmtId="195" fontId="100" fillId="49" borderId="0" xfId="2" applyNumberFormat="1" applyFont="1" applyFill="1" applyBorder="1"/>
    <xf numFmtId="188" fontId="63" fillId="50" borderId="0" xfId="2" applyNumberFormat="1" applyFont="1" applyFill="1" applyBorder="1"/>
    <xf numFmtId="188" fontId="37" fillId="50" borderId="0" xfId="2" applyNumberFormat="1" applyFont="1" applyFill="1" applyBorder="1"/>
    <xf numFmtId="166" fontId="20" fillId="27" borderId="1" xfId="0" applyNumberFormat="1" applyFont="1" applyFill="1" applyBorder="1"/>
    <xf numFmtId="167" fontId="63" fillId="0" borderId="0" xfId="2" applyNumberFormat="1" applyFont="1" applyFill="1" applyBorder="1"/>
    <xf numFmtId="3" fontId="20" fillId="0" borderId="0" xfId="0" applyNumberFormat="1" applyFont="1" applyFill="1" applyBorder="1"/>
    <xf numFmtId="167" fontId="37" fillId="0" borderId="0" xfId="2" applyNumberFormat="1" applyFont="1" applyFill="1" applyBorder="1"/>
    <xf numFmtId="169" fontId="99" fillId="0" borderId="86" xfId="0" applyNumberFormat="1" applyFont="1" applyBorder="1" applyAlignment="1">
      <alignment horizontal="center"/>
    </xf>
    <xf numFmtId="0" fontId="3" fillId="18" borderId="0" xfId="0" applyFont="1" applyFill="1" applyAlignment="1">
      <alignment horizontal="center"/>
    </xf>
    <xf numFmtId="0" fontId="3" fillId="15" borderId="0" xfId="0" applyFont="1" applyFill="1" applyAlignment="1">
      <alignment horizontal="center"/>
    </xf>
    <xf numFmtId="0" fontId="159" fillId="0" borderId="0" xfId="0" applyFont="1" applyAlignment="1">
      <alignment horizontal="right"/>
    </xf>
    <xf numFmtId="172" fontId="159" fillId="49" borderId="0" xfId="0" applyNumberFormat="1" applyFont="1" applyFill="1" applyAlignment="1">
      <alignment horizontal="center"/>
    </xf>
    <xf numFmtId="0" fontId="110" fillId="29" borderId="0" xfId="0" applyFont="1" applyFill="1"/>
    <xf numFmtId="0" fontId="110" fillId="29" borderId="0" xfId="0" applyFont="1" applyFill="1" applyAlignment="1">
      <alignment horizontal="right"/>
    </xf>
    <xf numFmtId="44" fontId="110" fillId="29" borderId="0" xfId="6" applyFont="1" applyFill="1"/>
    <xf numFmtId="10" fontId="157" fillId="0" borderId="86" xfId="0" applyNumberFormat="1" applyFont="1" applyBorder="1" applyAlignment="1">
      <alignment horizontal="center"/>
    </xf>
    <xf numFmtId="10" fontId="105" fillId="0" borderId="0" xfId="0" applyNumberFormat="1" applyFont="1"/>
    <xf numFmtId="0" fontId="111" fillId="0" borderId="0" xfId="0" applyFont="1"/>
    <xf numFmtId="166" fontId="111" fillId="0" borderId="0" xfId="0" applyNumberFormat="1" applyFont="1"/>
    <xf numFmtId="0" fontId="162" fillId="0" borderId="0" xfId="0" applyFont="1"/>
    <xf numFmtId="0" fontId="63" fillId="0" borderId="0" xfId="0" applyFont="1"/>
    <xf numFmtId="172" fontId="164" fillId="49" borderId="0" xfId="0" applyNumberFormat="1" applyFont="1" applyFill="1" applyAlignment="1">
      <alignment horizontal="center"/>
    </xf>
    <xf numFmtId="0" fontId="63" fillId="27" borderId="0" xfId="0" applyFont="1" applyFill="1"/>
    <xf numFmtId="0" fontId="59" fillId="27" borderId="0" xfId="0" applyFont="1" applyFill="1" applyAlignment="1">
      <alignment wrapText="1"/>
    </xf>
    <xf numFmtId="0" fontId="59" fillId="0" borderId="0" xfId="0" applyFont="1" applyAlignment="1">
      <alignment wrapText="1"/>
    </xf>
    <xf numFmtId="0" fontId="59" fillId="0" borderId="86" xfId="0" applyFont="1" applyBorder="1" applyAlignment="1">
      <alignment wrapText="1"/>
    </xf>
    <xf numFmtId="0" fontId="59" fillId="41" borderId="86" xfId="0" applyFont="1" applyFill="1" applyBorder="1" applyAlignment="1">
      <alignment horizontal="center" wrapText="1"/>
    </xf>
    <xf numFmtId="0" fontId="59" fillId="41" borderId="86" xfId="2" applyNumberFormat="1" applyFont="1" applyFill="1" applyBorder="1" applyAlignment="1">
      <alignment horizontal="center" wrapText="1"/>
    </xf>
    <xf numFmtId="0" fontId="59" fillId="0" borderId="86" xfId="0" applyFont="1" applyBorder="1" applyAlignment="1">
      <alignment horizontal="right" wrapText="1"/>
    </xf>
    <xf numFmtId="44" fontId="59" fillId="0" borderId="86" xfId="98" applyFont="1" applyFill="1" applyBorder="1" applyAlignment="1">
      <alignment wrapText="1"/>
    </xf>
    <xf numFmtId="44" fontId="44" fillId="26" borderId="86" xfId="98" applyFont="1" applyFill="1" applyBorder="1" applyAlignment="1">
      <alignment wrapText="1"/>
    </xf>
    <xf numFmtId="0" fontId="59" fillId="0" borderId="86" xfId="0" applyFont="1" applyFill="1" applyBorder="1" applyAlignment="1">
      <alignment wrapText="1"/>
    </xf>
    <xf numFmtId="44" fontId="59" fillId="0" borderId="86" xfId="10" applyFont="1" applyFill="1" applyBorder="1" applyAlignment="1">
      <alignment wrapText="1"/>
    </xf>
    <xf numFmtId="0" fontId="61" fillId="20" borderId="86" xfId="0" applyFont="1" applyFill="1" applyBorder="1" applyAlignment="1">
      <alignment horizontal="right" wrapText="1"/>
    </xf>
    <xf numFmtId="0" fontId="61" fillId="20" borderId="86" xfId="0" applyFont="1" applyFill="1" applyBorder="1" applyAlignment="1">
      <alignment wrapText="1"/>
    </xf>
    <xf numFmtId="164" fontId="61" fillId="20" borderId="86" xfId="0" applyNumberFormat="1" applyFont="1" applyFill="1" applyBorder="1" applyAlignment="1">
      <alignment wrapText="1"/>
    </xf>
    <xf numFmtId="0" fontId="61" fillId="34" borderId="86" xfId="0" applyFont="1" applyFill="1" applyBorder="1" applyAlignment="1">
      <alignment horizontal="right" wrapText="1"/>
    </xf>
    <xf numFmtId="0" fontId="61" fillId="34" borderId="86" xfId="0" applyFont="1" applyFill="1" applyBorder="1" applyAlignment="1">
      <alignment wrapText="1"/>
    </xf>
    <xf numFmtId="164" fontId="61" fillId="34" borderId="86" xfId="0" applyNumberFormat="1" applyFont="1" applyFill="1" applyBorder="1" applyAlignment="1">
      <alignment wrapText="1"/>
    </xf>
    <xf numFmtId="2" fontId="59" fillId="0" borderId="0" xfId="0" applyNumberFormat="1" applyFont="1" applyAlignment="1">
      <alignment wrapText="1"/>
    </xf>
    <xf numFmtId="43" fontId="44" fillId="0" borderId="0" xfId="48" applyFont="1" applyFill="1" applyAlignment="1">
      <alignment horizontal="center"/>
    </xf>
    <xf numFmtId="1" fontId="1" fillId="0" borderId="0" xfId="243" applyFill="1"/>
    <xf numFmtId="2" fontId="1" fillId="0" borderId="0" xfId="243" applyNumberFormat="1" applyFill="1"/>
    <xf numFmtId="44" fontId="1" fillId="0" borderId="0" xfId="243" applyNumberFormat="1" applyFill="1"/>
    <xf numFmtId="0" fontId="114" fillId="26" borderId="0" xfId="0" applyFont="1" applyFill="1" applyBorder="1"/>
    <xf numFmtId="0" fontId="20" fillId="0" borderId="0" xfId="8" applyFont="1" applyFill="1"/>
    <xf numFmtId="0" fontId="39" fillId="0" borderId="17" xfId="0" applyFont="1" applyFill="1" applyBorder="1"/>
    <xf numFmtId="0" fontId="20" fillId="26" borderId="17" xfId="0" applyFont="1" applyFill="1" applyBorder="1"/>
    <xf numFmtId="17" fontId="47" fillId="26" borderId="0" xfId="0" applyNumberFormat="1" applyFont="1" applyFill="1" applyBorder="1" applyAlignment="1">
      <alignment horizontal="right"/>
    </xf>
    <xf numFmtId="0" fontId="20" fillId="26" borderId="0" xfId="8" applyFont="1" applyFill="1" applyBorder="1"/>
    <xf numFmtId="0" fontId="20" fillId="26" borderId="0" xfId="8" applyFont="1" applyFill="1"/>
    <xf numFmtId="0" fontId="20" fillId="26" borderId="0" xfId="8" applyFont="1" applyFill="1" applyAlignment="1">
      <alignment horizontal="center"/>
    </xf>
    <xf numFmtId="0" fontId="20" fillId="27" borderId="0" xfId="8" applyFont="1" applyFill="1" applyAlignment="1">
      <alignment horizontal="center"/>
    </xf>
    <xf numFmtId="0" fontId="20" fillId="27" borderId="0" xfId="8" applyFont="1" applyFill="1"/>
    <xf numFmtId="9" fontId="20" fillId="0" borderId="0" xfId="1" applyFont="1" applyFill="1"/>
    <xf numFmtId="0" fontId="20" fillId="26" borderId="19" xfId="0" applyFont="1" applyFill="1" applyBorder="1"/>
    <xf numFmtId="0" fontId="39" fillId="26" borderId="19" xfId="0" applyFont="1" applyFill="1" applyBorder="1"/>
    <xf numFmtId="0" fontId="39" fillId="26" borderId="26" xfId="0" applyFont="1" applyFill="1" applyBorder="1" applyAlignment="1">
      <alignment horizontal="center"/>
    </xf>
    <xf numFmtId="0" fontId="39" fillId="26" borderId="0" xfId="0" applyFont="1" applyFill="1" applyBorder="1" applyAlignment="1">
      <alignment horizontal="center"/>
    </xf>
    <xf numFmtId="176" fontId="63" fillId="34" borderId="0" xfId="0" applyNumberFormat="1" applyFont="1" applyFill="1" applyBorder="1" applyAlignment="1">
      <alignment horizontal="center"/>
    </xf>
    <xf numFmtId="176" fontId="104" fillId="34" borderId="0" xfId="0" applyNumberFormat="1" applyFont="1" applyFill="1" applyBorder="1" applyAlignment="1">
      <alignment horizontal="center"/>
    </xf>
    <xf numFmtId="176" fontId="104" fillId="49" borderId="0" xfId="0" applyNumberFormat="1" applyFont="1" applyFill="1" applyBorder="1" applyAlignment="1">
      <alignment horizontal="center"/>
    </xf>
    <xf numFmtId="44" fontId="165" fillId="26" borderId="0" xfId="6" applyFont="1" applyFill="1" applyBorder="1"/>
    <xf numFmtId="0" fontId="110" fillId="26" borderId="0" xfId="8" applyFont="1" applyFill="1"/>
    <xf numFmtId="0" fontId="39" fillId="34" borderId="0" xfId="0" applyFont="1" applyFill="1" applyBorder="1"/>
    <xf numFmtId="2" fontId="39" fillId="34" borderId="0" xfId="0" applyNumberFormat="1" applyFont="1" applyFill="1" applyBorder="1" applyAlignment="1">
      <alignment horizontal="center"/>
    </xf>
    <xf numFmtId="2" fontId="39" fillId="49" borderId="0" xfId="0" applyNumberFormat="1" applyFont="1" applyFill="1" applyBorder="1" applyAlignment="1">
      <alignment horizontal="center"/>
    </xf>
    <xf numFmtId="2" fontId="166" fillId="26" borderId="0" xfId="0" applyNumberFormat="1" applyFont="1" applyFill="1" applyBorder="1" applyAlignment="1">
      <alignment horizontal="center"/>
    </xf>
    <xf numFmtId="0" fontId="20" fillId="26" borderId="19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right"/>
    </xf>
    <xf numFmtId="0" fontId="20" fillId="34" borderId="0" xfId="0" applyFont="1" applyFill="1" applyBorder="1"/>
    <xf numFmtId="2" fontId="20" fillId="34" borderId="0" xfId="0" applyNumberFormat="1" applyFont="1" applyFill="1" applyBorder="1" applyAlignment="1">
      <alignment horizontal="center"/>
    </xf>
    <xf numFmtId="2" fontId="20" fillId="49" borderId="0" xfId="0" applyNumberFormat="1" applyFont="1" applyFill="1" applyBorder="1" applyAlignment="1">
      <alignment horizontal="center"/>
    </xf>
    <xf numFmtId="2" fontId="165" fillId="26" borderId="0" xfId="0" applyNumberFormat="1" applyFont="1" applyFill="1" applyBorder="1" applyAlignment="1">
      <alignment horizontal="center"/>
    </xf>
    <xf numFmtId="0" fontId="20" fillId="39" borderId="0" xfId="8" applyFont="1" applyFill="1" applyAlignment="1">
      <alignment horizontal="right"/>
    </xf>
    <xf numFmtId="2" fontId="20" fillId="39" borderId="0" xfId="8" applyNumberFormat="1" applyFont="1" applyFill="1"/>
    <xf numFmtId="0" fontId="110" fillId="38" borderId="19" xfId="0" applyFont="1" applyFill="1" applyBorder="1" applyAlignment="1">
      <alignment horizontal="right" wrapText="1"/>
    </xf>
    <xf numFmtId="0" fontId="110" fillId="0" borderId="0" xfId="0" applyFont="1" applyFill="1" applyBorder="1" applyAlignment="1">
      <alignment horizontal="right" wrapText="1"/>
    </xf>
    <xf numFmtId="2" fontId="110" fillId="34" borderId="0" xfId="0" applyNumberFormat="1" applyFont="1" applyFill="1" applyBorder="1" applyAlignment="1">
      <alignment horizontal="center"/>
    </xf>
    <xf numFmtId="2" fontId="110" fillId="49" borderId="0" xfId="0" applyNumberFormat="1" applyFont="1" applyFill="1" applyBorder="1" applyAlignment="1">
      <alignment horizontal="center"/>
    </xf>
    <xf numFmtId="2" fontId="165" fillId="26" borderId="0" xfId="8" applyNumberFormat="1" applyFont="1" applyFill="1" applyBorder="1"/>
    <xf numFmtId="0" fontId="39" fillId="26" borderId="19" xfId="0" applyFont="1" applyFill="1" applyBorder="1" applyAlignment="1">
      <alignment horizontal="right"/>
    </xf>
    <xf numFmtId="2" fontId="168" fillId="26" borderId="0" xfId="0" applyNumberFormat="1" applyFont="1" applyFill="1" applyBorder="1" applyAlignment="1">
      <alignment horizontal="center"/>
    </xf>
    <xf numFmtId="2" fontId="20" fillId="26" borderId="0" xfId="0" applyNumberFormat="1" applyFont="1" applyFill="1" applyBorder="1" applyAlignment="1">
      <alignment horizontal="center"/>
    </xf>
    <xf numFmtId="2" fontId="109" fillId="26" borderId="0" xfId="0" applyNumberFormat="1" applyFont="1" applyFill="1" applyBorder="1" applyAlignment="1">
      <alignment horizontal="center"/>
    </xf>
    <xf numFmtId="0" fontId="20" fillId="49" borderId="0" xfId="8" applyFont="1" applyFill="1" applyBorder="1"/>
    <xf numFmtId="0" fontId="169" fillId="39" borderId="19" xfId="0" applyFont="1" applyFill="1" applyBorder="1" applyAlignment="1">
      <alignment horizontal="right"/>
    </xf>
    <xf numFmtId="0" fontId="169" fillId="0" borderId="0" xfId="0" applyFont="1" applyFill="1" applyBorder="1" applyAlignment="1">
      <alignment horizontal="right"/>
    </xf>
    <xf numFmtId="2" fontId="169" fillId="34" borderId="0" xfId="0" applyNumberFormat="1" applyFont="1" applyFill="1" applyBorder="1" applyAlignment="1">
      <alignment horizontal="center"/>
    </xf>
    <xf numFmtId="2" fontId="169" fillId="49" borderId="0" xfId="0" applyNumberFormat="1" applyFont="1" applyFill="1" applyBorder="1" applyAlignment="1">
      <alignment horizontal="center"/>
    </xf>
    <xf numFmtId="0" fontId="20" fillId="39" borderId="19" xfId="0" applyFont="1" applyFill="1" applyBorder="1" applyAlignment="1">
      <alignment horizontal="right"/>
    </xf>
    <xf numFmtId="9" fontId="109" fillId="34" borderId="0" xfId="9" applyFont="1" applyFill="1" applyBorder="1" applyAlignment="1">
      <alignment horizontal="center"/>
    </xf>
    <xf numFmtId="9" fontId="109" fillId="49" borderId="0" xfId="9" applyFont="1" applyFill="1" applyBorder="1" applyAlignment="1">
      <alignment horizontal="center"/>
    </xf>
    <xf numFmtId="176" fontId="20" fillId="26" borderId="0" xfId="0" applyNumberFormat="1" applyFont="1" applyFill="1" applyBorder="1" applyAlignment="1">
      <alignment horizontal="center"/>
    </xf>
    <xf numFmtId="176" fontId="109" fillId="26" borderId="0" xfId="8" applyNumberFormat="1" applyFont="1" applyFill="1"/>
    <xf numFmtId="176" fontId="163" fillId="26" borderId="0" xfId="0" applyNumberFormat="1" applyFont="1" applyFill="1" applyBorder="1" applyAlignment="1">
      <alignment horizontal="center"/>
    </xf>
    <xf numFmtId="176" fontId="171" fillId="26" borderId="0" xfId="0" applyNumberFormat="1" applyFont="1" applyFill="1" applyBorder="1" applyAlignment="1">
      <alignment horizontal="center"/>
    </xf>
    <xf numFmtId="0" fontId="163" fillId="39" borderId="19" xfId="0" applyFont="1" applyFill="1" applyBorder="1" applyAlignment="1">
      <alignment horizontal="right"/>
    </xf>
    <xf numFmtId="0" fontId="163" fillId="0" borderId="0" xfId="0" applyFont="1" applyFill="1" applyBorder="1" applyAlignment="1">
      <alignment horizontal="right"/>
    </xf>
    <xf numFmtId="174" fontId="172" fillId="34" borderId="0" xfId="10" applyNumberFormat="1" applyFont="1" applyFill="1" applyBorder="1"/>
    <xf numFmtId="174" fontId="172" fillId="49" borderId="0" xfId="10" applyNumberFormat="1" applyFont="1" applyFill="1" applyBorder="1"/>
    <xf numFmtId="9" fontId="163" fillId="49" borderId="0" xfId="1" applyFont="1" applyFill="1" applyBorder="1"/>
    <xf numFmtId="0" fontId="39" fillId="16" borderId="19" xfId="0" applyFont="1" applyFill="1" applyBorder="1"/>
    <xf numFmtId="0" fontId="20" fillId="16" borderId="19" xfId="0" applyFont="1" applyFill="1" applyBorder="1" applyAlignment="1">
      <alignment horizontal="right"/>
    </xf>
    <xf numFmtId="2" fontId="20" fillId="26" borderId="0" xfId="8" applyNumberFormat="1" applyFont="1" applyFill="1" applyBorder="1"/>
    <xf numFmtId="177" fontId="20" fillId="26" borderId="0" xfId="8" applyNumberFormat="1" applyFont="1" applyFill="1" applyBorder="1"/>
    <xf numFmtId="0" fontId="20" fillId="16" borderId="19" xfId="0" applyFont="1" applyFill="1" applyBorder="1"/>
    <xf numFmtId="0" fontId="110" fillId="26" borderId="19" xfId="0" applyFont="1" applyFill="1" applyBorder="1"/>
    <xf numFmtId="0" fontId="110" fillId="0" borderId="0" xfId="0" applyFont="1" applyFill="1" applyBorder="1"/>
    <xf numFmtId="196" fontId="110" fillId="34" borderId="0" xfId="10" applyNumberFormat="1" applyFont="1" applyFill="1" applyBorder="1"/>
    <xf numFmtId="196" fontId="110" fillId="49" borderId="0" xfId="10" applyNumberFormat="1" applyFont="1" applyFill="1" applyBorder="1"/>
    <xf numFmtId="0" fontId="110" fillId="26" borderId="0" xfId="8" applyFont="1" applyFill="1" applyBorder="1"/>
    <xf numFmtId="0" fontId="110" fillId="0" borderId="0" xfId="8" applyFont="1" applyFill="1"/>
    <xf numFmtId="0" fontId="20" fillId="49" borderId="0" xfId="0" applyFont="1" applyFill="1" applyBorder="1"/>
    <xf numFmtId="0" fontId="20" fillId="20" borderId="19" xfId="0" applyFont="1" applyFill="1" applyBorder="1"/>
    <xf numFmtId="0" fontId="39" fillId="34" borderId="0" xfId="0" applyFont="1" applyFill="1" applyBorder="1" applyAlignment="1">
      <alignment horizontal="right"/>
    </xf>
    <xf numFmtId="0" fontId="39" fillId="49" borderId="0" xfId="0" applyFont="1" applyFill="1" applyBorder="1" applyAlignment="1">
      <alignment horizontal="right"/>
    </xf>
    <xf numFmtId="0" fontId="39" fillId="20" borderId="19" xfId="0" applyFont="1" applyFill="1" applyBorder="1"/>
    <xf numFmtId="0" fontId="165" fillId="25" borderId="21" xfId="0" applyFont="1" applyFill="1" applyBorder="1"/>
    <xf numFmtId="0" fontId="165" fillId="0" borderId="22" xfId="0" applyFont="1" applyFill="1" applyBorder="1"/>
    <xf numFmtId="174" fontId="165" fillId="34" borderId="22" xfId="10" applyNumberFormat="1" applyFont="1" applyFill="1" applyBorder="1"/>
    <xf numFmtId="174" fontId="165" fillId="49" borderId="22" xfId="10" applyNumberFormat="1" applyFont="1" applyFill="1" applyBorder="1"/>
    <xf numFmtId="0" fontId="104" fillId="0" borderId="0" xfId="0" applyFont="1" applyFill="1"/>
    <xf numFmtId="0" fontId="20" fillId="34" borderId="0" xfId="8" applyFont="1" applyFill="1"/>
    <xf numFmtId="0" fontId="20" fillId="49" borderId="0" xfId="8" applyFont="1" applyFill="1"/>
    <xf numFmtId="0" fontId="20" fillId="26" borderId="16" xfId="0" applyFont="1" applyFill="1" applyBorder="1"/>
    <xf numFmtId="0" fontId="20" fillId="0" borderId="17" xfId="0" applyFont="1" applyFill="1" applyBorder="1"/>
    <xf numFmtId="174" fontId="165" fillId="26" borderId="0" xfId="8" applyNumberFormat="1" applyFont="1" applyFill="1" applyBorder="1"/>
    <xf numFmtId="174" fontId="165" fillId="26" borderId="0" xfId="8" applyNumberFormat="1" applyFont="1" applyFill="1"/>
    <xf numFmtId="0" fontId="165" fillId="26" borderId="0" xfId="8" applyFont="1" applyFill="1"/>
    <xf numFmtId="0" fontId="173" fillId="34" borderId="0" xfId="0" applyFont="1" applyFill="1" applyBorder="1"/>
    <xf numFmtId="1" fontId="104" fillId="34" borderId="0" xfId="0" applyNumberFormat="1" applyFont="1" applyFill="1" applyBorder="1"/>
    <xf numFmtId="1" fontId="104" fillId="49" borderId="0" xfId="0" applyNumberFormat="1" applyFont="1" applyFill="1" applyBorder="1"/>
    <xf numFmtId="0" fontId="64" fillId="34" borderId="0" xfId="0" applyFont="1" applyFill="1" applyBorder="1"/>
    <xf numFmtId="0" fontId="64" fillId="49" borderId="0" xfId="0" applyFont="1" applyFill="1" applyBorder="1"/>
    <xf numFmtId="174" fontId="168" fillId="26" borderId="0" xfId="8" applyNumberFormat="1" applyFont="1" applyFill="1" applyBorder="1"/>
    <xf numFmtId="174" fontId="168" fillId="26" borderId="0" xfId="8" applyNumberFormat="1" applyFont="1" applyFill="1"/>
    <xf numFmtId="0" fontId="168" fillId="26" borderId="0" xfId="8" applyFont="1" applyFill="1"/>
    <xf numFmtId="0" fontId="39" fillId="26" borderId="0" xfId="8" applyFont="1" applyFill="1"/>
    <xf numFmtId="0" fontId="39" fillId="27" borderId="21" xfId="0" applyFont="1" applyFill="1" applyBorder="1"/>
    <xf numFmtId="0" fontId="39" fillId="0" borderId="22" xfId="0" applyFont="1" applyFill="1" applyBorder="1"/>
    <xf numFmtId="0" fontId="165" fillId="26" borderId="0" xfId="8" applyFont="1" applyFill="1" applyBorder="1"/>
    <xf numFmtId="175" fontId="64" fillId="34" borderId="22" xfId="0" applyNumberFormat="1" applyFont="1" applyFill="1" applyBorder="1" applyAlignment="1">
      <alignment horizontal="center"/>
    </xf>
    <xf numFmtId="175" fontId="64" fillId="49" borderId="22" xfId="0" applyNumberFormat="1" applyFont="1" applyFill="1" applyBorder="1" applyAlignment="1">
      <alignment horizontal="center"/>
    </xf>
    <xf numFmtId="0" fontId="104" fillId="34" borderId="17" xfId="0" applyFont="1" applyFill="1" applyBorder="1" applyAlignment="1">
      <alignment horizontal="center"/>
    </xf>
    <xf numFmtId="175" fontId="104" fillId="34" borderId="17" xfId="0" applyNumberFormat="1" applyFont="1" applyFill="1" applyBorder="1" applyAlignment="1">
      <alignment horizontal="center"/>
    </xf>
    <xf numFmtId="175" fontId="104" fillId="49" borderId="17" xfId="0" applyNumberFormat="1" applyFont="1" applyFill="1" applyBorder="1" applyAlignment="1">
      <alignment horizontal="center"/>
    </xf>
    <xf numFmtId="44" fontId="20" fillId="34" borderId="0" xfId="10" applyNumberFormat="1" applyFont="1" applyFill="1" applyBorder="1" applyAlignment="1">
      <alignment horizontal="center"/>
    </xf>
    <xf numFmtId="174" fontId="20" fillId="34" borderId="0" xfId="10" applyNumberFormat="1" applyFont="1" applyFill="1" applyBorder="1" applyAlignment="1">
      <alignment horizontal="center"/>
    </xf>
    <xf numFmtId="174" fontId="20" fillId="49" borderId="0" xfId="10" applyNumberFormat="1" applyFont="1" applyFill="1" applyBorder="1" applyAlignment="1">
      <alignment horizontal="center"/>
    </xf>
    <xf numFmtId="164" fontId="104" fillId="34" borderId="0" xfId="8" applyNumberFormat="1" applyFont="1" applyFill="1" applyBorder="1" applyAlignment="1">
      <alignment horizontal="center"/>
    </xf>
    <xf numFmtId="0" fontId="39" fillId="34" borderId="0" xfId="0" applyFont="1" applyFill="1" applyBorder="1" applyAlignment="1">
      <alignment horizontal="center"/>
    </xf>
    <xf numFmtId="0" fontId="20" fillId="34" borderId="0" xfId="0" applyFont="1" applyFill="1" applyBorder="1" applyAlignment="1">
      <alignment horizontal="center"/>
    </xf>
    <xf numFmtId="2" fontId="165" fillId="49" borderId="0" xfId="8" applyNumberFormat="1" applyFont="1" applyFill="1" applyBorder="1" applyAlignment="1">
      <alignment horizontal="center"/>
    </xf>
    <xf numFmtId="0" fontId="20" fillId="49" borderId="0" xfId="8" applyFont="1" applyFill="1" applyBorder="1" applyAlignment="1">
      <alignment horizontal="center"/>
    </xf>
    <xf numFmtId="0" fontId="169" fillId="34" borderId="0" xfId="0" applyFont="1" applyFill="1" applyBorder="1" applyAlignment="1">
      <alignment horizontal="center"/>
    </xf>
    <xf numFmtId="174" fontId="170" fillId="34" borderId="0" xfId="10" applyNumberFormat="1" applyFont="1" applyFill="1" applyBorder="1" applyAlignment="1">
      <alignment horizontal="center"/>
    </xf>
    <xf numFmtId="174" fontId="170" fillId="49" borderId="0" xfId="10" applyNumberFormat="1" applyFont="1" applyFill="1" applyBorder="1" applyAlignment="1">
      <alignment horizontal="center"/>
    </xf>
    <xf numFmtId="174" fontId="172" fillId="34" borderId="0" xfId="10" applyNumberFormat="1" applyFont="1" applyFill="1" applyBorder="1" applyAlignment="1">
      <alignment horizontal="center"/>
    </xf>
    <xf numFmtId="174" fontId="172" fillId="49" borderId="0" xfId="10" applyNumberFormat="1" applyFont="1" applyFill="1" applyBorder="1" applyAlignment="1">
      <alignment horizontal="center"/>
    </xf>
    <xf numFmtId="44" fontId="20" fillId="34" borderId="0" xfId="8" applyNumberFormat="1" applyFont="1" applyFill="1"/>
    <xf numFmtId="0" fontId="110" fillId="34" borderId="0" xfId="0" applyFont="1" applyFill="1" applyBorder="1" applyAlignment="1">
      <alignment horizontal="center"/>
    </xf>
    <xf numFmtId="175" fontId="110" fillId="34" borderId="0" xfId="0" applyNumberFormat="1" applyFont="1" applyFill="1" applyBorder="1" applyAlignment="1">
      <alignment horizontal="center"/>
    </xf>
    <xf numFmtId="175" fontId="110" fillId="49" borderId="0" xfId="0" applyNumberFormat="1" applyFont="1" applyFill="1" applyBorder="1" applyAlignment="1">
      <alignment horizontal="center"/>
    </xf>
    <xf numFmtId="174" fontId="110" fillId="26" borderId="0" xfId="8" applyNumberFormat="1" applyFont="1" applyFill="1" applyBorder="1"/>
    <xf numFmtId="174" fontId="110" fillId="26" borderId="0" xfId="8" applyNumberFormat="1" applyFont="1" applyFill="1"/>
    <xf numFmtId="0" fontId="101" fillId="26" borderId="0" xfId="0" applyFont="1" applyFill="1" applyAlignment="1">
      <alignment horizontal="right"/>
    </xf>
    <xf numFmtId="0" fontId="174" fillId="26" borderId="0" xfId="0" applyFont="1" applyFill="1" applyBorder="1" applyAlignment="1">
      <alignment horizontal="right"/>
    </xf>
    <xf numFmtId="0" fontId="175" fillId="0" borderId="0" xfId="0" applyFont="1" applyFill="1" applyBorder="1" applyAlignment="1">
      <alignment horizontal="left" indent="4"/>
    </xf>
    <xf numFmtId="0" fontId="176" fillId="0" borderId="0" xfId="0" applyFont="1"/>
    <xf numFmtId="0" fontId="176" fillId="0" borderId="0" xfId="0" applyFont="1" applyBorder="1"/>
    <xf numFmtId="0" fontId="39" fillId="26" borderId="16" xfId="0" applyFont="1" applyFill="1" applyBorder="1"/>
    <xf numFmtId="2" fontId="90" fillId="49" borderId="0" xfId="0" applyNumberFormat="1" applyFont="1" applyFill="1" applyAlignment="1">
      <alignment horizontal="right"/>
    </xf>
    <xf numFmtId="0" fontId="177" fillId="0" borderId="18" xfId="0" applyFont="1" applyBorder="1" applyAlignment="1">
      <alignment horizontal="right" vertical="center"/>
    </xf>
    <xf numFmtId="0" fontId="178" fillId="0" borderId="23" xfId="0" applyFont="1" applyBorder="1" applyAlignment="1">
      <alignment horizontal="right" vertical="center"/>
    </xf>
    <xf numFmtId="0" fontId="177" fillId="0" borderId="18" xfId="0" applyFont="1" applyBorder="1" applyAlignment="1">
      <alignment horizontal="center" vertical="center" wrapText="1"/>
    </xf>
    <xf numFmtId="0" fontId="177" fillId="0" borderId="23" xfId="0" applyFont="1" applyBorder="1" applyAlignment="1">
      <alignment horizontal="center" vertical="center" wrapText="1"/>
    </xf>
    <xf numFmtId="0" fontId="179" fillId="0" borderId="36" xfId="0" applyFont="1" applyBorder="1" applyAlignment="1">
      <alignment vertical="center"/>
    </xf>
    <xf numFmtId="0" fontId="181" fillId="0" borderId="23" xfId="0" applyFont="1" applyBorder="1" applyAlignment="1">
      <alignment horizontal="right" vertical="center"/>
    </xf>
    <xf numFmtId="0" fontId="181" fillId="80" borderId="23" xfId="0" applyFont="1" applyFill="1" applyBorder="1" applyAlignment="1">
      <alignment horizontal="right" vertical="center"/>
    </xf>
    <xf numFmtId="0" fontId="179" fillId="28" borderId="23" xfId="0" applyFont="1" applyFill="1" applyBorder="1" applyAlignment="1">
      <alignment horizontal="right" vertical="center"/>
    </xf>
    <xf numFmtId="0" fontId="182" fillId="0" borderId="23" xfId="0" applyFont="1" applyBorder="1" applyAlignment="1">
      <alignment horizontal="right" vertical="center" wrapText="1"/>
    </xf>
    <xf numFmtId="0" fontId="182" fillId="0" borderId="23" xfId="0" applyFont="1" applyBorder="1" applyAlignment="1">
      <alignment vertical="center" wrapText="1"/>
    </xf>
    <xf numFmtId="0" fontId="72" fillId="0" borderId="20" xfId="0" applyFont="1" applyBorder="1" applyAlignment="1">
      <alignment vertical="center" wrapText="1"/>
    </xf>
    <xf numFmtId="0" fontId="72" fillId="0" borderId="23" xfId="0" applyFont="1" applyBorder="1" applyAlignment="1">
      <alignment vertical="center" wrapText="1"/>
    </xf>
    <xf numFmtId="0" fontId="185" fillId="0" borderId="36" xfId="0" applyFont="1" applyBorder="1" applyAlignment="1">
      <alignment vertical="center"/>
    </xf>
    <xf numFmtId="0" fontId="185" fillId="0" borderId="23" xfId="0" applyFont="1" applyBorder="1" applyAlignment="1">
      <alignment vertical="center"/>
    </xf>
    <xf numFmtId="0" fontId="186" fillId="80" borderId="23" xfId="0" applyFont="1" applyFill="1" applyBorder="1" applyAlignment="1">
      <alignment vertical="center"/>
    </xf>
    <xf numFmtId="0" fontId="186" fillId="28" borderId="23" xfId="0" applyFont="1" applyFill="1" applyBorder="1" applyAlignment="1">
      <alignment vertical="center"/>
    </xf>
    <xf numFmtId="0" fontId="187" fillId="0" borderId="23" xfId="0" applyFont="1" applyBorder="1" applyAlignment="1">
      <alignment vertical="center" wrapText="1"/>
    </xf>
    <xf numFmtId="0" fontId="183" fillId="0" borderId="23" xfId="0" applyFont="1" applyBorder="1" applyAlignment="1">
      <alignment vertical="center" wrapText="1"/>
    </xf>
    <xf numFmtId="0" fontId="188" fillId="0" borderId="23" xfId="0" applyFont="1" applyBorder="1" applyAlignment="1">
      <alignment horizontal="center" vertical="center"/>
    </xf>
    <xf numFmtId="0" fontId="181" fillId="80" borderId="23" xfId="0" applyFont="1" applyFill="1" applyBorder="1" applyAlignment="1">
      <alignment horizontal="center" vertical="center"/>
    </xf>
    <xf numFmtId="0" fontId="189" fillId="0" borderId="36" xfId="0" applyFont="1" applyBorder="1" applyAlignment="1">
      <alignment vertical="center"/>
    </xf>
    <xf numFmtId="0" fontId="189" fillId="0" borderId="23" xfId="0" applyFont="1" applyBorder="1" applyAlignment="1">
      <alignment horizontal="right" vertical="center"/>
    </xf>
    <xf numFmtId="0" fontId="189" fillId="81" borderId="23" xfId="0" applyFont="1" applyFill="1" applyBorder="1" applyAlignment="1">
      <alignment horizontal="right" vertical="center"/>
    </xf>
    <xf numFmtId="0" fontId="178" fillId="28" borderId="23" xfId="0" applyFont="1" applyFill="1" applyBorder="1" applyAlignment="1">
      <alignment horizontal="right" vertical="center"/>
    </xf>
    <xf numFmtId="0" fontId="190" fillId="0" borderId="23" xfId="0" applyFont="1" applyBorder="1" applyAlignment="1">
      <alignment horizontal="right" vertical="center" wrapText="1"/>
    </xf>
    <xf numFmtId="0" fontId="181" fillId="82" borderId="36" xfId="0" applyFont="1" applyFill="1" applyBorder="1" applyAlignment="1">
      <alignment vertical="center"/>
    </xf>
    <xf numFmtId="0" fontId="181" fillId="82" borderId="23" xfId="0" applyFont="1" applyFill="1" applyBorder="1" applyAlignment="1">
      <alignment horizontal="right" vertical="center"/>
    </xf>
    <xf numFmtId="0" fontId="181" fillId="81" borderId="23" xfId="0" applyFont="1" applyFill="1" applyBorder="1" applyAlignment="1">
      <alignment horizontal="right" vertical="center"/>
    </xf>
    <xf numFmtId="0" fontId="191" fillId="0" borderId="36" xfId="0" applyFont="1" applyBorder="1" applyAlignment="1">
      <alignment vertical="center"/>
    </xf>
    <xf numFmtId="9" fontId="191" fillId="0" borderId="23" xfId="0" applyNumberFormat="1" applyFont="1" applyBorder="1" applyAlignment="1">
      <alignment horizontal="center" vertical="center"/>
    </xf>
    <xf numFmtId="10" fontId="191" fillId="81" borderId="23" xfId="0" applyNumberFormat="1" applyFont="1" applyFill="1" applyBorder="1" applyAlignment="1">
      <alignment horizontal="center" vertical="center"/>
    </xf>
    <xf numFmtId="0" fontId="192" fillId="28" borderId="23" xfId="0" applyFont="1" applyFill="1" applyBorder="1" applyAlignment="1">
      <alignment vertical="center"/>
    </xf>
    <xf numFmtId="0" fontId="178" fillId="0" borderId="23" xfId="0" applyFont="1" applyBorder="1" applyAlignment="1">
      <alignment horizontal="center" vertical="center"/>
    </xf>
    <xf numFmtId="0" fontId="181" fillId="83" borderId="34" xfId="0" applyFont="1" applyFill="1" applyBorder="1" applyAlignment="1">
      <alignment vertical="center"/>
    </xf>
    <xf numFmtId="0" fontId="178" fillId="83" borderId="35" xfId="0" applyFont="1" applyFill="1" applyBorder="1" applyAlignment="1">
      <alignment horizontal="center" vertical="center"/>
    </xf>
    <xf numFmtId="0" fontId="177" fillId="83" borderId="35" xfId="0" applyFont="1" applyFill="1" applyBorder="1" applyAlignment="1">
      <alignment horizontal="center" vertical="center"/>
    </xf>
    <xf numFmtId="0" fontId="179" fillId="0" borderId="36" xfId="0" applyFont="1" applyBorder="1" applyAlignment="1">
      <alignment horizontal="right" vertical="center"/>
    </xf>
    <xf numFmtId="0" fontId="181" fillId="0" borderId="23" xfId="0" applyFont="1" applyBorder="1" applyAlignment="1">
      <alignment horizontal="center" vertical="center"/>
    </xf>
    <xf numFmtId="0" fontId="177" fillId="0" borderId="23" xfId="0" applyFont="1" applyBorder="1" applyAlignment="1">
      <alignment horizontal="center" vertical="center"/>
    </xf>
    <xf numFmtId="0" fontId="178" fillId="0" borderId="36" xfId="0" applyFont="1" applyBorder="1" applyAlignment="1">
      <alignment vertical="center"/>
    </xf>
    <xf numFmtId="0" fontId="189" fillId="0" borderId="23" xfId="0" applyFont="1" applyBorder="1" applyAlignment="1">
      <alignment horizontal="center" vertical="center"/>
    </xf>
    <xf numFmtId="0" fontId="188" fillId="0" borderId="23" xfId="0" applyFont="1" applyBorder="1" applyAlignment="1">
      <alignment vertical="center" wrapText="1"/>
    </xf>
    <xf numFmtId="0" fontId="20" fillId="0" borderId="86" xfId="0" applyFont="1" applyBorder="1"/>
    <xf numFmtId="0" fontId="20" fillId="0" borderId="86" xfId="0" applyFont="1" applyBorder="1" applyAlignment="1">
      <alignment wrapText="1"/>
    </xf>
    <xf numFmtId="0" fontId="0" fillId="0" borderId="86" xfId="0" applyBorder="1"/>
    <xf numFmtId="0" fontId="193" fillId="0" borderId="86" xfId="0" applyFont="1" applyBorder="1" applyAlignment="1">
      <alignment horizontal="right" vertical="center"/>
    </xf>
    <xf numFmtId="0" fontId="39" fillId="0" borderId="86" xfId="0" applyFont="1" applyBorder="1" applyAlignment="1">
      <alignment wrapText="1"/>
    </xf>
    <xf numFmtId="0" fontId="63" fillId="0" borderId="86" xfId="0" applyFont="1" applyBorder="1" applyAlignment="1">
      <alignment horizontal="center"/>
    </xf>
    <xf numFmtId="0" fontId="20" fillId="18" borderId="86" xfId="0" applyFont="1" applyFill="1" applyBorder="1"/>
    <xf numFmtId="0" fontId="20" fillId="18" borderId="86" xfId="0" applyFont="1" applyFill="1" applyBorder="1" applyAlignment="1">
      <alignment horizontal="center" wrapText="1"/>
    </xf>
    <xf numFmtId="0" fontId="20" fillId="13" borderId="86" xfId="0" applyFont="1" applyFill="1" applyBorder="1" applyAlignment="1">
      <alignment horizontal="center"/>
    </xf>
    <xf numFmtId="0" fontId="39" fillId="13" borderId="86" xfId="0" applyFont="1" applyFill="1" applyBorder="1" applyAlignment="1">
      <alignment horizontal="center"/>
    </xf>
    <xf numFmtId="166" fontId="20" fillId="0" borderId="86" xfId="0" applyNumberFormat="1" applyFont="1" applyBorder="1" applyAlignment="1">
      <alignment horizontal="center"/>
    </xf>
    <xf numFmtId="0" fontId="193" fillId="30" borderId="86" xfId="0" applyFont="1" applyFill="1" applyBorder="1" applyAlignment="1">
      <alignment horizontal="right" vertical="center"/>
    </xf>
    <xf numFmtId="0" fontId="20" fillId="30" borderId="86" xfId="0" applyFont="1" applyFill="1" applyBorder="1" applyAlignment="1">
      <alignment horizontal="center"/>
    </xf>
    <xf numFmtId="0" fontId="63" fillId="30" borderId="86" xfId="0" applyFont="1" applyFill="1" applyBorder="1" applyAlignment="1">
      <alignment horizontal="center"/>
    </xf>
    <xf numFmtId="0" fontId="63" fillId="30" borderId="86" xfId="0" applyFont="1" applyFill="1" applyBorder="1"/>
    <xf numFmtId="9" fontId="0" fillId="0" borderId="0" xfId="0" applyNumberFormat="1" applyFont="1"/>
    <xf numFmtId="9" fontId="0" fillId="0" borderId="0" xfId="0" applyNumberFormat="1" applyFont="1" applyBorder="1"/>
    <xf numFmtId="0" fontId="62" fillId="0" borderId="86" xfId="415" applyFont="1" applyBorder="1" applyAlignment="1">
      <alignment vertical="center"/>
    </xf>
    <xf numFmtId="0" fontId="196" fillId="0" borderId="86" xfId="415" applyFont="1" applyBorder="1" applyAlignment="1">
      <alignment horizontal="left" vertical="top"/>
    </xf>
    <xf numFmtId="0" fontId="181" fillId="0" borderId="86" xfId="415" applyFont="1" applyBorder="1" applyAlignment="1">
      <alignment horizontal="center" vertical="center"/>
    </xf>
    <xf numFmtId="0" fontId="197" fillId="0" borderId="86" xfId="415" applyFont="1" applyBorder="1" applyAlignment="1">
      <alignment wrapText="1"/>
    </xf>
    <xf numFmtId="0" fontId="189" fillId="84" borderId="86" xfId="415" applyFont="1" applyFill="1" applyBorder="1" applyAlignment="1">
      <alignment horizontal="left" vertical="top"/>
    </xf>
    <xf numFmtId="0" fontId="181" fillId="84" borderId="86" xfId="415" applyFont="1" applyFill="1" applyBorder="1" applyAlignment="1">
      <alignment horizontal="center" vertical="center"/>
    </xf>
    <xf numFmtId="0" fontId="181" fillId="82" borderId="86" xfId="415" applyFont="1" applyFill="1" applyBorder="1" applyAlignment="1">
      <alignment horizontal="left" vertical="top"/>
    </xf>
    <xf numFmtId="0" fontId="181" fillId="82" borderId="86" xfId="415" applyFont="1" applyFill="1" applyBorder="1" applyAlignment="1">
      <alignment horizontal="center" vertical="center"/>
    </xf>
    <xf numFmtId="0" fontId="191" fillId="0" borderId="86" xfId="415" applyFont="1" applyBorder="1" applyAlignment="1">
      <alignment horizontal="left" vertical="top"/>
    </xf>
    <xf numFmtId="9" fontId="191" fillId="0" borderId="86" xfId="415" applyNumberFormat="1" applyFont="1" applyBorder="1" applyAlignment="1">
      <alignment horizontal="center" vertical="center"/>
    </xf>
    <xf numFmtId="166" fontId="181" fillId="80" borderId="86" xfId="415" applyNumberFormat="1" applyFont="1" applyFill="1" applyBorder="1" applyAlignment="1">
      <alignment horizontal="center" vertical="center"/>
    </xf>
    <xf numFmtId="166" fontId="181" fillId="27" borderId="86" xfId="415" applyNumberFormat="1" applyFont="1" applyFill="1" applyBorder="1" applyAlignment="1">
      <alignment horizontal="center" vertical="center"/>
    </xf>
    <xf numFmtId="166" fontId="181" fillId="21" borderId="86" xfId="415" applyNumberFormat="1" applyFont="1" applyFill="1" applyBorder="1" applyAlignment="1">
      <alignment horizontal="center" vertical="center"/>
    </xf>
    <xf numFmtId="166" fontId="181" fillId="84" borderId="86" xfId="415" applyNumberFormat="1" applyFont="1" applyFill="1" applyBorder="1" applyAlignment="1">
      <alignment horizontal="center" vertical="center"/>
    </xf>
    <xf numFmtId="166" fontId="97" fillId="85" borderId="86" xfId="415" applyNumberFormat="1" applyFont="1" applyFill="1" applyBorder="1" applyAlignment="1">
      <alignment horizontal="center" vertical="center"/>
    </xf>
    <xf numFmtId="166" fontId="194" fillId="85" borderId="86" xfId="415" applyNumberFormat="1" applyFill="1" applyBorder="1" applyAlignment="1">
      <alignment horizontal="center" vertical="center"/>
    </xf>
    <xf numFmtId="166" fontId="97" fillId="21" borderId="86" xfId="415" applyNumberFormat="1" applyFont="1" applyFill="1" applyBorder="1" applyAlignment="1">
      <alignment horizontal="center" vertical="center"/>
    </xf>
    <xf numFmtId="166" fontId="97" fillId="27" borderId="2" xfId="415" applyNumberFormat="1" applyFont="1" applyFill="1" applyBorder="1" applyAlignment="1">
      <alignment horizontal="center" vertical="center"/>
    </xf>
    <xf numFmtId="166" fontId="181" fillId="80" borderId="87" xfId="415" applyNumberFormat="1" applyFont="1" applyFill="1" applyBorder="1" applyAlignment="1">
      <alignment horizontal="center" vertical="center"/>
    </xf>
    <xf numFmtId="166" fontId="181" fillId="21" borderId="7" xfId="415" applyNumberFormat="1" applyFont="1" applyFill="1" applyBorder="1" applyAlignment="1">
      <alignment horizontal="center" vertical="center"/>
    </xf>
    <xf numFmtId="166" fontId="97" fillId="27" borderId="88" xfId="415" applyNumberFormat="1" applyFont="1" applyFill="1" applyBorder="1" applyAlignment="1">
      <alignment horizontal="center" vertical="center"/>
    </xf>
    <xf numFmtId="166" fontId="97" fillId="27" borderId="24" xfId="415" applyNumberFormat="1" applyFont="1" applyFill="1" applyBorder="1" applyAlignment="1">
      <alignment horizontal="center" vertical="center"/>
    </xf>
    <xf numFmtId="0" fontId="194" fillId="27" borderId="8" xfId="415" applyFill="1" applyBorder="1"/>
    <xf numFmtId="0" fontId="197" fillId="0" borderId="87" xfId="415" applyFont="1" applyBorder="1" applyAlignment="1">
      <alignment wrapText="1"/>
    </xf>
    <xf numFmtId="0" fontId="197" fillId="0" borderId="7" xfId="415" applyFont="1" applyBorder="1" applyAlignment="1">
      <alignment wrapText="1"/>
    </xf>
    <xf numFmtId="0" fontId="197" fillId="0" borderId="25" xfId="415" applyFont="1" applyBorder="1" applyAlignment="1">
      <alignment wrapText="1"/>
    </xf>
    <xf numFmtId="0" fontId="16" fillId="0" borderId="86" xfId="415" applyFont="1" applyBorder="1" applyAlignment="1">
      <alignment horizontal="center" vertical="center" wrapText="1"/>
    </xf>
    <xf numFmtId="0" fontId="198" fillId="26" borderId="0" xfId="0" applyFont="1" applyFill="1"/>
    <xf numFmtId="166" fontId="98" fillId="21" borderId="0" xfId="0" applyNumberFormat="1" applyFont="1" applyFill="1" applyAlignment="1">
      <alignment horizontal="center"/>
    </xf>
    <xf numFmtId="9" fontId="25" fillId="0" borderId="0" xfId="1" applyNumberFormat="1" applyFont="1" applyFill="1" applyAlignment="1">
      <alignment horizontal="center"/>
    </xf>
    <xf numFmtId="0" fontId="27" fillId="0" borderId="0" xfId="0" applyFont="1" applyFill="1"/>
    <xf numFmtId="0" fontId="0" fillId="21" borderId="0" xfId="0" applyFont="1" applyFill="1"/>
    <xf numFmtId="0" fontId="39" fillId="0" borderId="0" xfId="0" applyFont="1" applyFill="1" applyBorder="1" applyAlignment="1">
      <alignment horizontal="center"/>
    </xf>
    <xf numFmtId="166" fontId="20" fillId="0" borderId="0" xfId="0" applyNumberFormat="1" applyFont="1" applyBorder="1"/>
    <xf numFmtId="0" fontId="20" fillId="0" borderId="0" xfId="0" applyFont="1" applyAlignment="1">
      <alignment horizontal="left" indent="4"/>
    </xf>
    <xf numFmtId="0" fontId="25" fillId="0" borderId="0" xfId="0" applyFont="1" applyAlignment="1">
      <alignment horizontal="right"/>
    </xf>
    <xf numFmtId="1" fontId="0" fillId="0" borderId="0" xfId="0" applyNumberFormat="1" applyAlignment="1">
      <alignment horizontal="center"/>
    </xf>
    <xf numFmtId="0" fontId="0" fillId="41" borderId="86" xfId="0" applyFill="1" applyBorder="1"/>
    <xf numFmtId="0" fontId="0" fillId="41" borderId="86" xfId="0" applyFill="1" applyBorder="1" applyAlignment="1">
      <alignment horizontal="center"/>
    </xf>
    <xf numFmtId="0" fontId="0" fillId="0" borderId="86" xfId="0" applyBorder="1" applyAlignment="1">
      <alignment horizontal="left" indent="1"/>
    </xf>
    <xf numFmtId="0" fontId="0" fillId="0" borderId="86" xfId="0" applyBorder="1" applyAlignment="1">
      <alignment horizontal="left" indent="2"/>
    </xf>
    <xf numFmtId="166" fontId="0" fillId="41" borderId="86" xfId="0" applyNumberFormat="1" applyFill="1" applyBorder="1"/>
    <xf numFmtId="166" fontId="0" fillId="41" borderId="86" xfId="0" applyNumberFormat="1" applyFill="1" applyBorder="1" applyAlignment="1">
      <alignment horizontal="center"/>
    </xf>
    <xf numFmtId="0" fontId="3" fillId="0" borderId="86" xfId="0" applyFont="1" applyBorder="1"/>
    <xf numFmtId="16" fontId="199" fillId="14" borderId="86" xfId="0" applyNumberFormat="1" applyFont="1" applyFill="1" applyBorder="1" applyAlignment="1">
      <alignment horizontal="center"/>
    </xf>
    <xf numFmtId="0" fontId="199" fillId="86" borderId="86" xfId="0" applyFont="1" applyFill="1" applyBorder="1" applyAlignment="1">
      <alignment horizontal="center"/>
    </xf>
    <xf numFmtId="0" fontId="199" fillId="14" borderId="86" xfId="0" applyFont="1" applyFill="1" applyBorder="1" applyAlignment="1">
      <alignment horizontal="center"/>
    </xf>
    <xf numFmtId="166" fontId="199" fillId="14" borderId="86" xfId="0" applyNumberFormat="1" applyFont="1" applyFill="1" applyBorder="1" applyAlignment="1">
      <alignment horizontal="center"/>
    </xf>
    <xf numFmtId="166" fontId="199" fillId="86" borderId="86" xfId="0" applyNumberFormat="1" applyFont="1" applyFill="1" applyBorder="1" applyAlignment="1">
      <alignment horizontal="center"/>
    </xf>
    <xf numFmtId="166" fontId="200" fillId="14" borderId="86" xfId="0" applyNumberFormat="1" applyFont="1" applyFill="1" applyBorder="1" applyAlignment="1">
      <alignment horizontal="center"/>
    </xf>
    <xf numFmtId="166" fontId="200" fillId="86" borderId="86" xfId="0" applyNumberFormat="1" applyFont="1" applyFill="1" applyBorder="1" applyAlignment="1">
      <alignment horizontal="center"/>
    </xf>
    <xf numFmtId="0" fontId="98" fillId="0" borderId="0" xfId="0" applyFont="1" applyAlignment="1">
      <alignment horizontal="left" indent="1"/>
    </xf>
    <xf numFmtId="2" fontId="98" fillId="0" borderId="0" xfId="0" applyNumberFormat="1" applyFont="1"/>
    <xf numFmtId="1" fontId="0" fillId="0" borderId="0" xfId="0" applyNumberFormat="1"/>
    <xf numFmtId="166" fontId="2" fillId="0" borderId="0" xfId="0" applyNumberFormat="1" applyFont="1" applyAlignment="1">
      <alignment horizontal="center"/>
    </xf>
    <xf numFmtId="2" fontId="98" fillId="49" borderId="0" xfId="0" applyNumberFormat="1" applyFont="1" applyFill="1" applyAlignment="1">
      <alignment horizontal="center"/>
    </xf>
    <xf numFmtId="2" fontId="3" fillId="41" borderId="86" xfId="0" applyNumberFormat="1" applyFont="1" applyFill="1" applyBorder="1" applyAlignment="1">
      <alignment horizontal="center"/>
    </xf>
    <xf numFmtId="0" fontId="0" fillId="18" borderId="86" xfId="0" applyFill="1" applyBorder="1"/>
    <xf numFmtId="2" fontId="0" fillId="0" borderId="86" xfId="0" applyNumberFormat="1" applyBorder="1"/>
    <xf numFmtId="2" fontId="0" fillId="27" borderId="86" xfId="0" applyNumberFormat="1" applyFill="1" applyBorder="1"/>
    <xf numFmtId="1" fontId="90" fillId="30" borderId="0" xfId="0" applyNumberFormat="1" applyFont="1" applyFill="1"/>
    <xf numFmtId="0" fontId="0" fillId="49" borderId="0" xfId="0" applyFont="1" applyFill="1" applyAlignment="1"/>
    <xf numFmtId="0" fontId="98" fillId="47" borderId="0" xfId="0" applyFont="1" applyFill="1" applyAlignment="1"/>
    <xf numFmtId="2" fontId="0" fillId="24" borderId="86" xfId="0" applyNumberFormat="1" applyFill="1" applyBorder="1"/>
    <xf numFmtId="2" fontId="0" fillId="41" borderId="86" xfId="0" applyNumberFormat="1" applyFill="1" applyBorder="1"/>
    <xf numFmtId="0" fontId="202" fillId="0" borderId="0" xfId="0" applyFont="1" applyBorder="1" applyAlignment="1">
      <alignment horizontal="center" wrapText="1"/>
    </xf>
    <xf numFmtId="0" fontId="202" fillId="26" borderId="0" xfId="0" applyFont="1" applyFill="1" applyBorder="1" applyAlignment="1">
      <alignment horizontal="center" wrapText="1"/>
    </xf>
    <xf numFmtId="168" fontId="203" fillId="0" borderId="0" xfId="1" applyNumberFormat="1" applyFont="1" applyBorder="1" applyAlignment="1">
      <alignment horizontal="center"/>
    </xf>
    <xf numFmtId="10" fontId="202" fillId="0" borderId="0" xfId="1" applyNumberFormat="1" applyFont="1" applyBorder="1" applyAlignment="1">
      <alignment horizontal="center"/>
    </xf>
    <xf numFmtId="168" fontId="202" fillId="0" borderId="0" xfId="1" applyNumberFormat="1" applyFont="1" applyBorder="1" applyAlignment="1">
      <alignment horizontal="center"/>
    </xf>
    <xf numFmtId="169" fontId="202" fillId="0" borderId="0" xfId="1" applyNumberFormat="1" applyFont="1" applyBorder="1" applyAlignment="1">
      <alignment horizontal="center"/>
    </xf>
    <xf numFmtId="168" fontId="203" fillId="0" borderId="0" xfId="1" applyNumberFormat="1" applyFont="1" applyFill="1" applyBorder="1" applyAlignment="1">
      <alignment horizontal="center"/>
    </xf>
    <xf numFmtId="169" fontId="202" fillId="27" borderId="0" xfId="1" applyNumberFormat="1" applyFont="1" applyFill="1" applyBorder="1" applyAlignment="1">
      <alignment horizontal="center"/>
    </xf>
    <xf numFmtId="168" fontId="204" fillId="0" borderId="22" xfId="1" applyNumberFormat="1" applyFont="1" applyFill="1" applyBorder="1" applyAlignment="1">
      <alignment horizontal="center"/>
    </xf>
    <xf numFmtId="169" fontId="205" fillId="0" borderId="22" xfId="1" applyNumberFormat="1" applyFont="1" applyFill="1" applyBorder="1" applyAlignment="1">
      <alignment horizontal="center"/>
    </xf>
    <xf numFmtId="0" fontId="0" fillId="27" borderId="0" xfId="0" applyFill="1" applyAlignment="1">
      <alignment horizontal="right"/>
    </xf>
    <xf numFmtId="166" fontId="0" fillId="38" borderId="1" xfId="0" applyNumberFormat="1" applyFill="1" applyBorder="1" applyAlignment="1">
      <alignment horizontal="center"/>
    </xf>
    <xf numFmtId="0" fontId="0" fillId="38" borderId="0" xfId="0" applyFill="1"/>
    <xf numFmtId="0" fontId="0" fillId="38" borderId="0" xfId="0" applyFill="1" applyAlignment="1">
      <alignment horizontal="right"/>
    </xf>
    <xf numFmtId="173" fontId="0" fillId="38" borderId="0" xfId="0" applyNumberFormat="1" applyFill="1"/>
    <xf numFmtId="0" fontId="20" fillId="16" borderId="86" xfId="0" applyFont="1" applyFill="1" applyBorder="1"/>
    <xf numFmtId="0" fontId="0" fillId="0" borderId="90" xfId="0" applyBorder="1"/>
    <xf numFmtId="0" fontId="8" fillId="18" borderId="90" xfId="0" applyFont="1" applyFill="1" applyBorder="1" applyAlignment="1">
      <alignment horizontal="center"/>
    </xf>
    <xf numFmtId="0" fontId="21" fillId="18" borderId="90" xfId="0" applyFont="1" applyFill="1" applyBorder="1" applyAlignment="1">
      <alignment horizontal="center"/>
    </xf>
    <xf numFmtId="0" fontId="21" fillId="18" borderId="91" xfId="0" applyFont="1" applyFill="1" applyBorder="1" applyAlignment="1">
      <alignment horizontal="center"/>
    </xf>
    <xf numFmtId="0" fontId="20" fillId="13" borderId="86" xfId="0" applyFont="1" applyFill="1" applyBorder="1" applyAlignment="1">
      <alignment horizontal="left" vertical="center"/>
    </xf>
    <xf numFmtId="0" fontId="0" fillId="13" borderId="86" xfId="0" applyFill="1" applyBorder="1"/>
    <xf numFmtId="166" fontId="20" fillId="13" borderId="86" xfId="0" applyNumberFormat="1" applyFont="1" applyFill="1" applyBorder="1" applyAlignment="1">
      <alignment horizontal="center" vertical="center"/>
    </xf>
    <xf numFmtId="166" fontId="20" fillId="13" borderId="29" xfId="0" applyNumberFormat="1" applyFont="1" applyFill="1" applyBorder="1" applyAlignment="1">
      <alignment horizontal="center" vertical="center"/>
    </xf>
    <xf numFmtId="0" fontId="39" fillId="13" borderId="86" xfId="0" applyFont="1" applyFill="1" applyBorder="1" applyAlignment="1">
      <alignment horizontal="left" vertical="center"/>
    </xf>
    <xf numFmtId="0" fontId="39" fillId="13" borderId="28" xfId="0" applyFont="1" applyFill="1" applyBorder="1" applyAlignment="1">
      <alignment wrapText="1"/>
    </xf>
    <xf numFmtId="0" fontId="39" fillId="13" borderId="30" xfId="0" applyFont="1" applyFill="1" applyBorder="1" applyAlignment="1">
      <alignment wrapText="1"/>
    </xf>
    <xf numFmtId="0" fontId="39" fillId="13" borderId="31" xfId="0" applyFont="1" applyFill="1" applyBorder="1" applyAlignment="1">
      <alignment horizontal="left" vertical="center"/>
    </xf>
    <xf numFmtId="0" fontId="0" fillId="13" borderId="31" xfId="0" applyFill="1" applyBorder="1"/>
    <xf numFmtId="166" fontId="20" fillId="13" borderId="31" xfId="0" applyNumberFormat="1" applyFont="1" applyFill="1" applyBorder="1" applyAlignment="1">
      <alignment horizontal="center" vertical="center"/>
    </xf>
    <xf numFmtId="166" fontId="20" fillId="13" borderId="32" xfId="0" applyNumberFormat="1" applyFont="1" applyFill="1" applyBorder="1" applyAlignment="1">
      <alignment horizontal="center" vertical="center"/>
    </xf>
    <xf numFmtId="0" fontId="20" fillId="26" borderId="86" xfId="0" applyFont="1" applyFill="1" applyBorder="1" applyAlignment="1">
      <alignment horizontal="left" vertical="center"/>
    </xf>
    <xf numFmtId="0" fontId="0" fillId="26" borderId="86" xfId="0" applyFill="1" applyBorder="1"/>
    <xf numFmtId="0" fontId="98" fillId="26" borderId="86" xfId="0" applyFont="1" applyFill="1" applyBorder="1"/>
    <xf numFmtId="0" fontId="20" fillId="26" borderId="86" xfId="0" applyFont="1" applyFill="1" applyBorder="1"/>
    <xf numFmtId="0" fontId="39" fillId="26" borderId="86" xfId="0" applyFont="1" applyFill="1" applyBorder="1" applyAlignment="1">
      <alignment horizontal="left" vertical="center"/>
    </xf>
    <xf numFmtId="0" fontId="39" fillId="26" borderId="86" xfId="0" applyFont="1" applyFill="1" applyBorder="1" applyAlignment="1">
      <alignment horizontal="right" vertical="center" wrapText="1"/>
    </xf>
    <xf numFmtId="0" fontId="0" fillId="16" borderId="29" xfId="0" applyFill="1" applyBorder="1"/>
    <xf numFmtId="0" fontId="114" fillId="13" borderId="92" xfId="0" applyFont="1" applyFill="1" applyBorder="1" applyAlignment="1"/>
    <xf numFmtId="0" fontId="39" fillId="18" borderId="27" xfId="0" applyFont="1" applyFill="1" applyBorder="1" applyAlignment="1">
      <alignment vertical="center"/>
    </xf>
    <xf numFmtId="166" fontId="20" fillId="26" borderId="86" xfId="0" applyNumberFormat="1" applyFont="1" applyFill="1" applyBorder="1" applyAlignment="1">
      <alignment horizontal="center"/>
    </xf>
    <xf numFmtId="166" fontId="20" fillId="26" borderId="86" xfId="0" applyNumberFormat="1" applyFont="1" applyFill="1" applyBorder="1" applyAlignment="1">
      <alignment horizontal="center" vertical="center"/>
    </xf>
    <xf numFmtId="0" fontId="20" fillId="26" borderId="67" xfId="0" applyFont="1" applyFill="1" applyBorder="1" applyAlignment="1">
      <alignment vertical="center" wrapText="1"/>
    </xf>
    <xf numFmtId="0" fontId="20" fillId="13" borderId="67" xfId="0" applyFont="1" applyFill="1" applyBorder="1" applyAlignment="1"/>
    <xf numFmtId="166" fontId="39" fillId="13" borderId="86" xfId="0" applyNumberFormat="1" applyFont="1" applyFill="1" applyBorder="1" applyAlignment="1">
      <alignment horizontal="center" vertical="center"/>
    </xf>
    <xf numFmtId="0" fontId="20" fillId="0" borderId="86" xfId="0" applyFont="1" applyFill="1" applyBorder="1"/>
    <xf numFmtId="0" fontId="0" fillId="0" borderId="29" xfId="0" applyFill="1" applyBorder="1"/>
    <xf numFmtId="0" fontId="206" fillId="0" borderId="0" xfId="0" applyFont="1" applyAlignment="1">
      <alignment horizontal="left" vertical="center" readingOrder="1"/>
    </xf>
    <xf numFmtId="0" fontId="20" fillId="13" borderId="28" xfId="0" applyFont="1" applyFill="1" applyBorder="1" applyAlignment="1">
      <alignment horizontal="left" vertical="center" wrapText="1" indent="2"/>
    </xf>
    <xf numFmtId="0" fontId="20" fillId="26" borderId="67" xfId="0" applyFont="1" applyFill="1" applyBorder="1" applyAlignment="1">
      <alignment horizontal="left" vertical="center" indent="2"/>
    </xf>
    <xf numFmtId="0" fontId="39" fillId="26" borderId="28" xfId="0" applyFont="1" applyFill="1" applyBorder="1" applyAlignment="1">
      <alignment horizontal="left" vertical="center" indent="6"/>
    </xf>
    <xf numFmtId="166" fontId="20" fillId="26" borderId="29" xfId="0" applyNumberFormat="1" applyFont="1" applyFill="1" applyBorder="1" applyAlignment="1">
      <alignment horizontal="center"/>
    </xf>
    <xf numFmtId="0" fontId="39" fillId="26" borderId="28" xfId="0" applyFont="1" applyFill="1" applyBorder="1" applyAlignment="1">
      <alignment horizontal="left" vertical="center" wrapText="1" indent="6"/>
    </xf>
    <xf numFmtId="0" fontId="114" fillId="13" borderId="94" xfId="0" applyFont="1" applyFill="1" applyBorder="1" applyAlignment="1"/>
    <xf numFmtId="166" fontId="39" fillId="13" borderId="29" xfId="0" applyNumberFormat="1" applyFont="1" applyFill="1" applyBorder="1" applyAlignment="1">
      <alignment horizontal="center" vertical="center"/>
    </xf>
    <xf numFmtId="0" fontId="20" fillId="13" borderId="30" xfId="0" applyFont="1" applyFill="1" applyBorder="1" applyAlignment="1">
      <alignment horizontal="left" vertical="center" wrapText="1" indent="2"/>
    </xf>
    <xf numFmtId="0" fontId="20" fillId="0" borderId="0" xfId="0" applyFont="1" applyAlignment="1">
      <alignment horizontal="right"/>
    </xf>
    <xf numFmtId="166" fontId="20" fillId="0" borderId="0" xfId="0" applyNumberFormat="1" applyFont="1"/>
    <xf numFmtId="0" fontId="20" fillId="20" borderId="0" xfId="0" applyFont="1" applyFill="1"/>
    <xf numFmtId="1" fontId="2" fillId="0" borderId="0" xfId="0" applyNumberFormat="1" applyFont="1" applyAlignment="1">
      <alignment horizontal="center"/>
    </xf>
    <xf numFmtId="0" fontId="2" fillId="26" borderId="0" xfId="0" applyFont="1" applyFill="1"/>
    <xf numFmtId="16" fontId="3" fillId="41" borderId="86" xfId="0" applyNumberFormat="1" applyFont="1" applyFill="1" applyBorder="1" applyAlignment="1">
      <alignment horizontal="center"/>
    </xf>
    <xf numFmtId="0" fontId="87" fillId="0" borderId="34" xfId="0" applyFont="1" applyBorder="1" applyAlignment="1">
      <alignment vertical="center"/>
    </xf>
    <xf numFmtId="0" fontId="87" fillId="0" borderId="35" xfId="0" applyFont="1" applyBorder="1" applyAlignment="1">
      <alignment vertical="center"/>
    </xf>
    <xf numFmtId="0" fontId="87" fillId="0" borderId="36" xfId="0" applyFont="1" applyBorder="1" applyAlignment="1">
      <alignment vertical="center"/>
    </xf>
    <xf numFmtId="0" fontId="87" fillId="0" borderId="23" xfId="0" applyFont="1" applyBorder="1" applyAlignment="1">
      <alignment vertical="center"/>
    </xf>
    <xf numFmtId="0" fontId="87" fillId="0" borderId="23" xfId="0" applyFont="1" applyBorder="1" applyAlignment="1">
      <alignment horizontal="right" vertical="center"/>
    </xf>
    <xf numFmtId="166" fontId="0" fillId="0" borderId="0" xfId="0" applyNumberFormat="1" applyFont="1"/>
    <xf numFmtId="0" fontId="207" fillId="26" borderId="0" xfId="0" applyFont="1" applyFill="1"/>
    <xf numFmtId="0" fontId="208" fillId="26" borderId="0" xfId="0" applyFont="1" applyFill="1" applyBorder="1" applyAlignment="1"/>
    <xf numFmtId="0" fontId="3" fillId="27" borderId="0" xfId="0" applyFont="1" applyFill="1"/>
    <xf numFmtId="0" fontId="72" fillId="0" borderId="0" xfId="407" applyFont="1" applyAlignment="1">
      <alignment horizontal="center"/>
    </xf>
    <xf numFmtId="0" fontId="72" fillId="0" borderId="0" xfId="407" applyFont="1"/>
    <xf numFmtId="0" fontId="74" fillId="0" borderId="0" xfId="407" applyFont="1"/>
    <xf numFmtId="0" fontId="72" fillId="0" borderId="0" xfId="407" applyFont="1" applyFill="1"/>
    <xf numFmtId="0" fontId="182" fillId="0" borderId="0" xfId="407" applyFont="1"/>
    <xf numFmtId="0" fontId="72" fillId="26" borderId="0" xfId="407" applyFont="1" applyFill="1"/>
    <xf numFmtId="0" fontId="210" fillId="0" borderId="0" xfId="417" applyFont="1" applyFill="1" applyBorder="1" applyAlignment="1">
      <alignment horizontal="center" vertical="center"/>
    </xf>
    <xf numFmtId="0" fontId="210" fillId="0" borderId="0" xfId="417" applyFont="1" applyFill="1" applyBorder="1" applyAlignment="1">
      <alignment vertical="center"/>
    </xf>
    <xf numFmtId="0" fontId="21" fillId="0" borderId="0" xfId="417" applyFont="1" applyFill="1" applyBorder="1" applyAlignment="1">
      <alignment vertical="center"/>
    </xf>
    <xf numFmtId="0" fontId="21" fillId="0" borderId="0" xfId="407" applyFont="1" applyAlignment="1"/>
    <xf numFmtId="0" fontId="21" fillId="0" borderId="0" xfId="407" applyFont="1" applyFill="1" applyAlignment="1"/>
    <xf numFmtId="0" fontId="182" fillId="0" borderId="0" xfId="417" applyFont="1" applyFill="1" applyBorder="1" applyAlignment="1">
      <alignment vertical="center"/>
    </xf>
    <xf numFmtId="0" fontId="210" fillId="26" borderId="0" xfId="417" applyFont="1" applyFill="1" applyBorder="1" applyAlignment="1">
      <alignment vertical="center"/>
    </xf>
    <xf numFmtId="0" fontId="210" fillId="0" borderId="0" xfId="407" applyFont="1" applyAlignment="1"/>
    <xf numFmtId="0" fontId="210" fillId="0" borderId="0" xfId="407" applyFont="1" applyFill="1" applyAlignment="1"/>
    <xf numFmtId="2" fontId="210" fillId="0" borderId="0" xfId="407" applyNumberFormat="1" applyFont="1" applyFill="1" applyAlignment="1"/>
    <xf numFmtId="0" fontId="21" fillId="0" borderId="0" xfId="417" applyFont="1" applyAlignment="1">
      <alignment horizontal="center"/>
    </xf>
    <xf numFmtId="0" fontId="21" fillId="0" borderId="0" xfId="417" applyFont="1" applyAlignment="1"/>
    <xf numFmtId="0" fontId="21" fillId="0" borderId="0" xfId="417" applyFont="1" applyFill="1" applyBorder="1" applyAlignment="1">
      <alignment horizontal="left" vertical="center"/>
    </xf>
    <xf numFmtId="0" fontId="21" fillId="0" borderId="0" xfId="417" applyFont="1" applyFill="1" applyBorder="1" applyAlignment="1">
      <alignment horizontal="right" vertical="center"/>
    </xf>
    <xf numFmtId="0" fontId="211" fillId="0" borderId="0" xfId="100" applyNumberFormat="1" applyFont="1" applyFill="1" applyBorder="1" applyAlignment="1">
      <alignment horizontal="right" vertical="center"/>
    </xf>
    <xf numFmtId="0" fontId="211" fillId="0" borderId="0" xfId="100" applyNumberFormat="1" applyFont="1" applyFill="1" applyBorder="1" applyAlignment="1">
      <alignment horizontal="center" vertical="center"/>
    </xf>
    <xf numFmtId="0" fontId="21" fillId="26" borderId="0" xfId="417" applyFont="1" applyFill="1" applyAlignment="1"/>
    <xf numFmtId="0" fontId="23" fillId="0" borderId="0" xfId="417" applyFont="1" applyAlignment="1">
      <alignment horizontal="center"/>
    </xf>
    <xf numFmtId="0" fontId="23" fillId="0" borderId="0" xfId="417" applyFont="1" applyAlignment="1"/>
    <xf numFmtId="0" fontId="212" fillId="0" borderId="0" xfId="417" applyFont="1" applyFill="1" applyBorder="1" applyAlignment="1">
      <alignment horizontal="right" vertical="center"/>
    </xf>
    <xf numFmtId="0" fontId="213" fillId="0" borderId="0" xfId="417" applyFont="1" applyFill="1" applyBorder="1" applyAlignment="1">
      <alignment horizontal="right" vertical="center"/>
    </xf>
    <xf numFmtId="1" fontId="213" fillId="0" borderId="0" xfId="417" applyNumberFormat="1" applyFont="1" applyFill="1" applyBorder="1" applyAlignment="1" applyProtection="1">
      <alignment horizontal="centerContinuous" vertical="center"/>
    </xf>
    <xf numFmtId="1" fontId="213" fillId="0" borderId="0" xfId="100" applyNumberFormat="1" applyFont="1" applyFill="1" applyBorder="1" applyAlignment="1">
      <alignment horizontal="centerContinuous" vertical="center"/>
    </xf>
    <xf numFmtId="43" fontId="213" fillId="0" borderId="0" xfId="100" applyFont="1" applyFill="1" applyBorder="1" applyAlignment="1">
      <alignment horizontal="centerContinuous" vertical="center"/>
    </xf>
    <xf numFmtId="1" fontId="213" fillId="0" borderId="0" xfId="417" applyNumberFormat="1" applyFont="1" applyFill="1" applyBorder="1" applyAlignment="1" applyProtection="1">
      <alignment horizontal="center" vertical="center"/>
    </xf>
    <xf numFmtId="0" fontId="23" fillId="26" borderId="0" xfId="417" applyFont="1" applyFill="1" applyAlignment="1"/>
    <xf numFmtId="0" fontId="215" fillId="0" borderId="95" xfId="417" applyFont="1" applyFill="1" applyBorder="1" applyAlignment="1">
      <alignment horizontal="left" vertical="center"/>
    </xf>
    <xf numFmtId="0" fontId="216" fillId="0" borderId="95" xfId="417" applyFont="1" applyFill="1" applyBorder="1"/>
    <xf numFmtId="0" fontId="216" fillId="0" borderId="95" xfId="417" applyFont="1" applyFill="1" applyBorder="1" applyAlignment="1">
      <alignment horizontal="right" vertical="center" wrapText="1"/>
    </xf>
    <xf numFmtId="0" fontId="72" fillId="0" borderId="95" xfId="407" applyFont="1" applyBorder="1"/>
    <xf numFmtId="197" fontId="217" fillId="0" borderId="95" xfId="407" applyNumberFormat="1" applyFont="1" applyFill="1" applyBorder="1" applyAlignment="1">
      <alignment horizontal="right"/>
    </xf>
    <xf numFmtId="198" fontId="217" fillId="0" borderId="95" xfId="407" applyNumberFormat="1" applyFont="1" applyFill="1" applyBorder="1" applyAlignment="1">
      <alignment horizontal="center"/>
    </xf>
    <xf numFmtId="0" fontId="210" fillId="26" borderId="0" xfId="407" applyFont="1" applyFill="1"/>
    <xf numFmtId="0" fontId="210" fillId="0" borderId="0" xfId="407" applyFont="1"/>
    <xf numFmtId="197" fontId="21" fillId="0" borderId="95" xfId="407" applyNumberFormat="1" applyFont="1" applyFill="1" applyBorder="1" applyAlignment="1">
      <alignment horizontal="right"/>
    </xf>
    <xf numFmtId="0" fontId="72" fillId="26" borderId="0" xfId="407" applyFont="1" applyFill="1" applyAlignment="1">
      <alignment horizontal="center"/>
    </xf>
    <xf numFmtId="0" fontId="215" fillId="26" borderId="0" xfId="79" applyFont="1" applyFill="1" applyBorder="1" applyAlignment="1">
      <alignment horizontal="left" vertical="center"/>
    </xf>
    <xf numFmtId="0" fontId="216" fillId="26" borderId="0" xfId="79" applyFont="1" applyFill="1"/>
    <xf numFmtId="197" fontId="217" fillId="26" borderId="0" xfId="407" applyNumberFormat="1" applyFont="1" applyFill="1" applyAlignment="1">
      <alignment horizontal="right"/>
    </xf>
    <xf numFmtId="198" fontId="217" fillId="26" borderId="0" xfId="407" applyNumberFormat="1" applyFont="1" applyFill="1" applyAlignment="1">
      <alignment horizontal="center"/>
    </xf>
    <xf numFmtId="0" fontId="216" fillId="0" borderId="0" xfId="79" applyFont="1" applyFill="1"/>
    <xf numFmtId="197" fontId="217" fillId="0" borderId="0" xfId="407" applyNumberFormat="1" applyFont="1" applyFill="1" applyAlignment="1">
      <alignment horizontal="right"/>
    </xf>
    <xf numFmtId="197" fontId="21" fillId="0" borderId="0" xfId="407" applyNumberFormat="1" applyFont="1" applyFill="1" applyAlignment="1">
      <alignment horizontal="right"/>
    </xf>
    <xf numFmtId="0" fontId="21" fillId="26" borderId="0" xfId="79" applyFont="1" applyFill="1" applyAlignment="1"/>
    <xf numFmtId="0" fontId="21" fillId="26" borderId="0" xfId="79" applyFont="1" applyFill="1"/>
    <xf numFmtId="197" fontId="74" fillId="26" borderId="0" xfId="407" applyNumberFormat="1" applyFont="1" applyFill="1" applyAlignment="1">
      <alignment horizontal="right"/>
    </xf>
    <xf numFmtId="198" fontId="74" fillId="26" borderId="0" xfId="407" applyNumberFormat="1" applyFont="1" applyFill="1" applyAlignment="1">
      <alignment horizontal="center"/>
    </xf>
    <xf numFmtId="0" fontId="21" fillId="0" borderId="0" xfId="79" applyFont="1" applyFill="1"/>
    <xf numFmtId="197" fontId="74" fillId="0" borderId="0" xfId="407" applyNumberFormat="1" applyFont="1" applyFill="1" applyAlignment="1">
      <alignment horizontal="right"/>
    </xf>
    <xf numFmtId="0" fontId="72" fillId="24" borderId="0" xfId="407" applyFont="1" applyFill="1" applyAlignment="1">
      <alignment horizontal="center"/>
    </xf>
    <xf numFmtId="0" fontId="72" fillId="24" borderId="0" xfId="407" applyFont="1" applyFill="1"/>
    <xf numFmtId="0" fontId="210" fillId="24" borderId="0" xfId="79" applyFont="1" applyFill="1" applyAlignment="1"/>
    <xf numFmtId="0" fontId="210" fillId="24" borderId="0" xfId="418" applyFont="1" applyFill="1"/>
    <xf numFmtId="0" fontId="210" fillId="24" borderId="0" xfId="79" applyFont="1" applyFill="1"/>
    <xf numFmtId="197" fontId="72" fillId="24" borderId="0" xfId="407" applyNumberFormat="1" applyFont="1" applyFill="1" applyAlignment="1">
      <alignment horizontal="right"/>
    </xf>
    <xf numFmtId="198" fontId="72" fillId="24" borderId="0" xfId="407" applyNumberFormat="1" applyFont="1" applyFill="1" applyAlignment="1">
      <alignment horizontal="center"/>
    </xf>
    <xf numFmtId="197" fontId="210" fillId="24" borderId="0" xfId="407" applyNumberFormat="1" applyFont="1" applyFill="1" applyAlignment="1">
      <alignment horizontal="right"/>
    </xf>
    <xf numFmtId="0" fontId="72" fillId="34" borderId="0" xfId="407" applyFont="1" applyFill="1" applyAlignment="1">
      <alignment horizontal="center"/>
    </xf>
    <xf numFmtId="0" fontId="72" fillId="34" borderId="0" xfId="407" applyFont="1" applyFill="1"/>
    <xf numFmtId="0" fontId="210" fillId="34" borderId="0" xfId="79" applyFont="1" applyFill="1" applyAlignment="1"/>
    <xf numFmtId="0" fontId="210" fillId="34" borderId="0" xfId="79" applyFont="1" applyFill="1"/>
    <xf numFmtId="197" fontId="72" fillId="34" borderId="0" xfId="407" applyNumberFormat="1" applyFont="1" applyFill="1" applyAlignment="1">
      <alignment horizontal="right"/>
    </xf>
    <xf numFmtId="198" fontId="72" fillId="34" borderId="0" xfId="407" applyNumberFormat="1" applyFont="1" applyFill="1" applyAlignment="1">
      <alignment horizontal="center"/>
    </xf>
    <xf numFmtId="197" fontId="210" fillId="34" borderId="0" xfId="407" applyNumberFormat="1" applyFont="1" applyFill="1" applyAlignment="1">
      <alignment horizontal="right"/>
    </xf>
    <xf numFmtId="0" fontId="210" fillId="34" borderId="0" xfId="79" applyFont="1" applyFill="1" applyAlignment="1">
      <alignment horizontal="right"/>
    </xf>
    <xf numFmtId="0" fontId="218" fillId="34" borderId="0" xfId="79" applyFont="1" applyFill="1" applyAlignment="1">
      <alignment horizontal="right"/>
    </xf>
    <xf numFmtId="0" fontId="72" fillId="39" borderId="0" xfId="407" applyFont="1" applyFill="1" applyAlignment="1">
      <alignment horizontal="center"/>
    </xf>
    <xf numFmtId="0" fontId="72" fillId="39" borderId="0" xfId="407" applyFont="1" applyFill="1"/>
    <xf numFmtId="0" fontId="210" fillId="39" borderId="0" xfId="79" applyFont="1" applyFill="1" applyAlignment="1"/>
    <xf numFmtId="0" fontId="210" fillId="39" borderId="0" xfId="79" applyFont="1" applyFill="1"/>
    <xf numFmtId="197" fontId="72" fillId="39" borderId="0" xfId="407" applyNumberFormat="1" applyFont="1" applyFill="1" applyAlignment="1">
      <alignment horizontal="right"/>
    </xf>
    <xf numFmtId="198" fontId="72" fillId="39" borderId="0" xfId="407" applyNumberFormat="1" applyFont="1" applyFill="1" applyAlignment="1">
      <alignment horizontal="center"/>
    </xf>
    <xf numFmtId="197" fontId="210" fillId="0" borderId="0" xfId="407" applyNumberFormat="1" applyFont="1"/>
    <xf numFmtId="197" fontId="210" fillId="39" borderId="0" xfId="407" applyNumberFormat="1" applyFont="1" applyFill="1" applyAlignment="1">
      <alignment horizontal="right"/>
    </xf>
    <xf numFmtId="0" fontId="72" fillId="87" borderId="0" xfId="407" applyFont="1" applyFill="1" applyAlignment="1">
      <alignment horizontal="center"/>
    </xf>
    <xf numFmtId="0" fontId="72" fillId="87" borderId="0" xfId="407" applyFont="1" applyFill="1"/>
    <xf numFmtId="0" fontId="21" fillId="87" borderId="0" xfId="79" applyFont="1" applyFill="1" applyAlignment="1"/>
    <xf numFmtId="0" fontId="21" fillId="87" borderId="0" xfId="79" applyFont="1" applyFill="1"/>
    <xf numFmtId="197" fontId="74" fillId="87" borderId="0" xfId="407" applyNumberFormat="1" applyFont="1" applyFill="1" applyAlignment="1">
      <alignment horizontal="right"/>
    </xf>
    <xf numFmtId="198" fontId="74" fillId="87" borderId="0" xfId="407" applyNumberFormat="1" applyFont="1" applyFill="1" applyAlignment="1">
      <alignment horizontal="center"/>
    </xf>
    <xf numFmtId="197" fontId="21" fillId="87" borderId="0" xfId="407" applyNumberFormat="1" applyFont="1" applyFill="1" applyAlignment="1">
      <alignment horizontal="right"/>
    </xf>
    <xf numFmtId="0" fontId="72" fillId="14" borderId="0" xfId="407" applyFont="1" applyFill="1" applyAlignment="1">
      <alignment horizontal="center"/>
    </xf>
    <xf numFmtId="0" fontId="72" fillId="14" borderId="0" xfId="407" applyFont="1" applyFill="1"/>
    <xf numFmtId="0" fontId="210" fillId="14" borderId="0" xfId="79" applyFont="1" applyFill="1" applyAlignment="1"/>
    <xf numFmtId="0" fontId="210" fillId="14" borderId="0" xfId="79" applyFont="1" applyFill="1"/>
    <xf numFmtId="197" fontId="72" fillId="14" borderId="0" xfId="407" applyNumberFormat="1" applyFont="1" applyFill="1" applyAlignment="1">
      <alignment horizontal="right"/>
    </xf>
    <xf numFmtId="198" fontId="72" fillId="14" borderId="0" xfId="407" applyNumberFormat="1" applyFont="1" applyFill="1" applyAlignment="1">
      <alignment horizontal="center"/>
    </xf>
    <xf numFmtId="197" fontId="210" fillId="14" borderId="0" xfId="407" applyNumberFormat="1" applyFont="1" applyFill="1" applyAlignment="1">
      <alignment horizontal="right"/>
    </xf>
    <xf numFmtId="0" fontId="210" fillId="87" borderId="0" xfId="79" applyFont="1" applyFill="1" applyAlignment="1"/>
    <xf numFmtId="0" fontId="210" fillId="87" borderId="0" xfId="79" applyFont="1" applyFill="1"/>
    <xf numFmtId="197" fontId="72" fillId="87" borderId="0" xfId="407" applyNumberFormat="1" applyFont="1" applyFill="1" applyAlignment="1">
      <alignment horizontal="right"/>
    </xf>
    <xf numFmtId="198" fontId="72" fillId="87" borderId="0" xfId="407" applyNumberFormat="1" applyFont="1" applyFill="1" applyAlignment="1">
      <alignment horizontal="center"/>
    </xf>
    <xf numFmtId="197" fontId="210" fillId="87" borderId="0" xfId="407" applyNumberFormat="1" applyFont="1" applyFill="1" applyAlignment="1">
      <alignment horizontal="right"/>
    </xf>
    <xf numFmtId="0" fontId="210" fillId="87" borderId="0" xfId="79" applyFont="1" applyFill="1" applyAlignment="1">
      <alignment horizontal="left"/>
    </xf>
    <xf numFmtId="0" fontId="72" fillId="87" borderId="0" xfId="407" applyFont="1" applyFill="1" applyBorder="1"/>
    <xf numFmtId="197" fontId="72" fillId="87" borderId="0" xfId="407" applyNumberFormat="1" applyFont="1" applyFill="1" applyBorder="1" applyAlignment="1">
      <alignment horizontal="right"/>
    </xf>
    <xf numFmtId="0" fontId="21" fillId="14" borderId="0" xfId="79" applyFont="1" applyFill="1" applyBorder="1" applyAlignment="1"/>
    <xf numFmtId="0" fontId="21" fillId="14" borderId="0" xfId="79" applyFont="1" applyFill="1" applyBorder="1"/>
    <xf numFmtId="0" fontId="72" fillId="14" borderId="0" xfId="407" applyFont="1" applyFill="1" applyBorder="1"/>
    <xf numFmtId="197" fontId="74" fillId="14" borderId="0" xfId="407" applyNumberFormat="1" applyFont="1" applyFill="1" applyBorder="1" applyAlignment="1">
      <alignment horizontal="right"/>
    </xf>
    <xf numFmtId="198" fontId="74" fillId="14" borderId="0" xfId="407" applyNumberFormat="1" applyFont="1" applyFill="1" applyBorder="1" applyAlignment="1">
      <alignment horizontal="center"/>
    </xf>
    <xf numFmtId="197" fontId="21" fillId="14" borderId="0" xfId="407" applyNumberFormat="1" applyFont="1" applyFill="1" applyBorder="1" applyAlignment="1">
      <alignment horizontal="right"/>
    </xf>
    <xf numFmtId="0" fontId="210" fillId="14" borderId="0" xfId="79" applyFont="1" applyFill="1" applyBorder="1" applyAlignment="1"/>
    <xf numFmtId="0" fontId="210" fillId="14" borderId="0" xfId="418" applyFont="1" applyFill="1"/>
    <xf numFmtId="0" fontId="220" fillId="14" borderId="0" xfId="79" applyFont="1" applyFill="1" applyBorder="1"/>
    <xf numFmtId="197" fontId="72" fillId="14" borderId="0" xfId="407" applyNumberFormat="1" applyFont="1" applyFill="1" applyBorder="1" applyAlignment="1">
      <alignment horizontal="right"/>
    </xf>
    <xf numFmtId="198" fontId="72" fillId="14" borderId="0" xfId="407" applyNumberFormat="1" applyFont="1" applyFill="1" applyBorder="1" applyAlignment="1">
      <alignment horizontal="center"/>
    </xf>
    <xf numFmtId="197" fontId="210" fillId="14" borderId="0" xfId="407" applyNumberFormat="1" applyFont="1" applyFill="1" applyBorder="1" applyAlignment="1">
      <alignment horizontal="right"/>
    </xf>
    <xf numFmtId="0" fontId="210" fillId="14" borderId="0" xfId="79" applyFont="1" applyFill="1" applyBorder="1"/>
    <xf numFmtId="0" fontId="21" fillId="87" borderId="96" xfId="418" applyFont="1" applyFill="1" applyBorder="1" applyAlignment="1"/>
    <xf numFmtId="0" fontId="21" fillId="87" borderId="96" xfId="418" applyFont="1" applyFill="1" applyBorder="1"/>
    <xf numFmtId="0" fontId="74" fillId="87" borderId="96" xfId="407" applyFont="1" applyFill="1" applyBorder="1"/>
    <xf numFmtId="197" fontId="74" fillId="87" borderId="96" xfId="407" applyNumberFormat="1" applyFont="1" applyFill="1" applyBorder="1" applyAlignment="1">
      <alignment horizontal="right"/>
    </xf>
    <xf numFmtId="198" fontId="74" fillId="87" borderId="96" xfId="407" applyNumberFormat="1" applyFont="1" applyFill="1" applyBorder="1" applyAlignment="1">
      <alignment horizontal="center"/>
    </xf>
    <xf numFmtId="197" fontId="21" fillId="87" borderId="96" xfId="407" applyNumberFormat="1" applyFont="1" applyFill="1" applyBorder="1" applyAlignment="1">
      <alignment horizontal="right"/>
    </xf>
    <xf numFmtId="0" fontId="217" fillId="34" borderId="0" xfId="418" applyFont="1" applyFill="1" applyBorder="1" applyAlignment="1">
      <alignment horizontal="left" vertical="center"/>
    </xf>
    <xf numFmtId="0" fontId="215" fillId="34" borderId="0" xfId="79" applyFont="1" applyFill="1" applyBorder="1" applyAlignment="1">
      <alignment horizontal="left" vertical="center"/>
    </xf>
    <xf numFmtId="0" fontId="215" fillId="34" borderId="0" xfId="79" applyFont="1" applyFill="1"/>
    <xf numFmtId="197" fontId="217" fillId="34" borderId="0" xfId="407" applyNumberFormat="1" applyFont="1" applyFill="1" applyAlignment="1">
      <alignment horizontal="right"/>
    </xf>
    <xf numFmtId="198" fontId="217" fillId="34" borderId="0" xfId="407" applyNumberFormat="1" applyFont="1" applyFill="1" applyAlignment="1">
      <alignment horizontal="center"/>
    </xf>
    <xf numFmtId="197" fontId="21" fillId="34" borderId="0" xfId="407" applyNumberFormat="1" applyFont="1" applyFill="1" applyAlignment="1">
      <alignment horizontal="right"/>
    </xf>
    <xf numFmtId="0" fontId="21" fillId="34" borderId="0" xfId="79" applyFont="1" applyFill="1" applyAlignment="1"/>
    <xf numFmtId="0" fontId="21" fillId="34" borderId="0" xfId="79" applyFont="1" applyFill="1"/>
    <xf numFmtId="197" fontId="74" fillId="34" borderId="0" xfId="407" applyNumberFormat="1" applyFont="1" applyFill="1" applyAlignment="1">
      <alignment horizontal="right"/>
    </xf>
    <xf numFmtId="198" fontId="74" fillId="34" borderId="0" xfId="407" applyNumberFormat="1" applyFont="1" applyFill="1" applyAlignment="1">
      <alignment horizontal="center"/>
    </xf>
    <xf numFmtId="0" fontId="210" fillId="34" borderId="0" xfId="79" applyFont="1" applyFill="1" applyAlignment="1">
      <alignment horizontal="left"/>
    </xf>
    <xf numFmtId="0" fontId="74" fillId="34" borderId="0" xfId="407" applyFont="1" applyFill="1" applyAlignment="1">
      <alignment horizontal="center"/>
    </xf>
    <xf numFmtId="0" fontId="74" fillId="34" borderId="0" xfId="407" applyFont="1" applyFill="1"/>
    <xf numFmtId="0" fontId="21" fillId="26" borderId="0" xfId="407" applyFont="1" applyFill="1"/>
    <xf numFmtId="0" fontId="21" fillId="0" borderId="0" xfId="407" applyFont="1"/>
    <xf numFmtId="0" fontId="210" fillId="34" borderId="0" xfId="79" applyFont="1" applyFill="1" applyBorder="1" applyAlignment="1"/>
    <xf numFmtId="0" fontId="210" fillId="34" borderId="0" xfId="79" applyFont="1" applyFill="1" applyBorder="1"/>
    <xf numFmtId="0" fontId="72" fillId="34" borderId="0" xfId="407" applyFont="1" applyFill="1" applyBorder="1"/>
    <xf numFmtId="197" fontId="72" fillId="34" borderId="0" xfId="407" applyNumberFormat="1" applyFont="1" applyFill="1" applyBorder="1" applyAlignment="1">
      <alignment horizontal="right"/>
    </xf>
    <xf numFmtId="198" fontId="72" fillId="34" borderId="0" xfId="407" applyNumberFormat="1" applyFont="1" applyFill="1" applyBorder="1" applyAlignment="1">
      <alignment horizontal="center"/>
    </xf>
    <xf numFmtId="197" fontId="210" fillId="34" borderId="0" xfId="407" applyNumberFormat="1" applyFont="1" applyFill="1" applyBorder="1" applyAlignment="1">
      <alignment horizontal="right"/>
    </xf>
    <xf numFmtId="0" fontId="21" fillId="14" borderId="0" xfId="418" applyFont="1" applyFill="1" applyBorder="1" applyAlignment="1"/>
    <xf numFmtId="0" fontId="21" fillId="14" borderId="0" xfId="418" applyFont="1" applyFill="1" applyBorder="1"/>
    <xf numFmtId="0" fontId="21" fillId="14" borderId="96" xfId="418" applyFont="1" applyFill="1" applyBorder="1" applyAlignment="1"/>
    <xf numFmtId="0" fontId="21" fillId="14" borderId="96" xfId="418" applyFont="1" applyFill="1" applyBorder="1"/>
    <xf numFmtId="0" fontId="190" fillId="14" borderId="9" xfId="79" applyFont="1" applyFill="1" applyBorder="1"/>
    <xf numFmtId="0" fontId="72" fillId="14" borderId="9" xfId="407" applyFont="1" applyFill="1" applyBorder="1"/>
    <xf numFmtId="197" fontId="72" fillId="14" borderId="9" xfId="407" applyNumberFormat="1" applyFont="1" applyFill="1" applyBorder="1" applyAlignment="1">
      <alignment horizontal="right"/>
    </xf>
    <xf numFmtId="198" fontId="72" fillId="14" borderId="9" xfId="407" applyNumberFormat="1" applyFont="1" applyFill="1" applyBorder="1" applyAlignment="1">
      <alignment horizontal="center"/>
    </xf>
    <xf numFmtId="197" fontId="210" fillId="14" borderId="9" xfId="407" applyNumberFormat="1" applyFont="1" applyFill="1" applyBorder="1" applyAlignment="1">
      <alignment horizontal="right"/>
    </xf>
    <xf numFmtId="0" fontId="215" fillId="14" borderId="0" xfId="79" applyFont="1" applyFill="1" applyBorder="1" applyAlignment="1">
      <alignment horizontal="left" vertical="center"/>
    </xf>
    <xf numFmtId="0" fontId="215" fillId="14" borderId="0" xfId="79" applyFont="1" applyFill="1"/>
    <xf numFmtId="197" fontId="217" fillId="14" borderId="97" xfId="407" applyNumberFormat="1" applyFont="1" applyFill="1" applyBorder="1" applyAlignment="1">
      <alignment horizontal="right"/>
    </xf>
    <xf numFmtId="197" fontId="217" fillId="14" borderId="0" xfId="407" applyNumberFormat="1" applyFont="1" applyFill="1" applyAlignment="1">
      <alignment horizontal="right"/>
    </xf>
    <xf numFmtId="198" fontId="217" fillId="14" borderId="0" xfId="407" applyNumberFormat="1" applyFont="1" applyFill="1" applyAlignment="1">
      <alignment horizontal="center"/>
    </xf>
    <xf numFmtId="197" fontId="21" fillId="14" borderId="0" xfId="407" applyNumberFormat="1" applyFont="1" applyFill="1" applyAlignment="1">
      <alignment horizontal="right"/>
    </xf>
    <xf numFmtId="0" fontId="21" fillId="14" borderId="0" xfId="79" applyFont="1" applyFill="1" applyAlignment="1"/>
    <xf numFmtId="0" fontId="21" fillId="14" borderId="0" xfId="79" applyFont="1" applyFill="1"/>
    <xf numFmtId="197" fontId="74" fillId="14" borderId="0" xfId="407" applyNumberFormat="1" applyFont="1" applyFill="1" applyAlignment="1">
      <alignment horizontal="right"/>
    </xf>
    <xf numFmtId="198" fontId="74" fillId="14" borderId="0" xfId="407" applyNumberFormat="1" applyFont="1" applyFill="1" applyAlignment="1">
      <alignment horizontal="center"/>
    </xf>
    <xf numFmtId="0" fontId="215" fillId="14" borderId="0" xfId="79" applyFont="1" applyFill="1" applyBorder="1"/>
    <xf numFmtId="0" fontId="21" fillId="14" borderId="9" xfId="79" applyFont="1" applyFill="1" applyBorder="1" applyAlignment="1"/>
    <xf numFmtId="0" fontId="215" fillId="14" borderId="9" xfId="79" applyFont="1" applyFill="1" applyBorder="1"/>
    <xf numFmtId="197" fontId="72" fillId="14" borderId="96" xfId="407" applyNumberFormat="1" applyFont="1" applyFill="1" applyBorder="1" applyAlignment="1">
      <alignment horizontal="right"/>
    </xf>
    <xf numFmtId="0" fontId="21" fillId="14" borderId="96" xfId="79" applyFont="1" applyFill="1" applyBorder="1" applyAlignment="1"/>
    <xf numFmtId="0" fontId="21" fillId="14" borderId="96" xfId="79" applyFont="1" applyFill="1" applyBorder="1"/>
    <xf numFmtId="0" fontId="72" fillId="14" borderId="96" xfId="407" applyFont="1" applyFill="1" applyBorder="1"/>
    <xf numFmtId="198" fontId="72" fillId="14" borderId="96" xfId="407" applyNumberFormat="1" applyFont="1" applyFill="1" applyBorder="1" applyAlignment="1">
      <alignment horizontal="center"/>
    </xf>
    <xf numFmtId="197" fontId="210" fillId="14" borderId="96" xfId="407" applyNumberFormat="1" applyFont="1" applyFill="1" applyBorder="1" applyAlignment="1">
      <alignment horizontal="right"/>
    </xf>
    <xf numFmtId="0" fontId="223" fillId="0" borderId="0" xfId="407" applyFont="1"/>
    <xf numFmtId="198" fontId="72" fillId="0" borderId="0" xfId="407" applyNumberFormat="1" applyFont="1" applyFill="1"/>
    <xf numFmtId="0" fontId="21" fillId="0" borderId="0" xfId="417" applyFont="1" applyFill="1" applyAlignment="1">
      <alignment horizontal="center"/>
    </xf>
    <xf numFmtId="0" fontId="21" fillId="0" borderId="0" xfId="417" applyFont="1" applyFill="1" applyAlignment="1"/>
    <xf numFmtId="0" fontId="224" fillId="0" borderId="0" xfId="417" applyFont="1" applyFill="1" applyBorder="1" applyAlignment="1">
      <alignment horizontal="right" vertical="center"/>
    </xf>
    <xf numFmtId="0" fontId="20" fillId="0" borderId="0" xfId="0" applyFont="1" applyFill="1" applyAlignment="1">
      <alignment horizontal="center"/>
    </xf>
    <xf numFmtId="0" fontId="20" fillId="24" borderId="0" xfId="0" applyFont="1" applyFill="1"/>
    <xf numFmtId="0" fontId="163" fillId="0" borderId="0" xfId="0" applyFont="1" applyFill="1"/>
    <xf numFmtId="197" fontId="20" fillId="0" borderId="0" xfId="0" applyNumberFormat="1" applyFont="1" applyFill="1"/>
    <xf numFmtId="0" fontId="109" fillId="0" borderId="0" xfId="0" applyFont="1" applyFill="1" applyAlignment="1">
      <alignment horizontal="center"/>
    </xf>
    <xf numFmtId="0" fontId="109" fillId="0" borderId="0" xfId="0" applyFont="1" applyFill="1"/>
    <xf numFmtId="197" fontId="109" fillId="0" borderId="0" xfId="0" applyNumberFormat="1" applyFont="1" applyFill="1"/>
    <xf numFmtId="197" fontId="72" fillId="0" borderId="0" xfId="407" applyNumberFormat="1" applyFont="1" applyFill="1"/>
    <xf numFmtId="199" fontId="72" fillId="0" borderId="0" xfId="407" applyNumberFormat="1" applyFont="1"/>
    <xf numFmtId="0" fontId="21" fillId="34" borderId="0" xfId="418" applyFont="1" applyFill="1" applyBorder="1" applyAlignment="1"/>
    <xf numFmtId="0" fontId="190" fillId="34" borderId="0" xfId="418" applyFont="1" applyFill="1" applyBorder="1"/>
    <xf numFmtId="0" fontId="190" fillId="34" borderId="0" xfId="79" applyFont="1" applyFill="1" applyBorder="1"/>
    <xf numFmtId="0" fontId="210" fillId="34" borderId="0" xfId="407" applyFont="1" applyFill="1"/>
    <xf numFmtId="0" fontId="20" fillId="0" borderId="0" xfId="407" applyFont="1"/>
    <xf numFmtId="166" fontId="98" fillId="0" borderId="0" xfId="0" applyNumberFormat="1" applyFont="1"/>
    <xf numFmtId="0" fontId="98" fillId="0" borderId="0" xfId="0" applyFont="1" applyFill="1"/>
    <xf numFmtId="0" fontId="98" fillId="18" borderId="0" xfId="0" applyFont="1" applyFill="1"/>
    <xf numFmtId="0" fontId="98" fillId="4" borderId="0" xfId="0" applyFont="1" applyFill="1"/>
    <xf numFmtId="0" fontId="19" fillId="0" borderId="0" xfId="0" applyFont="1" applyFill="1"/>
    <xf numFmtId="0" fontId="209" fillId="28" borderId="0" xfId="0" applyFont="1" applyFill="1"/>
    <xf numFmtId="0" fontId="2" fillId="27" borderId="0" xfId="0" applyFont="1" applyFill="1"/>
    <xf numFmtId="0" fontId="24" fillId="27" borderId="0" xfId="0" applyFont="1" applyFill="1"/>
    <xf numFmtId="166" fontId="158" fillId="0" borderId="0" xfId="0" applyNumberFormat="1" applyFont="1"/>
    <xf numFmtId="166" fontId="98" fillId="22" borderId="0" xfId="0" applyNumberFormat="1" applyFont="1" applyFill="1"/>
    <xf numFmtId="0" fontId="97" fillId="14" borderId="0" xfId="0" applyFont="1" applyFill="1" applyBorder="1" applyAlignment="1">
      <alignment horizontal="left"/>
    </xf>
    <xf numFmtId="0" fontId="97" fillId="14" borderId="0" xfId="0" applyFont="1" applyFill="1" applyBorder="1" applyAlignment="1"/>
    <xf numFmtId="0" fontId="98" fillId="0" borderId="0" xfId="0" applyFont="1" applyAlignment="1">
      <alignment horizontal="left" indent="2"/>
    </xf>
    <xf numFmtId="0" fontId="98" fillId="18" borderId="0" xfId="0" applyFont="1" applyFill="1" applyAlignment="1">
      <alignment horizontal="left" indent="2"/>
    </xf>
    <xf numFmtId="0" fontId="98" fillId="36" borderId="0" xfId="0" applyFont="1" applyFill="1" applyAlignment="1">
      <alignment horizontal="left" indent="2"/>
    </xf>
    <xf numFmtId="0" fontId="98" fillId="14" borderId="0" xfId="0" applyFont="1" applyFill="1" applyAlignment="1">
      <alignment horizontal="left" indent="2"/>
    </xf>
    <xf numFmtId="0" fontId="98" fillId="14" borderId="0" xfId="0" applyFont="1" applyFill="1" applyAlignment="1">
      <alignment horizontal="left" indent="1"/>
    </xf>
    <xf numFmtId="0" fontId="98" fillId="18" borderId="0" xfId="0" applyFont="1" applyFill="1" applyAlignment="1">
      <alignment horizontal="left" indent="1"/>
    </xf>
    <xf numFmtId="166" fontId="19" fillId="0" borderId="0" xfId="0" applyNumberFormat="1" applyFont="1"/>
    <xf numFmtId="0" fontId="225" fillId="0" borderId="0" xfId="0" applyFont="1"/>
    <xf numFmtId="0" fontId="98" fillId="0" borderId="0" xfId="407" applyFont="1"/>
    <xf numFmtId="0" fontId="98" fillId="0" borderId="0" xfId="407" applyFont="1" applyFill="1"/>
    <xf numFmtId="166" fontId="98" fillId="26" borderId="0" xfId="0" applyNumberFormat="1" applyFont="1" applyFill="1"/>
    <xf numFmtId="0" fontId="199" fillId="0" borderId="0" xfId="0" applyFont="1"/>
    <xf numFmtId="166" fontId="199" fillId="0" borderId="0" xfId="0" applyNumberFormat="1" applyFont="1"/>
    <xf numFmtId="0" fontId="226" fillId="0" borderId="0" xfId="0" applyFont="1"/>
    <xf numFmtId="0" fontId="98" fillId="27" borderId="0" xfId="0" applyFont="1" applyFill="1"/>
    <xf numFmtId="0" fontId="99" fillId="14" borderId="0" xfId="0" applyFont="1" applyFill="1" applyAlignment="1">
      <alignment horizontal="right" indent="1"/>
    </xf>
    <xf numFmtId="200" fontId="47" fillId="49" borderId="0" xfId="2" applyNumberFormat="1" applyFont="1" applyFill="1" applyBorder="1"/>
    <xf numFmtId="0" fontId="170" fillId="0" borderId="0" xfId="0" applyFont="1"/>
    <xf numFmtId="188" fontId="109" fillId="49" borderId="0" xfId="0" applyNumberFormat="1" applyFont="1" applyFill="1"/>
    <xf numFmtId="188" fontId="170" fillId="26" borderId="0" xfId="0" applyNumberFormat="1" applyFont="1" applyFill="1"/>
    <xf numFmtId="0" fontId="199" fillId="49" borderId="0" xfId="0" applyFont="1" applyFill="1" applyAlignment="1"/>
    <xf numFmtId="0" fontId="170" fillId="0" borderId="0" xfId="0" applyFont="1" applyBorder="1" applyAlignment="1">
      <alignment horizontal="right"/>
    </xf>
    <xf numFmtId="0" fontId="109" fillId="49" borderId="0" xfId="0" applyFont="1" applyFill="1"/>
    <xf numFmtId="188" fontId="109" fillId="49" borderId="0" xfId="2" applyNumberFormat="1" applyFont="1" applyFill="1" applyBorder="1"/>
    <xf numFmtId="0" fontId="170" fillId="0" borderId="1" xfId="0" applyFont="1" applyBorder="1"/>
    <xf numFmtId="166" fontId="109" fillId="30" borderId="1" xfId="0" applyNumberFormat="1" applyFont="1" applyFill="1" applyBorder="1"/>
    <xf numFmtId="166" fontId="109" fillId="27" borderId="1" xfId="0" applyNumberFormat="1" applyFont="1" applyFill="1" applyBorder="1"/>
    <xf numFmtId="0" fontId="227" fillId="0" borderId="0" xfId="0" applyFont="1"/>
    <xf numFmtId="166" fontId="107" fillId="49" borderId="0" xfId="0" applyNumberFormat="1" applyFont="1" applyFill="1" applyAlignment="1">
      <alignment horizontal="center"/>
    </xf>
    <xf numFmtId="166" fontId="107" fillId="47" borderId="0" xfId="0" applyNumberFormat="1" applyFont="1" applyFill="1" applyAlignment="1">
      <alignment horizontal="center"/>
    </xf>
    <xf numFmtId="168" fontId="108" fillId="47" borderId="0" xfId="1" applyNumberFormat="1" applyFont="1" applyFill="1" applyAlignment="1">
      <alignment horizontal="center"/>
    </xf>
    <xf numFmtId="166" fontId="108" fillId="47" borderId="0" xfId="0" applyNumberFormat="1" applyFont="1" applyFill="1" applyAlignment="1">
      <alignment horizontal="center"/>
    </xf>
    <xf numFmtId="166" fontId="227" fillId="49" borderId="0" xfId="0" applyNumberFormat="1" applyFont="1" applyFill="1" applyAlignment="1">
      <alignment horizontal="center"/>
    </xf>
    <xf numFmtId="166" fontId="108" fillId="49" borderId="0" xfId="0" applyNumberFormat="1" applyFont="1" applyFill="1" applyAlignment="1">
      <alignment horizontal="center"/>
    </xf>
    <xf numFmtId="172" fontId="227" fillId="49" borderId="0" xfId="0" applyNumberFormat="1" applyFont="1" applyFill="1" applyAlignment="1">
      <alignment horizontal="center"/>
    </xf>
    <xf numFmtId="172" fontId="107" fillId="49" borderId="0" xfId="0" applyNumberFormat="1" applyFont="1" applyFill="1" applyAlignment="1">
      <alignment horizontal="center"/>
    </xf>
    <xf numFmtId="166" fontId="107" fillId="51" borderId="0" xfId="0" applyNumberFormat="1" applyFont="1" applyFill="1" applyAlignment="1">
      <alignment horizontal="center"/>
    </xf>
    <xf numFmtId="166" fontId="110" fillId="51" borderId="0" xfId="0" applyNumberFormat="1" applyFont="1" applyFill="1" applyAlignment="1">
      <alignment horizontal="center"/>
    </xf>
    <xf numFmtId="166" fontId="199" fillId="0" borderId="0" xfId="0" applyNumberFormat="1" applyFont="1" applyBorder="1"/>
    <xf numFmtId="166" fontId="0" fillId="0" borderId="86" xfId="0" applyNumberFormat="1" applyBorder="1" applyAlignment="1">
      <alignment horizontal="center"/>
    </xf>
    <xf numFmtId="0" fontId="3" fillId="18" borderId="86" xfId="0" applyFont="1" applyFill="1" applyBorder="1" applyAlignment="1">
      <alignment horizontal="center"/>
    </xf>
    <xf numFmtId="166" fontId="2" fillId="0" borderId="86" xfId="0" applyNumberFormat="1" applyFont="1" applyBorder="1" applyAlignment="1">
      <alignment horizontal="center"/>
    </xf>
    <xf numFmtId="0" fontId="79" fillId="0" borderId="0" xfId="0" applyFont="1"/>
    <xf numFmtId="166" fontId="18" fillId="0" borderId="0" xfId="0" applyNumberFormat="1" applyFont="1"/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35" borderId="0" xfId="0" applyFont="1" applyFill="1" applyAlignment="1">
      <alignment horizontal="center"/>
    </xf>
    <xf numFmtId="10" fontId="2" fillId="35" borderId="0" xfId="1" applyNumberFormat="1" applyFont="1" applyFill="1"/>
    <xf numFmtId="166" fontId="24" fillId="35" borderId="0" xfId="0" applyNumberFormat="1" applyFont="1" applyFill="1"/>
    <xf numFmtId="166" fontId="3" fillId="35" borderId="0" xfId="0" applyNumberFormat="1" applyFont="1" applyFill="1"/>
    <xf numFmtId="166" fontId="158" fillId="35" borderId="0" xfId="0" applyNumberFormat="1" applyFont="1" applyFill="1"/>
    <xf numFmtId="166" fontId="2" fillId="35" borderId="0" xfId="0" applyNumberFormat="1" applyFont="1" applyFill="1"/>
    <xf numFmtId="2" fontId="106" fillId="47" borderId="0" xfId="0" applyNumberFormat="1" applyFont="1" applyFill="1" applyAlignment="1">
      <alignment horizontal="center"/>
    </xf>
    <xf numFmtId="0" fontId="39" fillId="18" borderId="86" xfId="0" applyFont="1" applyFill="1" applyBorder="1" applyAlignment="1">
      <alignment horizontal="center"/>
    </xf>
    <xf numFmtId="0" fontId="39" fillId="18" borderId="86" xfId="0" applyFont="1" applyFill="1" applyBorder="1" applyAlignment="1">
      <alignment horizontal="center" wrapText="1"/>
    </xf>
    <xf numFmtId="168" fontId="20" fillId="0" borderId="86" xfId="1" applyNumberFormat="1" applyFont="1" applyBorder="1" applyAlignment="1">
      <alignment horizontal="center"/>
    </xf>
    <xf numFmtId="166" fontId="63" fillId="0" borderId="86" xfId="0" applyNumberFormat="1" applyFont="1" applyBorder="1" applyAlignment="1">
      <alignment horizontal="center"/>
    </xf>
    <xf numFmtId="9" fontId="20" fillId="0" borderId="86" xfId="1" applyNumberFormat="1" applyFont="1" applyBorder="1" applyAlignment="1">
      <alignment horizontal="center"/>
    </xf>
    <xf numFmtId="9" fontId="105" fillId="47" borderId="0" xfId="1" applyNumberFormat="1" applyFont="1" applyFill="1" applyAlignment="1">
      <alignment horizontal="center"/>
    </xf>
    <xf numFmtId="2" fontId="111" fillId="0" borderId="0" xfId="0" applyNumberFormat="1" applyFont="1"/>
    <xf numFmtId="2" fontId="165" fillId="49" borderId="0" xfId="0" applyNumberFormat="1" applyFont="1" applyFill="1" applyAlignment="1">
      <alignment horizontal="center"/>
    </xf>
    <xf numFmtId="0" fontId="165" fillId="0" borderId="0" xfId="0" applyFont="1"/>
    <xf numFmtId="0" fontId="99" fillId="18" borderId="0" xfId="0" applyFont="1" applyFill="1" applyAlignment="1">
      <alignment horizontal="left" indent="1"/>
    </xf>
    <xf numFmtId="0" fontId="18" fillId="0" borderId="0" xfId="0" applyFont="1"/>
    <xf numFmtId="0" fontId="3" fillId="16" borderId="0" xfId="0" applyFont="1" applyFill="1"/>
    <xf numFmtId="0" fontId="3" fillId="14" borderId="0" xfId="0" applyFont="1" applyFill="1"/>
    <xf numFmtId="0" fontId="201" fillId="26" borderId="0" xfId="0" applyFont="1" applyFill="1" applyBorder="1" applyAlignment="1">
      <alignment horizontal="center"/>
    </xf>
    <xf numFmtId="0" fontId="114" fillId="0" borderId="0" xfId="0" applyFont="1" applyBorder="1" applyAlignment="1">
      <alignment horizontal="center"/>
    </xf>
    <xf numFmtId="0" fontId="114" fillId="26" borderId="0" xfId="0" applyFont="1" applyFill="1" applyBorder="1" applyAlignment="1">
      <alignment horizontal="center"/>
    </xf>
    <xf numFmtId="0" fontId="98" fillId="47" borderId="0" xfId="0" applyFont="1" applyFill="1" applyAlignment="1">
      <alignment horizontal="center"/>
    </xf>
    <xf numFmtId="0" fontId="20" fillId="15" borderId="26" xfId="0" applyFont="1" applyFill="1" applyBorder="1" applyAlignment="1">
      <alignment horizontal="center"/>
    </xf>
    <xf numFmtId="0" fontId="20" fillId="34" borderId="26" xfId="0" applyFont="1" applyFill="1" applyBorder="1" applyAlignment="1">
      <alignment horizontal="center"/>
    </xf>
    <xf numFmtId="0" fontId="20" fillId="27" borderId="11" xfId="0" applyFont="1" applyFill="1" applyBorder="1" applyAlignment="1">
      <alignment horizontal="center"/>
    </xf>
    <xf numFmtId="0" fontId="20" fillId="27" borderId="89" xfId="0" applyFont="1" applyFill="1" applyBorder="1" applyAlignment="1">
      <alignment horizontal="center"/>
    </xf>
    <xf numFmtId="0" fontId="87" fillId="0" borderId="53" xfId="0" applyFont="1" applyBorder="1" applyAlignment="1">
      <alignment horizontal="center" vertical="center" wrapText="1"/>
    </xf>
    <xf numFmtId="0" fontId="87" fillId="0" borderId="35" xfId="0" applyFont="1" applyBorder="1" applyAlignment="1">
      <alignment horizontal="center" vertical="center" wrapText="1"/>
    </xf>
    <xf numFmtId="0" fontId="98" fillId="48" borderId="0" xfId="0" applyFont="1" applyFill="1" applyAlignment="1">
      <alignment horizontal="center"/>
    </xf>
    <xf numFmtId="0" fontId="20" fillId="26" borderId="2" xfId="0" applyFont="1" applyFill="1" applyBorder="1" applyAlignment="1">
      <alignment horizontal="center"/>
    </xf>
    <xf numFmtId="0" fontId="20" fillId="26" borderId="94" xfId="0" applyFont="1" applyFill="1" applyBorder="1" applyAlignment="1">
      <alignment horizontal="center"/>
    </xf>
    <xf numFmtId="0" fontId="20" fillId="26" borderId="93" xfId="0" applyFont="1" applyFill="1" applyBorder="1" applyAlignment="1">
      <alignment horizontal="center"/>
    </xf>
    <xf numFmtId="0" fontId="20" fillId="26" borderId="67" xfId="0" applyFont="1" applyFill="1" applyBorder="1" applyAlignment="1">
      <alignment horizontal="left" vertical="center" wrapText="1" indent="2"/>
    </xf>
    <xf numFmtId="0" fontId="20" fillId="26" borderId="94" xfId="0" applyFont="1" applyFill="1" applyBorder="1" applyAlignment="1">
      <alignment horizontal="left" vertical="center" wrapText="1" indent="2"/>
    </xf>
    <xf numFmtId="0" fontId="20" fillId="26" borderId="92" xfId="0" applyFont="1" applyFill="1" applyBorder="1" applyAlignment="1">
      <alignment horizontal="left" vertical="center" wrapText="1" indent="2"/>
    </xf>
    <xf numFmtId="0" fontId="20" fillId="26" borderId="28" xfId="0" applyFont="1" applyFill="1" applyBorder="1" applyAlignment="1">
      <alignment horizontal="left" vertical="center" wrapText="1"/>
    </xf>
    <xf numFmtId="0" fontId="39" fillId="18" borderId="27" xfId="0" applyFont="1" applyFill="1" applyBorder="1" applyAlignment="1">
      <alignment horizontal="left" vertical="center"/>
    </xf>
    <xf numFmtId="0" fontId="39" fillId="18" borderId="90" xfId="0" applyFont="1" applyFill="1" applyBorder="1" applyAlignment="1">
      <alignment horizontal="left" vertical="center"/>
    </xf>
    <xf numFmtId="0" fontId="39" fillId="13" borderId="28" xfId="0" applyFont="1" applyFill="1" applyBorder="1" applyAlignment="1">
      <alignment horizontal="left" vertical="center" wrapText="1"/>
    </xf>
    <xf numFmtId="0" fontId="114" fillId="13" borderId="67" xfId="0" applyFont="1" applyFill="1" applyBorder="1" applyAlignment="1">
      <alignment horizontal="left"/>
    </xf>
    <xf numFmtId="0" fontId="114" fillId="13" borderId="6" xfId="0" applyFont="1" applyFill="1" applyBorder="1" applyAlignment="1">
      <alignment horizontal="left"/>
    </xf>
    <xf numFmtId="0" fontId="114" fillId="13" borderId="92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94" xfId="0" applyFont="1" applyFill="1" applyBorder="1" applyAlignment="1">
      <alignment horizontal="center"/>
    </xf>
    <xf numFmtId="0" fontId="20" fillId="0" borderId="92" xfId="0" applyFont="1" applyFill="1" applyBorder="1" applyAlignment="1">
      <alignment horizontal="center"/>
    </xf>
    <xf numFmtId="0" fontId="72" fillId="0" borderId="41" xfId="0" applyFont="1" applyBorder="1" applyAlignment="1">
      <alignment vertical="center" wrapText="1"/>
    </xf>
    <xf numFmtId="0" fontId="72" fillId="0" borderId="36" xfId="0" applyFont="1" applyBorder="1" applyAlignment="1">
      <alignment vertical="center" wrapText="1"/>
    </xf>
    <xf numFmtId="0" fontId="185" fillId="0" borderId="41" xfId="0" applyFont="1" applyBorder="1" applyAlignment="1">
      <alignment vertical="center"/>
    </xf>
    <xf numFmtId="0" fontId="185" fillId="0" borderId="45" xfId="0" applyFont="1" applyBorder="1" applyAlignment="1">
      <alignment vertical="center"/>
    </xf>
    <xf numFmtId="0" fontId="185" fillId="0" borderId="36" xfId="0" applyFont="1" applyBorder="1" applyAlignment="1">
      <alignment vertical="center"/>
    </xf>
    <xf numFmtId="0" fontId="186" fillId="80" borderId="41" xfId="0" applyFont="1" applyFill="1" applyBorder="1" applyAlignment="1">
      <alignment vertical="center"/>
    </xf>
    <xf numFmtId="0" fontId="186" fillId="80" borderId="45" xfId="0" applyFont="1" applyFill="1" applyBorder="1" applyAlignment="1">
      <alignment vertical="center"/>
    </xf>
    <xf numFmtId="0" fontId="186" fillId="80" borderId="36" xfId="0" applyFont="1" applyFill="1" applyBorder="1" applyAlignment="1">
      <alignment vertical="center"/>
    </xf>
    <xf numFmtId="0" fontId="186" fillId="28" borderId="41" xfId="0" applyFont="1" applyFill="1" applyBorder="1" applyAlignment="1">
      <alignment vertical="center"/>
    </xf>
    <xf numFmtId="0" fontId="186" fillId="28" borderId="45" xfId="0" applyFont="1" applyFill="1" applyBorder="1" applyAlignment="1">
      <alignment vertical="center"/>
    </xf>
    <xf numFmtId="0" fontId="186" fillId="28" borderId="36" xfId="0" applyFont="1" applyFill="1" applyBorder="1" applyAlignment="1">
      <alignment vertical="center"/>
    </xf>
    <xf numFmtId="0" fontId="187" fillId="0" borderId="41" xfId="0" applyFont="1" applyBorder="1" applyAlignment="1">
      <alignment vertical="center" wrapText="1"/>
    </xf>
    <xf numFmtId="0" fontId="187" fillId="0" borderId="45" xfId="0" applyFont="1" applyBorder="1" applyAlignment="1">
      <alignment vertical="center" wrapText="1"/>
    </xf>
    <xf numFmtId="0" fontId="187" fillId="0" borderId="36" xfId="0" applyFont="1" applyBorder="1" applyAlignment="1">
      <alignment vertical="center" wrapText="1"/>
    </xf>
    <xf numFmtId="0" fontId="72" fillId="0" borderId="45" xfId="0" applyFont="1" applyBorder="1" applyAlignment="1">
      <alignment vertical="center" wrapText="1"/>
    </xf>
    <xf numFmtId="0" fontId="188" fillId="0" borderId="41" xfId="0" applyFont="1" applyBorder="1" applyAlignment="1">
      <alignment horizontal="center" vertical="center"/>
    </xf>
    <xf numFmtId="0" fontId="188" fillId="0" borderId="36" xfId="0" applyFont="1" applyBorder="1" applyAlignment="1">
      <alignment horizontal="center" vertical="center"/>
    </xf>
    <xf numFmtId="0" fontId="62" fillId="0" borderId="41" xfId="0" applyFont="1" applyBorder="1" applyAlignment="1">
      <alignment vertical="center"/>
    </xf>
    <xf numFmtId="0" fontId="62" fillId="0" borderId="36" xfId="0" applyFont="1" applyBorder="1" applyAlignment="1">
      <alignment vertical="center"/>
    </xf>
    <xf numFmtId="0" fontId="178" fillId="0" borderId="41" xfId="0" applyFont="1" applyBorder="1" applyAlignment="1">
      <alignment horizontal="right" vertical="center" wrapText="1"/>
    </xf>
    <xf numFmtId="0" fontId="178" fillId="0" borderId="36" xfId="0" applyFont="1" applyBorder="1" applyAlignment="1">
      <alignment horizontal="right" vertical="center" wrapText="1"/>
    </xf>
    <xf numFmtId="0" fontId="178" fillId="0" borderId="41" xfId="0" applyFont="1" applyBorder="1" applyAlignment="1">
      <alignment vertical="center" wrapText="1"/>
    </xf>
    <xf numFmtId="0" fontId="178" fillId="0" borderId="36" xfId="0" applyFont="1" applyBorder="1" applyAlignment="1">
      <alignment vertical="center" wrapText="1"/>
    </xf>
    <xf numFmtId="0" fontId="178" fillId="0" borderId="41" xfId="0" applyFont="1" applyBorder="1" applyAlignment="1">
      <alignment horizontal="center" vertical="center" wrapText="1"/>
    </xf>
    <xf numFmtId="0" fontId="178" fillId="0" borderId="36" xfId="0" applyFont="1" applyBorder="1" applyAlignment="1">
      <alignment horizontal="center" vertical="center" wrapText="1"/>
    </xf>
    <xf numFmtId="0" fontId="42" fillId="13" borderId="30" xfId="0" applyFont="1" applyFill="1" applyBorder="1" applyAlignment="1">
      <alignment horizontal="left" vertical="center" wrapText="1"/>
    </xf>
    <xf numFmtId="0" fontId="42" fillId="13" borderId="31" xfId="0" applyFont="1" applyFill="1" applyBorder="1" applyAlignment="1">
      <alignment horizontal="left" vertical="center" wrapText="1"/>
    </xf>
    <xf numFmtId="0" fontId="42" fillId="13" borderId="32" xfId="0" applyFont="1" applyFill="1" applyBorder="1" applyAlignment="1">
      <alignment horizontal="left" vertical="center" wrapText="1"/>
    </xf>
    <xf numFmtId="0" fontId="42" fillId="13" borderId="7" xfId="0" applyFont="1" applyFill="1" applyBorder="1" applyAlignment="1">
      <alignment horizontal="left" vertical="center" wrapText="1"/>
    </xf>
    <xf numFmtId="0" fontId="42" fillId="13" borderId="1" xfId="0" applyFont="1" applyFill="1" applyBorder="1" applyAlignment="1">
      <alignment horizontal="left" vertical="center" wrapText="1"/>
    </xf>
    <xf numFmtId="0" fontId="19" fillId="18" borderId="27" xfId="0" applyFont="1" applyFill="1" applyBorder="1" applyAlignment="1">
      <alignment horizontal="center" vertical="center" wrapText="1"/>
    </xf>
    <xf numFmtId="0" fontId="19" fillId="18" borderId="28" xfId="0" applyFont="1" applyFill="1" applyBorder="1" applyAlignment="1">
      <alignment horizontal="center" vertical="center" wrapText="1"/>
    </xf>
    <xf numFmtId="0" fontId="39" fillId="18" borderId="33" xfId="0" applyFont="1" applyFill="1" applyBorder="1" applyAlignment="1">
      <alignment horizontal="center" vertical="center"/>
    </xf>
    <xf numFmtId="0" fontId="39" fillId="18" borderId="55" xfId="0" applyFont="1" applyFill="1" applyBorder="1" applyAlignment="1">
      <alignment horizontal="center" vertical="center"/>
    </xf>
    <xf numFmtId="0" fontId="39" fillId="18" borderId="56" xfId="0" applyFont="1" applyFill="1" applyBorder="1" applyAlignment="1">
      <alignment horizontal="center" vertical="center"/>
    </xf>
    <xf numFmtId="0" fontId="39" fillId="18" borderId="1" xfId="0" applyFont="1" applyFill="1" applyBorder="1" applyAlignment="1">
      <alignment horizontal="center" vertical="center" wrapText="1"/>
    </xf>
    <xf numFmtId="0" fontId="43" fillId="18" borderId="1" xfId="0" applyFont="1" applyFill="1" applyBorder="1" applyAlignment="1">
      <alignment horizontal="center"/>
    </xf>
    <xf numFmtId="0" fontId="43" fillId="18" borderId="29" xfId="0" applyFont="1" applyFill="1" applyBorder="1" applyAlignment="1">
      <alignment horizontal="center"/>
    </xf>
    <xf numFmtId="10" fontId="64" fillId="26" borderId="12" xfId="0" applyNumberFormat="1" applyFont="1" applyFill="1" applyBorder="1" applyAlignment="1">
      <alignment horizontal="center" vertical="center" wrapText="1"/>
    </xf>
    <xf numFmtId="10" fontId="64" fillId="26" borderId="25" xfId="0" applyNumberFormat="1" applyFont="1" applyFill="1" applyBorder="1" applyAlignment="1">
      <alignment horizontal="center" vertical="center" wrapText="1"/>
    </xf>
    <xf numFmtId="10" fontId="64" fillId="26" borderId="7" xfId="0" applyNumberFormat="1" applyFont="1" applyFill="1" applyBorder="1" applyAlignment="1">
      <alignment horizontal="center" vertical="center" wrapText="1"/>
    </xf>
    <xf numFmtId="0" fontId="54" fillId="14" borderId="1" xfId="0" applyFont="1" applyFill="1" applyBorder="1" applyAlignment="1">
      <alignment horizontal="center" vertical="center" wrapText="1"/>
    </xf>
    <xf numFmtId="0" fontId="43" fillId="14" borderId="1" xfId="0" applyFont="1" applyFill="1" applyBorder="1" applyAlignment="1">
      <alignment horizontal="center" vertical="center" wrapText="1"/>
    </xf>
    <xf numFmtId="0" fontId="54" fillId="20" borderId="41" xfId="0" applyFont="1" applyFill="1" applyBorder="1" applyAlignment="1">
      <alignment horizontal="center" vertical="center" wrapText="1"/>
    </xf>
    <xf numFmtId="0" fontId="54" fillId="20" borderId="45" xfId="0" applyFont="1" applyFill="1" applyBorder="1" applyAlignment="1">
      <alignment horizontal="center" vertical="center" wrapText="1"/>
    </xf>
    <xf numFmtId="0" fontId="43" fillId="20" borderId="42" xfId="0" applyFont="1" applyFill="1" applyBorder="1" applyAlignment="1">
      <alignment horizontal="center" vertical="center" wrapText="1"/>
    </xf>
    <xf numFmtId="0" fontId="43" fillId="20" borderId="43" xfId="0" applyFont="1" applyFill="1" applyBorder="1" applyAlignment="1">
      <alignment horizontal="center" vertical="center" wrapText="1"/>
    </xf>
    <xf numFmtId="0" fontId="43" fillId="20" borderId="44" xfId="0" applyFont="1" applyFill="1" applyBorder="1" applyAlignment="1">
      <alignment horizontal="center" vertical="center" wrapText="1"/>
    </xf>
    <xf numFmtId="0" fontId="54" fillId="40" borderId="48" xfId="0" applyFont="1" applyFill="1" applyBorder="1" applyAlignment="1">
      <alignment horizontal="center" vertical="center" wrapText="1"/>
    </xf>
    <xf numFmtId="0" fontId="54" fillId="40" borderId="50" xfId="0" applyFont="1" applyFill="1" applyBorder="1" applyAlignment="1">
      <alignment horizontal="center" vertical="center" wrapText="1"/>
    </xf>
    <xf numFmtId="0" fontId="43" fillId="40" borderId="49" xfId="0" applyFont="1" applyFill="1" applyBorder="1" applyAlignment="1">
      <alignment horizontal="center" vertical="center" wrapText="1"/>
    </xf>
    <xf numFmtId="0" fontId="43" fillId="40" borderId="43" xfId="0" applyFont="1" applyFill="1" applyBorder="1" applyAlignment="1">
      <alignment horizontal="center" vertical="center" wrapText="1"/>
    </xf>
    <xf numFmtId="0" fontId="43" fillId="40" borderId="44" xfId="0" applyFont="1" applyFill="1" applyBorder="1" applyAlignment="1">
      <alignment horizontal="center" vertical="center" wrapText="1"/>
    </xf>
    <xf numFmtId="0" fontId="45" fillId="40" borderId="41" xfId="0" applyFont="1" applyFill="1" applyBorder="1" applyAlignment="1">
      <alignment horizontal="center" vertical="center" wrapText="1"/>
    </xf>
    <xf numFmtId="0" fontId="45" fillId="40" borderId="36" xfId="0" applyFont="1" applyFill="1" applyBorder="1" applyAlignment="1">
      <alignment horizontal="center" vertical="center" wrapText="1"/>
    </xf>
    <xf numFmtId="0" fontId="45" fillId="40" borderId="53" xfId="0" applyFont="1" applyFill="1" applyBorder="1" applyAlignment="1">
      <alignment horizontal="center" vertical="center" wrapText="1"/>
    </xf>
    <xf numFmtId="0" fontId="45" fillId="40" borderId="54" xfId="0" applyFont="1" applyFill="1" applyBorder="1" applyAlignment="1">
      <alignment horizontal="center" vertical="center" wrapText="1"/>
    </xf>
    <xf numFmtId="0" fontId="45" fillId="40" borderId="35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0" fillId="15" borderId="26" xfId="0" applyFill="1" applyBorder="1" applyAlignment="1">
      <alignment horizontal="center"/>
    </xf>
    <xf numFmtId="0" fontId="0" fillId="21" borderId="26" xfId="0" applyFill="1" applyBorder="1" applyAlignment="1">
      <alignment horizontal="center"/>
    </xf>
    <xf numFmtId="0" fontId="0" fillId="27" borderId="11" xfId="0" applyFill="1" applyBorder="1" applyAlignment="1">
      <alignment horizontal="center"/>
    </xf>
    <xf numFmtId="0" fontId="3" fillId="26" borderId="0" xfId="0" applyFont="1" applyFill="1" applyBorder="1" applyAlignment="1">
      <alignment horizontal="right"/>
    </xf>
    <xf numFmtId="0" fontId="3" fillId="26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419">
    <cellStyle name="_x0013_" xfId="11"/>
    <cellStyle name="(S)Currency ($)" xfId="12"/>
    <cellStyle name="(S)Currency (no $)" xfId="13"/>
    <cellStyle name="(S)Multiple (no x)" xfId="14"/>
    <cellStyle name="(S)Multiple (x)" xfId="15"/>
    <cellStyle name="(S)Percent (%)" xfId="16"/>
    <cellStyle name="(S)Percent (no %)" xfId="17"/>
    <cellStyle name="_~6107799" xfId="18"/>
    <cellStyle name="_~6107799_2006-2009 Updated Graph" xfId="109"/>
    <cellStyle name="_~6107799_Avoided Cost Appendix" xfId="110"/>
    <cellStyle name="_~6107799_Avoided Cost Appendix_2006-2009 Updated Graph" xfId="111"/>
    <cellStyle name="_~6107799_Avoided Cost Summary" xfId="112"/>
    <cellStyle name="_~6107799_Avoided Cost Summary_2006-2009 Updated Graph" xfId="113"/>
    <cellStyle name="_~6107799_Avoided Cost Summary_Avoided Cost Appendix" xfId="114"/>
    <cellStyle name="_~6107799_Avoided Cost Summary_Conservation Costs" xfId="115"/>
    <cellStyle name="_~6107799_Avoided Cost Summary_Figure 38" xfId="116"/>
    <cellStyle name="_~6107799_Avoided Cost Summary_Figure 39" xfId="117"/>
    <cellStyle name="_~6107799_Avoided Cost Summary_Figure 40" xfId="118"/>
    <cellStyle name="_~6107799_Avoided Cost Summary_TRC PAT" xfId="119"/>
    <cellStyle name="_~6107799_Conservation Costs" xfId="120"/>
    <cellStyle name="_~6107799_Conservation Costs_2006-2009 Updated Graph" xfId="121"/>
    <cellStyle name="_~6107799_Cost Inputs from CTC" xfId="122"/>
    <cellStyle name="_~6107799_Cost Inputs from CTC_2006-2009 Updated Graph" xfId="123"/>
    <cellStyle name="_~6107799_Cost Inputs from CTC_Avoided Cost Appendix" xfId="124"/>
    <cellStyle name="_~6107799_Cost Inputs from CTC_Conservation Costs" xfId="125"/>
    <cellStyle name="_~6107799_Cost Inputs from CTC_Figure 38" xfId="126"/>
    <cellStyle name="_~6107799_Cost Inputs from CTC_Figure 39" xfId="127"/>
    <cellStyle name="_~6107799_Cost Inputs from CTC_Figure 40" xfId="128"/>
    <cellStyle name="_~6107799_Cost Inputs from CTC_TRC PAT" xfId="129"/>
    <cellStyle name="_~6107799_Figure 37" xfId="130"/>
    <cellStyle name="_~6107799_Figure 38" xfId="131"/>
    <cellStyle name="_~6107799_Figure 39" xfId="132"/>
    <cellStyle name="_~6107799_Figure 39_2006-2009 Updated Graph" xfId="133"/>
    <cellStyle name="_~6107799_Figure 40" xfId="134"/>
    <cellStyle name="_~6107799_Figure 40_1" xfId="135"/>
    <cellStyle name="_~6107799_Figure 40_2" xfId="136"/>
    <cellStyle name="_~6107799_Figure 40_2_2006-2009 Updated Graph" xfId="137"/>
    <cellStyle name="_~6107799_Figure 40_2006-2009 Updated Graph" xfId="138"/>
    <cellStyle name="_~6107799_Figure 40_3" xfId="139"/>
    <cellStyle name="_~6107799_Figure 40_3_2006-2009 Updated Graph" xfId="140"/>
    <cellStyle name="_~6107799_Figure 41" xfId="141"/>
    <cellStyle name="_~6107799_TRC PAT" xfId="142"/>
    <cellStyle name="_~6107799_TRC PAT_1" xfId="143"/>
    <cellStyle name="_~6107799_TRC PAT_1_2006-2009 Updated Graph" xfId="144"/>
    <cellStyle name="_x0013__2006-2009 Updated Graph" xfId="145"/>
    <cellStyle name="_x0013__Avoided Cost Appendix" xfId="146"/>
    <cellStyle name="_x0013__Conservation Costs" xfId="147"/>
    <cellStyle name="_x0013__Figure 38" xfId="148"/>
    <cellStyle name="_x0013__Figure 39" xfId="149"/>
    <cellStyle name="_x0013__Figure 40" xfId="150"/>
    <cellStyle name="_x0013__TRC PAT" xfId="151"/>
    <cellStyle name="20% - Accent1 2" xfId="19"/>
    <cellStyle name="20% - Accent1 3" xfId="152"/>
    <cellStyle name="20% - Accent1 4" xfId="153"/>
    <cellStyle name="20% - Accent2 2" xfId="20"/>
    <cellStyle name="20% - Accent2 3" xfId="154"/>
    <cellStyle name="20% - Accent2 4" xfId="155"/>
    <cellStyle name="20% - Accent3 2" xfId="21"/>
    <cellStyle name="20% - Accent3 3" xfId="156"/>
    <cellStyle name="20% - Accent3 4" xfId="157"/>
    <cellStyle name="20% - Accent4 2" xfId="22"/>
    <cellStyle name="20% - Accent4 3" xfId="158"/>
    <cellStyle name="20% - Accent4 4" xfId="159"/>
    <cellStyle name="20% - Accent5 2" xfId="23"/>
    <cellStyle name="20% - Accent5 3" xfId="160"/>
    <cellStyle name="20% - Accent5 4" xfId="161"/>
    <cellStyle name="20% - Accent5 5" xfId="162"/>
    <cellStyle name="20% - Accent6 2" xfId="24"/>
    <cellStyle name="20% - Accent6 3" xfId="163"/>
    <cellStyle name="20% - Accent6 4" xfId="164"/>
    <cellStyle name="20% - Akzent1" xfId="286"/>
    <cellStyle name="20% - Akzent2" xfId="287"/>
    <cellStyle name="20% - Akzent3" xfId="288"/>
    <cellStyle name="20% - Akzent4" xfId="289"/>
    <cellStyle name="20% - Akzent5" xfId="290"/>
    <cellStyle name="20% - Akzent6" xfId="291"/>
    <cellStyle name="2x indented GHG Textfiels" xfId="292"/>
    <cellStyle name="40% - Accent1 2" xfId="25"/>
    <cellStyle name="40% - Accent1 3" xfId="165"/>
    <cellStyle name="40% - Accent1 4" xfId="166"/>
    <cellStyle name="40% - Accent2 2" xfId="26"/>
    <cellStyle name="40% - Accent2 3" xfId="167"/>
    <cellStyle name="40% - Accent2 4" xfId="168"/>
    <cellStyle name="40% - Accent3 2" xfId="27"/>
    <cellStyle name="40% - Accent3 3" xfId="169"/>
    <cellStyle name="40% - Accent3 4" xfId="170"/>
    <cellStyle name="40% - Accent3 5" xfId="171"/>
    <cellStyle name="40% - Accent4 2" xfId="28"/>
    <cellStyle name="40% - Accent4 3" xfId="172"/>
    <cellStyle name="40% - Accent4 4" xfId="173"/>
    <cellStyle name="40% - Accent5 2" xfId="29"/>
    <cellStyle name="40% - Accent5 3" xfId="174"/>
    <cellStyle name="40% - Accent5 4" xfId="175"/>
    <cellStyle name="40% - Accent6 2" xfId="30"/>
    <cellStyle name="40% - Accent6 3" xfId="176"/>
    <cellStyle name="40% - Accent6 4" xfId="177"/>
    <cellStyle name="40% - Akzent1" xfId="293"/>
    <cellStyle name="40% - Akzent2" xfId="294"/>
    <cellStyle name="40% - Akzent3" xfId="295"/>
    <cellStyle name="40% - Akzent4" xfId="296"/>
    <cellStyle name="40% - Akzent5" xfId="297"/>
    <cellStyle name="40% - Akzent6" xfId="298"/>
    <cellStyle name="5x indented GHG Textfiels" xfId="299"/>
    <cellStyle name="5x indented GHG Textfiels 2" xfId="300"/>
    <cellStyle name="60% - Accent1 2" xfId="31"/>
    <cellStyle name="60% - Accent1 3" xfId="178"/>
    <cellStyle name="60% - Accent1 4" xfId="179"/>
    <cellStyle name="60% - Accent2 2" xfId="32"/>
    <cellStyle name="60% - Accent2 3" xfId="180"/>
    <cellStyle name="60% - Accent2 4" xfId="181"/>
    <cellStyle name="60% - Accent3 2" xfId="33"/>
    <cellStyle name="60% - Accent3 3" xfId="182"/>
    <cellStyle name="60% - Accent3 4" xfId="183"/>
    <cellStyle name="60% - Accent4 2" xfId="34"/>
    <cellStyle name="60% - Accent4 3" xfId="184"/>
    <cellStyle name="60% - Accent4 4" xfId="185"/>
    <cellStyle name="60% - Accent5 2" xfId="35"/>
    <cellStyle name="60% - Accent5 3" xfId="186"/>
    <cellStyle name="60% - Accent5 4" xfId="187"/>
    <cellStyle name="60% - Accent6 2" xfId="36"/>
    <cellStyle name="60% - Accent6 3" xfId="188"/>
    <cellStyle name="60% - Accent6 4" xfId="189"/>
    <cellStyle name="60% - Akzent1" xfId="301"/>
    <cellStyle name="60% - Akzent2" xfId="302"/>
    <cellStyle name="60% - Akzent3" xfId="303"/>
    <cellStyle name="60% - Akzent4" xfId="304"/>
    <cellStyle name="60% - Akzent5" xfId="305"/>
    <cellStyle name="60% - Akzent6" xfId="306"/>
    <cellStyle name="7pt" xfId="190"/>
    <cellStyle name="Accent1 2" xfId="37"/>
    <cellStyle name="Accent1 3" xfId="191"/>
    <cellStyle name="Accent1 4" xfId="192"/>
    <cellStyle name="Accent2 2" xfId="38"/>
    <cellStyle name="Accent2 3" xfId="193"/>
    <cellStyle name="Accent2 4" xfId="194"/>
    <cellStyle name="Accent3 2" xfId="39"/>
    <cellStyle name="Accent3 3" xfId="195"/>
    <cellStyle name="Accent3 4" xfId="196"/>
    <cellStyle name="Accent4 2" xfId="40"/>
    <cellStyle name="Accent4 3" xfId="197"/>
    <cellStyle name="Accent4 4" xfId="198"/>
    <cellStyle name="Accent5 2" xfId="41"/>
    <cellStyle name="Accent5 3" xfId="199"/>
    <cellStyle name="Accent5 4" xfId="200"/>
    <cellStyle name="Accent6 2" xfId="42"/>
    <cellStyle name="Accent6 3" xfId="201"/>
    <cellStyle name="Accent6 4" xfId="202"/>
    <cellStyle name="AggblueBoldCels" xfId="307"/>
    <cellStyle name="AggblueCels" xfId="308"/>
    <cellStyle name="AggBoldCells" xfId="309"/>
    <cellStyle name="AggCels" xfId="310"/>
    <cellStyle name="AggGreen" xfId="311"/>
    <cellStyle name="AggGreen12" xfId="312"/>
    <cellStyle name="AggOrange" xfId="313"/>
    <cellStyle name="AggOrange9" xfId="314"/>
    <cellStyle name="AggOrangeLB_2x" xfId="315"/>
    <cellStyle name="AggOrangeLBorder" xfId="316"/>
    <cellStyle name="AggOrangeRBorder" xfId="317"/>
    <cellStyle name="Akzent1" xfId="318"/>
    <cellStyle name="Akzent2" xfId="319"/>
    <cellStyle name="Akzent3" xfId="320"/>
    <cellStyle name="Akzent4" xfId="321"/>
    <cellStyle name="Akzent5" xfId="322"/>
    <cellStyle name="Akzent6" xfId="323"/>
    <cellStyle name="Ausgabe" xfId="324"/>
    <cellStyle name="Bad 2" xfId="43"/>
    <cellStyle name="Bad 3" xfId="203"/>
    <cellStyle name="Bad 4" xfId="204"/>
    <cellStyle name="Berechnung" xfId="325"/>
    <cellStyle name="Bold GHG Numbers (0.00)" xfId="326"/>
    <cellStyle name="Calculation 2" xfId="44"/>
    <cellStyle name="Calculation 3" xfId="205"/>
    <cellStyle name="Calculation 4" xfId="206"/>
    <cellStyle name="Check" xfId="45"/>
    <cellStyle name="Check Cell 2" xfId="46"/>
    <cellStyle name="Check Cell 3" xfId="207"/>
    <cellStyle name="Check Cell 4" xfId="208"/>
    <cellStyle name="Comma 10" xfId="2"/>
    <cellStyle name="Comma 10 2" xfId="97"/>
    <cellStyle name="Comma 11" xfId="209"/>
    <cellStyle name="Comma 15" xfId="210"/>
    <cellStyle name="Comma 2" xfId="47"/>
    <cellStyle name="Comma 2 10" xfId="409"/>
    <cellStyle name="Comma 2 2" xfId="48"/>
    <cellStyle name="Comma 3" xfId="100"/>
    <cellStyle name="Comma 3 2" xfId="285"/>
    <cellStyle name="Comma 4" xfId="211"/>
    <cellStyle name="Comma 5" xfId="212"/>
    <cellStyle name="Comma 6" xfId="213"/>
    <cellStyle name="Comma 7" xfId="400"/>
    <cellStyle name="Comma 8" xfId="404"/>
    <cellStyle name="Comma 9" xfId="406"/>
    <cellStyle name="Comma0" xfId="327"/>
    <cellStyle name="Comma0 2" xfId="328"/>
    <cellStyle name="Comma0 3" xfId="329"/>
    <cellStyle name="Constants" xfId="330"/>
    <cellStyle name="Currency" xfId="6" builtinId="4"/>
    <cellStyle name="Currency 15" xfId="410"/>
    <cellStyle name="Currency 2" xfId="98"/>
    <cellStyle name="Currency 2 10" xfId="411"/>
    <cellStyle name="Currency 2 2" xfId="49"/>
    <cellStyle name="Currency 3" xfId="10"/>
    <cellStyle name="Currency 3 2" xfId="99"/>
    <cellStyle name="Currency 4" xfId="408"/>
    <cellStyle name="Currency0" xfId="331"/>
    <cellStyle name="CustomCellsOrange" xfId="332"/>
    <cellStyle name="CustomizationCells" xfId="333"/>
    <cellStyle name="CustomizationGreenCells" xfId="334"/>
    <cellStyle name="Date" xfId="335"/>
    <cellStyle name="DocBox_EmptyRow" xfId="336"/>
    <cellStyle name="Eingabe" xfId="337"/>
    <cellStyle name="Empty_B_border" xfId="338"/>
    <cellStyle name="Ergebnis" xfId="339"/>
    <cellStyle name="Erklärender Text" xfId="340"/>
    <cellStyle name="Explanatory Text 2" xfId="50"/>
    <cellStyle name="Explanatory Text 3" xfId="214"/>
    <cellStyle name="Explanatory Text 4" xfId="215"/>
    <cellStyle name="Fixed" xfId="341"/>
    <cellStyle name="Good 2" xfId="51"/>
    <cellStyle name="Good 3" xfId="216"/>
    <cellStyle name="Good 4" xfId="217"/>
    <cellStyle name="Gut" xfId="342"/>
    <cellStyle name="Heading 1 2" xfId="52"/>
    <cellStyle name="Heading 1 3" xfId="218"/>
    <cellStyle name="Heading 1 4" xfId="219"/>
    <cellStyle name="Heading 2 2" xfId="53"/>
    <cellStyle name="Heading 2 3" xfId="220"/>
    <cellStyle name="Heading 2 4" xfId="221"/>
    <cellStyle name="Heading 3 2" xfId="54"/>
    <cellStyle name="Heading 3 3" xfId="222"/>
    <cellStyle name="Heading 3 4" xfId="223"/>
    <cellStyle name="Heading 4 2" xfId="55"/>
    <cellStyle name="Heading 4 3" xfId="224"/>
    <cellStyle name="Heading 4 4" xfId="225"/>
    <cellStyle name="Headline" xfId="343"/>
    <cellStyle name="Hyperlink 2" xfId="96"/>
    <cellStyle name="Hyperlink 3" xfId="226"/>
    <cellStyle name="Hyperlink 4" xfId="227"/>
    <cellStyle name="Hyperlink 5" xfId="416"/>
    <cellStyle name="Input 2" xfId="56"/>
    <cellStyle name="Input 3" xfId="228"/>
    <cellStyle name="Input 4" xfId="229"/>
    <cellStyle name="InputCells" xfId="344"/>
    <cellStyle name="InputCells12" xfId="345"/>
    <cellStyle name="IntCells" xfId="346"/>
    <cellStyle name="KP_Value_Cells" xfId="347"/>
    <cellStyle name="Linked Cell 2" xfId="57"/>
    <cellStyle name="Linked Cell 3" xfId="230"/>
    <cellStyle name="Linked Cell 4" xfId="231"/>
    <cellStyle name="Milliers_7203042_041_EN_1990_Summary_Rounded" xfId="348"/>
    <cellStyle name="Neutral 2" xfId="58"/>
    <cellStyle name="Neutral 3" xfId="232"/>
    <cellStyle name="Neutral 4" xfId="233"/>
    <cellStyle name="Normal" xfId="0" builtinId="0"/>
    <cellStyle name="Normal 10" xfId="7"/>
    <cellStyle name="Normal 10 10" xfId="412"/>
    <cellStyle name="Normal 10 2" xfId="101"/>
    <cellStyle name="Normal 10 3" xfId="234"/>
    <cellStyle name="Normal 10_2006-2009 Updated Graph" xfId="235"/>
    <cellStyle name="Normal 11" xfId="59"/>
    <cellStyle name="Normal 11 2" xfId="236"/>
    <cellStyle name="Normal 11 3" xfId="237"/>
    <cellStyle name="Normal 11_2006-2009 Updated Graph" xfId="238"/>
    <cellStyle name="Normal 12" xfId="102"/>
    <cellStyle name="Normal 12 2" xfId="413"/>
    <cellStyle name="Normal 13" xfId="60"/>
    <cellStyle name="Normal 14" xfId="61"/>
    <cellStyle name="Normal 15" xfId="62"/>
    <cellStyle name="Normal 16" xfId="63"/>
    <cellStyle name="Normal 17" xfId="64"/>
    <cellStyle name="Normal 18" xfId="65"/>
    <cellStyle name="Normal 19" xfId="66"/>
    <cellStyle name="Normal 2" xfId="8"/>
    <cellStyle name="Normal 2 2" xfId="67"/>
    <cellStyle name="Normal 2 2 2" xfId="68"/>
    <cellStyle name="Normal 2 2 2 2" xfId="239"/>
    <cellStyle name="Normal 2 2 3" xfId="240"/>
    <cellStyle name="Normal 2 2 4" xfId="241"/>
    <cellStyle name="Normal 2 2_Rate Impact (tbd)" xfId="242"/>
    <cellStyle name="Normal 2 3" xfId="103"/>
    <cellStyle name="Normal 2 3 2" xfId="407"/>
    <cellStyle name="Normal 2 4" xfId="243"/>
    <cellStyle name="Normal 2 5" xfId="244"/>
    <cellStyle name="Normal 2 6" xfId="245"/>
    <cellStyle name="Normal 2 7" xfId="246"/>
    <cellStyle name="Normal 2_2006-2009 Updated Graph" xfId="247"/>
    <cellStyle name="Normal 2_A4-1" xfId="418"/>
    <cellStyle name="Normal 2_A8-22" xfId="417"/>
    <cellStyle name="Normal 20" xfId="69"/>
    <cellStyle name="Normal 21" xfId="70"/>
    <cellStyle name="Normal 22" xfId="71"/>
    <cellStyle name="Normal 23" xfId="72"/>
    <cellStyle name="Normal 24" xfId="73"/>
    <cellStyle name="Normal 25" xfId="74"/>
    <cellStyle name="Normal 26" xfId="75"/>
    <cellStyle name="Normal 27" xfId="76"/>
    <cellStyle name="Normal 28" xfId="77"/>
    <cellStyle name="Normal 29" xfId="78"/>
    <cellStyle name="Normal 3" xfId="79"/>
    <cellStyle name="Normal 3 2" xfId="104"/>
    <cellStyle name="Normal 3 2 2" xfId="5"/>
    <cellStyle name="Normal 3 3" xfId="248"/>
    <cellStyle name="Normal 3_2006-2009 Updated Graph" xfId="249"/>
    <cellStyle name="Normal 30" xfId="105"/>
    <cellStyle name="Normal 31" xfId="284"/>
    <cellStyle name="Normal 32" xfId="401"/>
    <cellStyle name="Normal 33" xfId="403"/>
    <cellStyle name="Normal 34" xfId="405"/>
    <cellStyle name="Normal 35" xfId="414"/>
    <cellStyle name="Normal 36" xfId="415"/>
    <cellStyle name="Normal 4" xfId="80"/>
    <cellStyle name="Normal 4 2" xfId="250"/>
    <cellStyle name="Normal 4 3" xfId="251"/>
    <cellStyle name="Normal 4_2006-2009 Updated Graph" xfId="252"/>
    <cellStyle name="Normal 5" xfId="81"/>
    <cellStyle name="Normal 5 2" xfId="253"/>
    <cellStyle name="Normal 5 3" xfId="254"/>
    <cellStyle name="Normal 5_Rate Impact (tbd)" xfId="255"/>
    <cellStyle name="Normal 59" xfId="106"/>
    <cellStyle name="Normal 6" xfId="82"/>
    <cellStyle name="Normal 6 2" xfId="256"/>
    <cellStyle name="Normal 6 3" xfId="257"/>
    <cellStyle name="Normal 6_2006-2009 Updated Graph" xfId="258"/>
    <cellStyle name="Normal 65" xfId="4"/>
    <cellStyle name="Normal 7" xfId="83"/>
    <cellStyle name="Normal 7 2" xfId="259"/>
    <cellStyle name="Normal 7 3" xfId="260"/>
    <cellStyle name="Normal 7_2006-2009 Updated Graph" xfId="261"/>
    <cellStyle name="Normal 70" xfId="3"/>
    <cellStyle name="Normal 8" xfId="84"/>
    <cellStyle name="Normal 8 2" xfId="262"/>
    <cellStyle name="Normal 8 3" xfId="263"/>
    <cellStyle name="Normal 8_2006-2009 Updated Graph" xfId="264"/>
    <cellStyle name="Normal 86" xfId="107"/>
    <cellStyle name="Normal 9" xfId="108"/>
    <cellStyle name="Normal 9 2" xfId="265"/>
    <cellStyle name="Normal 9 3" xfId="266"/>
    <cellStyle name="Normal 9 4" xfId="267"/>
    <cellStyle name="Normal GHG Numbers (0.00)" xfId="349"/>
    <cellStyle name="Normal GHG Textfiels Bold" xfId="350"/>
    <cellStyle name="Normal GHG whole table" xfId="351"/>
    <cellStyle name="Normal GHG-Shade" xfId="352"/>
    <cellStyle name="Normál_Munka1" xfId="353"/>
    <cellStyle name="Note 2" xfId="85"/>
    <cellStyle name="Note 3" xfId="268"/>
    <cellStyle name="Note 4" xfId="269"/>
    <cellStyle name="Note 5" xfId="270"/>
    <cellStyle name="Notiz" xfId="354"/>
    <cellStyle name="Output 2" xfId="86"/>
    <cellStyle name="Output 3" xfId="271"/>
    <cellStyle name="Output 4" xfId="272"/>
    <cellStyle name="Pattern" xfId="355"/>
    <cellStyle name="Percent" xfId="1" builtinId="5"/>
    <cellStyle name="Percent 10" xfId="87"/>
    <cellStyle name="Percent 2" xfId="9"/>
    <cellStyle name="Percent 2 2" xfId="88"/>
    <cellStyle name="Percent 2 3" xfId="274"/>
    <cellStyle name="Percent 2 4" xfId="273"/>
    <cellStyle name="Percent 3" xfId="89"/>
    <cellStyle name="Percent 3 2" xfId="275"/>
    <cellStyle name="Percent 3 3" xfId="276"/>
    <cellStyle name="Percent 4" xfId="90"/>
    <cellStyle name="Percent 5" xfId="399"/>
    <cellStyle name="Percent 6" xfId="402"/>
    <cellStyle name="RISKbigPercent" xfId="356"/>
    <cellStyle name="RISKblandrEdge" xfId="357"/>
    <cellStyle name="RISKblCorner" xfId="358"/>
    <cellStyle name="RISKbottomEdge" xfId="359"/>
    <cellStyle name="RISKbrCorner" xfId="360"/>
    <cellStyle name="RISKdarkBoxed" xfId="361"/>
    <cellStyle name="RISKdarkShade" xfId="362"/>
    <cellStyle name="RISKdbottomEdge" xfId="363"/>
    <cellStyle name="RISKdrightEdge" xfId="364"/>
    <cellStyle name="RISKdurationTime" xfId="365"/>
    <cellStyle name="RISKinNumber" xfId="366"/>
    <cellStyle name="RISKlandrEdge" xfId="367"/>
    <cellStyle name="RISKleftEdge" xfId="368"/>
    <cellStyle name="RISKlightBoxed" xfId="369"/>
    <cellStyle name="RISKltandbEdge" xfId="370"/>
    <cellStyle name="RISKnormBoxed" xfId="371"/>
    <cellStyle name="RISKnormCenter" xfId="372"/>
    <cellStyle name="RISKnormHeading" xfId="373"/>
    <cellStyle name="RISKnormItal" xfId="374"/>
    <cellStyle name="RISKnormLabel" xfId="375"/>
    <cellStyle name="RISKnormShade" xfId="376"/>
    <cellStyle name="RISKnormTitle" xfId="377"/>
    <cellStyle name="RISKoutNumber" xfId="378"/>
    <cellStyle name="RISKrightEdge" xfId="379"/>
    <cellStyle name="RISKrtandbEdge" xfId="380"/>
    <cellStyle name="RISKssTime" xfId="381"/>
    <cellStyle name="RISKtandbEdge" xfId="382"/>
    <cellStyle name="RISKtlandrEdge" xfId="383"/>
    <cellStyle name="RISKtlCorner" xfId="384"/>
    <cellStyle name="RISKtopEdge" xfId="385"/>
    <cellStyle name="RISKtrCorner" xfId="386"/>
    <cellStyle name="Schlecht" xfId="387"/>
    <cellStyle name="Shade" xfId="388"/>
    <cellStyle name="Style 1" xfId="91"/>
    <cellStyle name="Style 23" xfId="277"/>
    <cellStyle name="Switch" xfId="92"/>
    <cellStyle name="Title 2" xfId="93"/>
    <cellStyle name="Title 3" xfId="278"/>
    <cellStyle name="Title 4" xfId="279"/>
    <cellStyle name="Total 2" xfId="94"/>
    <cellStyle name="Total 3" xfId="280"/>
    <cellStyle name="Total 4" xfId="281"/>
    <cellStyle name="Überschrift" xfId="389"/>
    <cellStyle name="Überschrift 1" xfId="390"/>
    <cellStyle name="Überschrift 2" xfId="391"/>
    <cellStyle name="Überschrift 3" xfId="392"/>
    <cellStyle name="Überschrift 4" xfId="393"/>
    <cellStyle name="Verknüpfte Zelle" xfId="394"/>
    <cellStyle name="Warnender Text" xfId="395"/>
    <cellStyle name="Warning Text 2" xfId="95"/>
    <cellStyle name="Warning Text 3" xfId="282"/>
    <cellStyle name="Warning Text 4" xfId="283"/>
    <cellStyle name="Zelle überprüfen" xfId="396"/>
    <cellStyle name="Гиперссылка" xfId="397"/>
    <cellStyle name="Обычный_2++" xfId="398"/>
  </cellStyles>
  <dxfs count="0"/>
  <tableStyles count="0" defaultTableStyle="TableStyleMedium2" defaultPivotStyle="PivotStyleMedium9"/>
  <colors>
    <mruColors>
      <color rgb="FFFFFFCC"/>
      <color rgb="FFBD03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249015748031493E-2"/>
          <c:y val="5.992676331104016E-2"/>
          <c:w val="0.92163987314085738"/>
          <c:h val="0.80770637682530311"/>
        </c:manualLayout>
      </c:layout>
      <c:areaChart>
        <c:grouping val="stacked"/>
        <c:varyColors val="0"/>
        <c:ser>
          <c:idx val="0"/>
          <c:order val="0"/>
          <c:tx>
            <c:strRef>
              <c:f>Charts!$D$4</c:f>
              <c:strCache>
                <c:ptCount val="1"/>
                <c:pt idx="0">
                  <c:v>Uncovered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Charts!$E$3:$R$3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Charts!$E$4:$R$4</c:f>
              <c:numCache>
                <c:formatCode>0</c:formatCode>
                <c:ptCount val="14"/>
                <c:pt idx="0">
                  <c:v>31.142127090993245</c:v>
                </c:pt>
                <c:pt idx="1">
                  <c:v>31.125025345358726</c:v>
                </c:pt>
                <c:pt idx="2">
                  <c:v>31.108570521252112</c:v>
                </c:pt>
                <c:pt idx="3">
                  <c:v>31.092760223206675</c:v>
                </c:pt>
                <c:pt idx="4">
                  <c:v>25.544672505459509</c:v>
                </c:pt>
                <c:pt idx="5">
                  <c:v>25.620307445243249</c:v>
                </c:pt>
                <c:pt idx="6">
                  <c:v>25.698506788575827</c:v>
                </c:pt>
                <c:pt idx="7">
                  <c:v>25.779318709969907</c:v>
                </c:pt>
                <c:pt idx="8">
                  <c:v>25.862792551517487</c:v>
                </c:pt>
                <c:pt idx="9">
                  <c:v>25.946622000930486</c:v>
                </c:pt>
                <c:pt idx="10">
                  <c:v>26.032720100516929</c:v>
                </c:pt>
                <c:pt idx="11">
                  <c:v>26.121131752070614</c:v>
                </c:pt>
                <c:pt idx="12">
                  <c:v>26.21190296632134</c:v>
                </c:pt>
                <c:pt idx="13">
                  <c:v>26.305080890655518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40-4566-85E1-7D37F4BF543C}"/>
            </c:ext>
          </c:extLst>
        </c:ser>
        <c:ser>
          <c:idx val="1"/>
          <c:order val="1"/>
          <c:tx>
            <c:strRef>
              <c:f>Charts!$D$5</c:f>
              <c:strCache>
                <c:ptCount val="1"/>
                <c:pt idx="0">
                  <c:v>Covered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Charts!$E$3:$R$3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Charts!$E$5:$R$5</c:f>
              <c:numCache>
                <c:formatCode>0</c:formatCode>
                <c:ptCount val="14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120.05649271004843</c:v>
                </c:pt>
                <c:pt idx="5">
                  <c:v>116.46409564330355</c:v>
                </c:pt>
                <c:pt idx="6">
                  <c:v>112.87169857655867</c:v>
                </c:pt>
                <c:pt idx="7">
                  <c:v>109.27930150981379</c:v>
                </c:pt>
                <c:pt idx="8">
                  <c:v>105.68690444306891</c:v>
                </c:pt>
                <c:pt idx="9">
                  <c:v>102.09450737632403</c:v>
                </c:pt>
                <c:pt idx="10">
                  <c:v>98.502110309579152</c:v>
                </c:pt>
                <c:pt idx="11">
                  <c:v>94.909713242834272</c:v>
                </c:pt>
                <c:pt idx="12">
                  <c:v>91.317316176089392</c:v>
                </c:pt>
                <c:pt idx="13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C40-4566-85E1-7D37F4BF543C}"/>
            </c:ext>
          </c:extLst>
        </c:ser>
        <c:ser>
          <c:idx val="3"/>
          <c:order val="3"/>
          <c:tx>
            <c:strRef>
              <c:f>Charts!$D$7</c:f>
              <c:strCache>
                <c:ptCount val="1"/>
                <c:pt idx="0">
                  <c:v>Estimated WCI Purchase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Charts!$E$3:$R$3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Charts!$E$7:$R$7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C40-4566-85E1-7D37F4BF5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91704"/>
        <c:axId val="434788176"/>
      </c:areaChart>
      <c:lineChart>
        <c:grouping val="standard"/>
        <c:varyColors val="0"/>
        <c:ser>
          <c:idx val="2"/>
          <c:order val="2"/>
          <c:tx>
            <c:strRef>
              <c:f>Charts!$D$6</c:f>
              <c:strCache>
                <c:ptCount val="1"/>
                <c:pt idx="0">
                  <c:v>Reference case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Charts!$E$3:$R$3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Charts!$E$6:$R$6</c:f>
              <c:numCache>
                <c:formatCode>0.0</c:formatCode>
                <c:ptCount val="14"/>
                <c:pt idx="0">
                  <c:v>172.45474199832333</c:v>
                </c:pt>
                <c:pt idx="1">
                  <c:v>169</c:v>
                </c:pt>
                <c:pt idx="2">
                  <c:v>165</c:v>
                </c:pt>
                <c:pt idx="3">
                  <c:v>163.3641219586134</c:v>
                </c:pt>
                <c:pt idx="4">
                  <c:v>163.46341935887818</c:v>
                </c:pt>
                <c:pt idx="5">
                  <c:v>163.64167490988865</c:v>
                </c:pt>
                <c:pt idx="6">
                  <c:v>163.90029020384674</c:v>
                </c:pt>
                <c:pt idx="7">
                  <c:v>164.2408723030978</c:v>
                </c:pt>
                <c:pt idx="8">
                  <c:v>164.66524735465646</c:v>
                </c:pt>
                <c:pt idx="9">
                  <c:v>164.33917352086846</c:v>
                </c:pt>
                <c:pt idx="10">
                  <c:v>164.07693523141242</c:v>
                </c:pt>
                <c:pt idx="11">
                  <c:v>163.87693964393245</c:v>
                </c:pt>
                <c:pt idx="12">
                  <c:v>163.73767004398849</c:v>
                </c:pt>
                <c:pt idx="13">
                  <c:v>163.65768308565021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C40-4566-85E1-7D37F4BF5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791704"/>
        <c:axId val="434788176"/>
      </c:lineChart>
      <c:catAx>
        <c:axId val="434791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788176"/>
        <c:crosses val="autoZero"/>
        <c:auto val="1"/>
        <c:lblAlgn val="ctr"/>
        <c:lblOffset val="100"/>
        <c:noMultiLvlLbl val="0"/>
      </c:catAx>
      <c:valAx>
        <c:axId val="434788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b="1">
                    <a:solidFill>
                      <a:sysClr val="windowText" lastClr="000000"/>
                    </a:solidFill>
                  </a:rPr>
                  <a:t>Mt</a:t>
                </a:r>
                <a:r>
                  <a:rPr lang="en-CA" b="1" baseline="0">
                    <a:solidFill>
                      <a:sysClr val="windowText" lastClr="000000"/>
                    </a:solidFill>
                  </a:rPr>
                  <a:t> CO2e</a:t>
                </a:r>
                <a:endParaRPr lang="en-CA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9.2848862642169738E-3"/>
              <c:y val="0.403440180675464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791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991765091863517"/>
          <c:y val="0.92958213003390788"/>
          <c:w val="0.32960903324584429"/>
          <c:h val="4.77710243417926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 b="1">
                <a:solidFill>
                  <a:sysClr val="windowText" lastClr="000000"/>
                </a:solidFill>
              </a:rPr>
              <a:t>Proposed Caps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n-CA" sz="1000" b="1">
                <a:solidFill>
                  <a:sysClr val="windowText" lastClr="000000"/>
                </a:solidFill>
              </a:rPr>
              <a:t>(Flat</a:t>
            </a:r>
            <a:r>
              <a:rPr lang="en-CA" sz="1000" b="1" baseline="0">
                <a:solidFill>
                  <a:sysClr val="windowText" lastClr="000000"/>
                </a:solidFill>
              </a:rPr>
              <a:t> c</a:t>
            </a:r>
            <a:r>
              <a:rPr lang="en-CA" sz="1000" b="1">
                <a:solidFill>
                  <a:sysClr val="windowText" lastClr="000000"/>
                </a:solidFill>
              </a:rPr>
              <a:t>ap on imports</a:t>
            </a:r>
            <a:r>
              <a:rPr lang="en-CA" sz="1000" b="1" baseline="0">
                <a:solidFill>
                  <a:sysClr val="windowText" lastClr="000000"/>
                </a:solidFill>
              </a:rPr>
              <a:t>)</a:t>
            </a:r>
            <a:endParaRPr lang="en-CA" sz="10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Charts!$D$260</c:f>
              <c:strCache>
                <c:ptCount val="1"/>
                <c:pt idx="0">
                  <c:v>Domestic Caps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Charts!$E$259:$R$259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Charts!$E$260:$R$260</c:f>
              <c:numCache>
                <c:formatCode>0.0</c:formatCode>
                <c:ptCount val="14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120.05649271004843</c:v>
                </c:pt>
                <c:pt idx="5">
                  <c:v>116.46409564330355</c:v>
                </c:pt>
                <c:pt idx="6">
                  <c:v>112.87169857655867</c:v>
                </c:pt>
                <c:pt idx="7">
                  <c:v>109.27930150981379</c:v>
                </c:pt>
                <c:pt idx="8">
                  <c:v>105.68690444306891</c:v>
                </c:pt>
                <c:pt idx="9">
                  <c:v>102.09450737632403</c:v>
                </c:pt>
                <c:pt idx="10">
                  <c:v>98.502110309579152</c:v>
                </c:pt>
                <c:pt idx="11">
                  <c:v>94.909713242834272</c:v>
                </c:pt>
                <c:pt idx="12">
                  <c:v>91.317316176089392</c:v>
                </c:pt>
                <c:pt idx="13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5A-4A66-AA68-18FC86BDEFB3}"/>
            </c:ext>
          </c:extLst>
        </c:ser>
        <c:ser>
          <c:idx val="1"/>
          <c:order val="1"/>
          <c:tx>
            <c:strRef>
              <c:f>Charts!$D$261</c:f>
              <c:strCache>
                <c:ptCount val="1"/>
                <c:pt idx="0">
                  <c:v>Imports - flat cap*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Charts!$E$259:$R$259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Charts!$E$261:$R$261</c:f>
              <c:numCache>
                <c:formatCode>0.0</c:formatCode>
                <c:ptCount val="14"/>
                <c:pt idx="0">
                  <c:v>1.019077013427216</c:v>
                </c:pt>
                <c:pt idx="1">
                  <c:v>1.019077013427216</c:v>
                </c:pt>
                <c:pt idx="2">
                  <c:v>1.019077013427216</c:v>
                </c:pt>
                <c:pt idx="3">
                  <c:v>1.019077013427216</c:v>
                </c:pt>
                <c:pt idx="4">
                  <c:v>4.2</c:v>
                </c:pt>
                <c:pt idx="5">
                  <c:v>4.2</c:v>
                </c:pt>
                <c:pt idx="6">
                  <c:v>4.2</c:v>
                </c:pt>
                <c:pt idx="7">
                  <c:v>4.2</c:v>
                </c:pt>
                <c:pt idx="8">
                  <c:v>4.2</c:v>
                </c:pt>
                <c:pt idx="9">
                  <c:v>4.2</c:v>
                </c:pt>
                <c:pt idx="10">
                  <c:v>4.2</c:v>
                </c:pt>
                <c:pt idx="11">
                  <c:v>4.2</c:v>
                </c:pt>
                <c:pt idx="12">
                  <c:v>4.2</c:v>
                </c:pt>
                <c:pt idx="13">
                  <c:v>4.2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45A-4A66-AA68-18FC86BDE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476096"/>
        <c:axId val="435471784"/>
      </c:areaChart>
      <c:lineChart>
        <c:grouping val="stacked"/>
        <c:varyColors val="0"/>
        <c:ser>
          <c:idx val="2"/>
          <c:order val="2"/>
          <c:tx>
            <c:strRef>
              <c:f>Charts!$D$262</c:f>
              <c:strCache>
                <c:ptCount val="1"/>
                <c:pt idx="0">
                  <c:v>Total Caps with imports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numRef>
              <c:f>Charts!$E$259:$R$259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Charts!$E$262:$R$262</c:f>
              <c:numCache>
                <c:formatCode>0.0</c:formatCode>
                <c:ptCount val="14"/>
                <c:pt idx="0">
                  <c:v>142.33169192075729</c:v>
                </c:pt>
                <c:pt idx="1">
                  <c:v>136.44378354391171</c:v>
                </c:pt>
                <c:pt idx="2">
                  <c:v>130.55587516706612</c:v>
                </c:pt>
                <c:pt idx="3">
                  <c:v>124.66796679022053</c:v>
                </c:pt>
                <c:pt idx="4">
                  <c:v>124.25649271004843</c:v>
                </c:pt>
                <c:pt idx="5">
                  <c:v>120.66409564330355</c:v>
                </c:pt>
                <c:pt idx="6">
                  <c:v>117.07169857655867</c:v>
                </c:pt>
                <c:pt idx="7">
                  <c:v>113.47930150981379</c:v>
                </c:pt>
                <c:pt idx="8">
                  <c:v>109.88690444306891</c:v>
                </c:pt>
                <c:pt idx="9">
                  <c:v>106.29450737632403</c:v>
                </c:pt>
                <c:pt idx="10">
                  <c:v>102.70211030957915</c:v>
                </c:pt>
                <c:pt idx="11">
                  <c:v>99.109713242834275</c:v>
                </c:pt>
                <c:pt idx="12">
                  <c:v>95.517316176089395</c:v>
                </c:pt>
                <c:pt idx="13">
                  <c:v>91.924919109344486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45A-4A66-AA68-18FC86BDE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476096"/>
        <c:axId val="435471784"/>
      </c:lineChart>
      <c:catAx>
        <c:axId val="43547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471784"/>
        <c:crosses val="autoZero"/>
        <c:auto val="1"/>
        <c:lblAlgn val="ctr"/>
        <c:lblOffset val="100"/>
        <c:noMultiLvlLbl val="0"/>
      </c:catAx>
      <c:valAx>
        <c:axId val="435471784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Mt</a:t>
                </a:r>
                <a:r>
                  <a:rPr lang="en-CA" baseline="0"/>
                  <a:t> CO2e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8.3044967614823925E-2"/>
              <c:y val="0.374916731008288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476096"/>
        <c:crosses val="autoZero"/>
        <c:crossBetween val="between"/>
        <c:majorUnit val="2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 b="1">
                <a:solidFill>
                  <a:sysClr val="windowText" lastClr="000000"/>
                </a:solidFill>
              </a:rPr>
              <a:t>Proposed Caps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n-CA" sz="1000" b="1">
                <a:solidFill>
                  <a:sysClr val="windowText" lastClr="000000"/>
                </a:solidFill>
              </a:rPr>
              <a:t>(Flat</a:t>
            </a:r>
            <a:r>
              <a:rPr lang="en-CA" sz="1000" b="1" baseline="0">
                <a:solidFill>
                  <a:sysClr val="windowText" lastClr="000000"/>
                </a:solidFill>
              </a:rPr>
              <a:t> c</a:t>
            </a:r>
            <a:r>
              <a:rPr lang="en-CA" sz="1000" b="1">
                <a:solidFill>
                  <a:sysClr val="windowText" lastClr="000000"/>
                </a:solidFill>
              </a:rPr>
              <a:t>ap on imports</a:t>
            </a:r>
            <a:r>
              <a:rPr lang="en-CA" sz="1000" b="1" baseline="0">
                <a:solidFill>
                  <a:sysClr val="windowText" lastClr="000000"/>
                </a:solidFill>
              </a:rPr>
              <a:t>)</a:t>
            </a:r>
            <a:endParaRPr lang="en-CA" sz="1000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Charts!$D$228</c:f>
              <c:strCache>
                <c:ptCount val="1"/>
                <c:pt idx="0">
                  <c:v>Domestic Caps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Charts!$E$227:$R$227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Charts!$E$228:$R$228</c:f>
              <c:numCache>
                <c:formatCode>0.0</c:formatCode>
                <c:ptCount val="14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120.05649271004843</c:v>
                </c:pt>
                <c:pt idx="5">
                  <c:v>116.46409564330355</c:v>
                </c:pt>
                <c:pt idx="6">
                  <c:v>112.87169857655867</c:v>
                </c:pt>
                <c:pt idx="7">
                  <c:v>109.27930150981379</c:v>
                </c:pt>
                <c:pt idx="8">
                  <c:v>105.68690444306891</c:v>
                </c:pt>
                <c:pt idx="9">
                  <c:v>102.09450737632403</c:v>
                </c:pt>
                <c:pt idx="10">
                  <c:v>98.502110309579152</c:v>
                </c:pt>
                <c:pt idx="11">
                  <c:v>94.909713242834272</c:v>
                </c:pt>
                <c:pt idx="12">
                  <c:v>91.317316176089392</c:v>
                </c:pt>
                <c:pt idx="13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5A-4A66-AA68-18FC86BDEFB3}"/>
            </c:ext>
          </c:extLst>
        </c:ser>
        <c:ser>
          <c:idx val="1"/>
          <c:order val="1"/>
          <c:tx>
            <c:strRef>
              <c:f>Charts!$D$229</c:f>
              <c:strCache>
                <c:ptCount val="1"/>
                <c:pt idx="0">
                  <c:v>Imports - flat cap*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Charts!$E$227:$R$227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Charts!$E$229:$R$229</c:f>
              <c:numCache>
                <c:formatCode>0.0</c:formatCode>
                <c:ptCount val="14"/>
                <c:pt idx="0">
                  <c:v>1.019077013427216</c:v>
                </c:pt>
                <c:pt idx="1">
                  <c:v>1.019077013427216</c:v>
                </c:pt>
                <c:pt idx="2">
                  <c:v>1.019077013427216</c:v>
                </c:pt>
                <c:pt idx="3">
                  <c:v>1.019077013427216</c:v>
                </c:pt>
                <c:pt idx="4">
                  <c:v>1.0289999999999999</c:v>
                </c:pt>
                <c:pt idx="5">
                  <c:v>1.0289999999999999</c:v>
                </c:pt>
                <c:pt idx="6">
                  <c:v>1.0289999999999999</c:v>
                </c:pt>
                <c:pt idx="7">
                  <c:v>1.0289999999999999</c:v>
                </c:pt>
                <c:pt idx="8">
                  <c:v>1.0289999999999999</c:v>
                </c:pt>
                <c:pt idx="9">
                  <c:v>1.0289999999999999</c:v>
                </c:pt>
                <c:pt idx="10">
                  <c:v>1.0289999999999999</c:v>
                </c:pt>
                <c:pt idx="11">
                  <c:v>1.0289999999999999</c:v>
                </c:pt>
                <c:pt idx="12">
                  <c:v>1.0289999999999999</c:v>
                </c:pt>
                <c:pt idx="13">
                  <c:v>1.0289999999999999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45A-4A66-AA68-18FC86BDE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470216"/>
        <c:axId val="435474920"/>
      </c:areaChart>
      <c:lineChart>
        <c:grouping val="stacked"/>
        <c:varyColors val="0"/>
        <c:ser>
          <c:idx val="2"/>
          <c:order val="2"/>
          <c:tx>
            <c:strRef>
              <c:f>Charts!$D$230</c:f>
              <c:strCache>
                <c:ptCount val="1"/>
                <c:pt idx="0">
                  <c:v>Total Caps with imports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numRef>
              <c:f>Charts!$E$227:$R$227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Charts!$E$230:$R$230</c:f>
              <c:numCache>
                <c:formatCode>0.0</c:formatCode>
                <c:ptCount val="14"/>
                <c:pt idx="0">
                  <c:v>142.33169192075729</c:v>
                </c:pt>
                <c:pt idx="1">
                  <c:v>136.44378354391171</c:v>
                </c:pt>
                <c:pt idx="2">
                  <c:v>130.55587516706612</c:v>
                </c:pt>
                <c:pt idx="3">
                  <c:v>124.66796679022053</c:v>
                </c:pt>
                <c:pt idx="4">
                  <c:v>121.08549271004843</c:v>
                </c:pt>
                <c:pt idx="5">
                  <c:v>117.49309564330355</c:v>
                </c:pt>
                <c:pt idx="6">
                  <c:v>113.90069857655867</c:v>
                </c:pt>
                <c:pt idx="7">
                  <c:v>110.30830150981379</c:v>
                </c:pt>
                <c:pt idx="8">
                  <c:v>106.71590444306891</c:v>
                </c:pt>
                <c:pt idx="9">
                  <c:v>103.12350737632403</c:v>
                </c:pt>
                <c:pt idx="10">
                  <c:v>99.531110309579148</c:v>
                </c:pt>
                <c:pt idx="11">
                  <c:v>95.938713242834268</c:v>
                </c:pt>
                <c:pt idx="12">
                  <c:v>92.346316176089388</c:v>
                </c:pt>
                <c:pt idx="13">
                  <c:v>88.75391910934448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45A-4A66-AA68-18FC86BDE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470216"/>
        <c:axId val="435474920"/>
      </c:lineChart>
      <c:catAx>
        <c:axId val="435470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474920"/>
        <c:crosses val="autoZero"/>
        <c:auto val="1"/>
        <c:lblAlgn val="ctr"/>
        <c:lblOffset val="100"/>
        <c:noMultiLvlLbl val="0"/>
      </c:catAx>
      <c:valAx>
        <c:axId val="4354749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Mt</a:t>
                </a:r>
                <a:r>
                  <a:rPr lang="en-CA" baseline="0"/>
                  <a:t> CO2e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8.3044967614823925E-2"/>
              <c:y val="0.374916731008288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470216"/>
        <c:crosses val="autoZero"/>
        <c:crossBetween val="between"/>
        <c:majorUnit val="2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 b="1">
                <a:solidFill>
                  <a:sysClr val="windowText" lastClr="000000"/>
                </a:solidFill>
              </a:rPr>
              <a:t>Proposed Caps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n-CA" sz="1000" b="1">
                <a:solidFill>
                  <a:sysClr val="windowText" lastClr="000000"/>
                </a:solidFill>
              </a:rPr>
              <a:t>(Flat</a:t>
            </a:r>
            <a:r>
              <a:rPr lang="en-CA" sz="1000" b="1" baseline="0">
                <a:solidFill>
                  <a:sysClr val="windowText" lastClr="000000"/>
                </a:solidFill>
              </a:rPr>
              <a:t> c</a:t>
            </a:r>
            <a:r>
              <a:rPr lang="en-CA" sz="1000" b="1">
                <a:solidFill>
                  <a:sysClr val="windowText" lastClr="000000"/>
                </a:solidFill>
              </a:rPr>
              <a:t>ap on imports</a:t>
            </a:r>
            <a:r>
              <a:rPr lang="en-CA" sz="1000" b="1" baseline="0">
                <a:solidFill>
                  <a:sysClr val="windowText" lastClr="000000"/>
                </a:solidFill>
              </a:rPr>
              <a:t>)</a:t>
            </a:r>
            <a:endParaRPr lang="en-CA" sz="1000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Charts!$D$228</c:f>
              <c:strCache>
                <c:ptCount val="1"/>
                <c:pt idx="0">
                  <c:v>Domestic Caps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Charts!$E$227:$R$227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Charts!$E$228:$R$228</c:f>
              <c:numCache>
                <c:formatCode>0.0</c:formatCode>
                <c:ptCount val="14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120.05649271004843</c:v>
                </c:pt>
                <c:pt idx="5">
                  <c:v>116.46409564330355</c:v>
                </c:pt>
                <c:pt idx="6">
                  <c:v>112.87169857655867</c:v>
                </c:pt>
                <c:pt idx="7">
                  <c:v>109.27930150981379</c:v>
                </c:pt>
                <c:pt idx="8">
                  <c:v>105.68690444306891</c:v>
                </c:pt>
                <c:pt idx="9">
                  <c:v>102.09450737632403</c:v>
                </c:pt>
                <c:pt idx="10">
                  <c:v>98.502110309579152</c:v>
                </c:pt>
                <c:pt idx="11">
                  <c:v>94.909713242834272</c:v>
                </c:pt>
                <c:pt idx="12">
                  <c:v>91.317316176089392</c:v>
                </c:pt>
                <c:pt idx="13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5A-4A66-AA68-18FC86BDEFB3}"/>
            </c:ext>
          </c:extLst>
        </c:ser>
        <c:ser>
          <c:idx val="1"/>
          <c:order val="1"/>
          <c:tx>
            <c:strRef>
              <c:f>Charts!$D$229</c:f>
              <c:strCache>
                <c:ptCount val="1"/>
                <c:pt idx="0">
                  <c:v>Imports - flat cap*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Charts!$E$227:$R$227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Charts!$E$229:$R$229</c:f>
              <c:numCache>
                <c:formatCode>0.0</c:formatCode>
                <c:ptCount val="14"/>
                <c:pt idx="0">
                  <c:v>1.019077013427216</c:v>
                </c:pt>
                <c:pt idx="1">
                  <c:v>1.019077013427216</c:v>
                </c:pt>
                <c:pt idx="2">
                  <c:v>1.019077013427216</c:v>
                </c:pt>
                <c:pt idx="3">
                  <c:v>1.019077013427216</c:v>
                </c:pt>
                <c:pt idx="4">
                  <c:v>1.0289999999999999</c:v>
                </c:pt>
                <c:pt idx="5">
                  <c:v>1.0289999999999999</c:v>
                </c:pt>
                <c:pt idx="6">
                  <c:v>1.0289999999999999</c:v>
                </c:pt>
                <c:pt idx="7">
                  <c:v>1.0289999999999999</c:v>
                </c:pt>
                <c:pt idx="8">
                  <c:v>1.0289999999999999</c:v>
                </c:pt>
                <c:pt idx="9">
                  <c:v>1.0289999999999999</c:v>
                </c:pt>
                <c:pt idx="10">
                  <c:v>1.0289999999999999</c:v>
                </c:pt>
                <c:pt idx="11">
                  <c:v>1.0289999999999999</c:v>
                </c:pt>
                <c:pt idx="12">
                  <c:v>1.0289999999999999</c:v>
                </c:pt>
                <c:pt idx="13">
                  <c:v>1.0289999999999999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45A-4A66-AA68-18FC86BDE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470608"/>
        <c:axId val="435471000"/>
      </c:areaChart>
      <c:lineChart>
        <c:grouping val="stacked"/>
        <c:varyColors val="0"/>
        <c:ser>
          <c:idx val="2"/>
          <c:order val="2"/>
          <c:tx>
            <c:strRef>
              <c:f>Charts!$D$230</c:f>
              <c:strCache>
                <c:ptCount val="1"/>
                <c:pt idx="0">
                  <c:v>Total Caps with imports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numRef>
              <c:f>Charts!$E$227:$R$227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Charts!$E$230:$R$230</c:f>
              <c:numCache>
                <c:formatCode>0.0</c:formatCode>
                <c:ptCount val="14"/>
                <c:pt idx="0">
                  <c:v>142.33169192075729</c:v>
                </c:pt>
                <c:pt idx="1">
                  <c:v>136.44378354391171</c:v>
                </c:pt>
                <c:pt idx="2">
                  <c:v>130.55587516706612</c:v>
                </c:pt>
                <c:pt idx="3">
                  <c:v>124.66796679022053</c:v>
                </c:pt>
                <c:pt idx="4">
                  <c:v>121.08549271004843</c:v>
                </c:pt>
                <c:pt idx="5">
                  <c:v>117.49309564330355</c:v>
                </c:pt>
                <c:pt idx="6">
                  <c:v>113.90069857655867</c:v>
                </c:pt>
                <c:pt idx="7">
                  <c:v>110.30830150981379</c:v>
                </c:pt>
                <c:pt idx="8">
                  <c:v>106.71590444306891</c:v>
                </c:pt>
                <c:pt idx="9">
                  <c:v>103.12350737632403</c:v>
                </c:pt>
                <c:pt idx="10">
                  <c:v>99.531110309579148</c:v>
                </c:pt>
                <c:pt idx="11">
                  <c:v>95.938713242834268</c:v>
                </c:pt>
                <c:pt idx="12">
                  <c:v>92.346316176089388</c:v>
                </c:pt>
                <c:pt idx="13">
                  <c:v>88.75391910934448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45A-4A66-AA68-18FC86BDE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470608"/>
        <c:axId val="435471000"/>
      </c:lineChart>
      <c:catAx>
        <c:axId val="43547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471000"/>
        <c:crosses val="autoZero"/>
        <c:auto val="1"/>
        <c:lblAlgn val="ctr"/>
        <c:lblOffset val="100"/>
        <c:noMultiLvlLbl val="0"/>
      </c:catAx>
      <c:valAx>
        <c:axId val="435471000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Mt</a:t>
                </a:r>
                <a:r>
                  <a:rPr lang="en-CA" baseline="0"/>
                  <a:t> CO2e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8.3044967614823925E-2"/>
              <c:y val="0.374916731008288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470608"/>
        <c:crosses val="autoZero"/>
        <c:crossBetween val="between"/>
        <c:majorUnit val="2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 b="1">
                <a:solidFill>
                  <a:sysClr val="windowText" lastClr="000000"/>
                </a:solidFill>
              </a:rPr>
              <a:t>Proposed Caps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Charts!$D$200</c:f>
              <c:strCache>
                <c:ptCount val="1"/>
                <c:pt idx="0">
                  <c:v>2030 Cap (domestic)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Charts!$E$198:$S$198</c:f>
              <c:numCache>
                <c:formatCode>General</c:formatCode>
                <c:ptCount val="1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2030</c:v>
                </c:pt>
              </c:numCache>
            </c:numRef>
          </c:cat>
          <c:val>
            <c:numRef>
              <c:f>Charts!$E$200:$S$200</c:f>
              <c:numCache>
                <c:formatCode>0.0</c:formatCode>
                <c:ptCount val="15"/>
                <c:pt idx="14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45A-4A66-AA68-18FC86BDEFB3}"/>
            </c:ext>
          </c:extLst>
        </c:ser>
        <c:ser>
          <c:idx val="2"/>
          <c:order val="1"/>
          <c:tx>
            <c:strRef>
              <c:f>Charts!$D$201</c:f>
              <c:strCache>
                <c:ptCount val="1"/>
                <c:pt idx="0">
                  <c:v>Uncovered Emissions in 2030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Charts!$E$198:$S$198</c:f>
              <c:numCache>
                <c:formatCode>General</c:formatCode>
                <c:ptCount val="1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2030</c:v>
                </c:pt>
              </c:numCache>
            </c:numRef>
          </c:cat>
          <c:val>
            <c:numRef>
              <c:f>Charts!$E$201:$S$201</c:f>
              <c:numCache>
                <c:formatCode>General</c:formatCode>
                <c:ptCount val="15"/>
                <c:pt idx="14" formatCode="0.0">
                  <c:v>26.305080890655518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45A-4A66-AA68-18FC86BDEFB3}"/>
            </c:ext>
          </c:extLst>
        </c:ser>
        <c:ser>
          <c:idx val="3"/>
          <c:order val="2"/>
          <c:tx>
            <c:strRef>
              <c:f>Charts!$D$202</c:f>
              <c:strCache>
                <c:ptCount val="1"/>
                <c:pt idx="0">
                  <c:v>Required Reductions in 2030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Charts!$E$198:$S$198</c:f>
              <c:numCache>
                <c:formatCode>General</c:formatCode>
                <c:ptCount val="1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2030</c:v>
                </c:pt>
              </c:numCache>
            </c:numRef>
          </c:cat>
          <c:val>
            <c:numRef>
              <c:f>Charts!$E$202:$S$202</c:f>
              <c:numCache>
                <c:formatCode>General</c:formatCode>
                <c:ptCount val="15"/>
                <c:pt idx="14" formatCode="0.0">
                  <c:v>49.627683085650204</c:v>
                </c:pt>
              </c:numCache>
            </c:numRef>
          </c:val>
        </c:ser>
        <c:ser>
          <c:idx val="0"/>
          <c:order val="3"/>
          <c:tx>
            <c:strRef>
              <c:f>Charts!$D$199</c:f>
              <c:strCache>
                <c:ptCount val="1"/>
                <c:pt idx="0">
                  <c:v>Domestic Caps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Charts!$E$198:$S$198</c:f>
              <c:numCache>
                <c:formatCode>General</c:formatCode>
                <c:ptCount val="1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2030</c:v>
                </c:pt>
              </c:numCache>
            </c:numRef>
          </c:cat>
          <c:val>
            <c:numRef>
              <c:f>Charts!$E$199:$S$199</c:f>
              <c:numCache>
                <c:formatCode>0.0</c:formatCode>
                <c:ptCount val="15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120.05649271004843</c:v>
                </c:pt>
                <c:pt idx="5">
                  <c:v>116.46409564330355</c:v>
                </c:pt>
                <c:pt idx="6">
                  <c:v>112.87169857655867</c:v>
                </c:pt>
                <c:pt idx="7">
                  <c:v>109.27930150981379</c:v>
                </c:pt>
                <c:pt idx="8">
                  <c:v>105.68690444306891</c:v>
                </c:pt>
                <c:pt idx="9">
                  <c:v>102.09450737632403</c:v>
                </c:pt>
                <c:pt idx="10">
                  <c:v>98.502110309579152</c:v>
                </c:pt>
                <c:pt idx="11">
                  <c:v>94.909713242834272</c:v>
                </c:pt>
                <c:pt idx="12">
                  <c:v>91.317316176089392</c:v>
                </c:pt>
                <c:pt idx="13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5A-4A66-AA68-18FC86BDE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48016472"/>
        <c:axId val="448016864"/>
      </c:barChart>
      <c:catAx>
        <c:axId val="448016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016864"/>
        <c:crosses val="autoZero"/>
        <c:auto val="1"/>
        <c:lblAlgn val="ctr"/>
        <c:lblOffset val="100"/>
        <c:noMultiLvlLbl val="0"/>
      </c:catAx>
      <c:valAx>
        <c:axId val="4480168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Mt</a:t>
                </a:r>
                <a:r>
                  <a:rPr lang="en-CA" baseline="0"/>
                  <a:t> CO2e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8.3044967614823925E-2"/>
              <c:y val="0.374916731008288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016472"/>
        <c:crosses val="autoZero"/>
        <c:crossBetween val="between"/>
        <c:majorUnit val="2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Charts!$D$200</c:f>
              <c:strCache>
                <c:ptCount val="1"/>
                <c:pt idx="0">
                  <c:v>2030 Cap (domestic)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Charts!$E$198:$S$198</c:f>
              <c:numCache>
                <c:formatCode>General</c:formatCode>
                <c:ptCount val="1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2030</c:v>
                </c:pt>
              </c:numCache>
            </c:numRef>
          </c:cat>
          <c:val>
            <c:numRef>
              <c:f>Charts!$E$200:$S$200</c:f>
              <c:numCache>
                <c:formatCode>0.0</c:formatCode>
                <c:ptCount val="15"/>
                <c:pt idx="14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45A-4A66-AA68-18FC86BDEFB3}"/>
            </c:ext>
          </c:extLst>
        </c:ser>
        <c:ser>
          <c:idx val="2"/>
          <c:order val="1"/>
          <c:tx>
            <c:strRef>
              <c:f>Charts!$D$201</c:f>
              <c:strCache>
                <c:ptCount val="1"/>
                <c:pt idx="0">
                  <c:v>Uncovered Emissions in 2030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Charts!$E$198:$S$198</c:f>
              <c:numCache>
                <c:formatCode>General</c:formatCode>
                <c:ptCount val="1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2030</c:v>
                </c:pt>
              </c:numCache>
            </c:numRef>
          </c:cat>
          <c:val>
            <c:numRef>
              <c:f>Charts!$E$201:$S$201</c:f>
              <c:numCache>
                <c:formatCode>General</c:formatCode>
                <c:ptCount val="15"/>
                <c:pt idx="14" formatCode="0.0">
                  <c:v>26.305080890655518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45A-4A66-AA68-18FC86BDEFB3}"/>
            </c:ext>
          </c:extLst>
        </c:ser>
        <c:ser>
          <c:idx val="3"/>
          <c:order val="2"/>
          <c:tx>
            <c:strRef>
              <c:f>Charts!$D$202</c:f>
              <c:strCache>
                <c:ptCount val="1"/>
                <c:pt idx="0">
                  <c:v>Required Reductions in 2030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Charts!$E$198:$S$198</c:f>
              <c:numCache>
                <c:formatCode>General</c:formatCode>
                <c:ptCount val="1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2030</c:v>
                </c:pt>
              </c:numCache>
            </c:numRef>
          </c:cat>
          <c:val>
            <c:numRef>
              <c:f>Charts!$E$202:$S$202</c:f>
              <c:numCache>
                <c:formatCode>General</c:formatCode>
                <c:ptCount val="15"/>
                <c:pt idx="14" formatCode="0.0">
                  <c:v>49.627683085650204</c:v>
                </c:pt>
              </c:numCache>
            </c:numRef>
          </c:val>
        </c:ser>
        <c:ser>
          <c:idx val="0"/>
          <c:order val="3"/>
          <c:tx>
            <c:strRef>
              <c:f>Charts!$D$199</c:f>
              <c:strCache>
                <c:ptCount val="1"/>
                <c:pt idx="0">
                  <c:v>Domestic Caps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Charts!$E$198:$S$198</c:f>
              <c:numCache>
                <c:formatCode>General</c:formatCode>
                <c:ptCount val="1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2030</c:v>
                </c:pt>
              </c:numCache>
            </c:numRef>
          </c:cat>
          <c:val>
            <c:numRef>
              <c:f>Charts!$E$199:$S$199</c:f>
              <c:numCache>
                <c:formatCode>0.0</c:formatCode>
                <c:ptCount val="15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120.05649271004843</c:v>
                </c:pt>
                <c:pt idx="5">
                  <c:v>116.46409564330355</c:v>
                </c:pt>
                <c:pt idx="6">
                  <c:v>112.87169857655867</c:v>
                </c:pt>
                <c:pt idx="7">
                  <c:v>109.27930150981379</c:v>
                </c:pt>
                <c:pt idx="8">
                  <c:v>105.68690444306891</c:v>
                </c:pt>
                <c:pt idx="9">
                  <c:v>102.09450737632403</c:v>
                </c:pt>
                <c:pt idx="10">
                  <c:v>98.502110309579152</c:v>
                </c:pt>
                <c:pt idx="11">
                  <c:v>94.909713242834272</c:v>
                </c:pt>
                <c:pt idx="12">
                  <c:v>91.317316176089392</c:v>
                </c:pt>
                <c:pt idx="13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5A-4A66-AA68-18FC86BDE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49826592"/>
        <c:axId val="449829336"/>
      </c:barChart>
      <c:catAx>
        <c:axId val="44982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9829336"/>
        <c:crosses val="autoZero"/>
        <c:auto val="1"/>
        <c:lblAlgn val="ctr"/>
        <c:lblOffset val="100"/>
        <c:noMultiLvlLbl val="0"/>
      </c:catAx>
      <c:valAx>
        <c:axId val="4498293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Mt</a:t>
                </a:r>
                <a:r>
                  <a:rPr lang="en-CA" baseline="0"/>
                  <a:t> CO2e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1.1456673683640905E-2"/>
              <c:y val="0.374916685354063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982659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Charts!$D$200</c:f>
              <c:strCache>
                <c:ptCount val="1"/>
                <c:pt idx="0">
                  <c:v>2030 Cap (domestic)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Charts!$E$198:$S$198</c:f>
              <c:numCache>
                <c:formatCode>General</c:formatCode>
                <c:ptCount val="1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2030</c:v>
                </c:pt>
              </c:numCache>
            </c:numRef>
          </c:cat>
          <c:val>
            <c:numRef>
              <c:f>Charts!$E$200:$S$200</c:f>
              <c:numCache>
                <c:formatCode>0.0</c:formatCode>
                <c:ptCount val="15"/>
                <c:pt idx="14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45A-4A66-AA68-18FC86BDEFB3}"/>
            </c:ext>
          </c:extLst>
        </c:ser>
        <c:ser>
          <c:idx val="2"/>
          <c:order val="1"/>
          <c:tx>
            <c:strRef>
              <c:f>Charts!$D$201</c:f>
              <c:strCache>
                <c:ptCount val="1"/>
                <c:pt idx="0">
                  <c:v>Uncovered Emissions in 2030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Charts!$E$198:$S$198</c:f>
              <c:numCache>
                <c:formatCode>General</c:formatCode>
                <c:ptCount val="1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2030</c:v>
                </c:pt>
              </c:numCache>
            </c:numRef>
          </c:cat>
          <c:val>
            <c:numRef>
              <c:f>Charts!$E$201:$S$201</c:f>
              <c:numCache>
                <c:formatCode>General</c:formatCode>
                <c:ptCount val="15"/>
                <c:pt idx="14" formatCode="0.0">
                  <c:v>26.305080890655518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45A-4A66-AA68-18FC86BDEFB3}"/>
            </c:ext>
          </c:extLst>
        </c:ser>
        <c:ser>
          <c:idx val="3"/>
          <c:order val="2"/>
          <c:tx>
            <c:strRef>
              <c:f>Charts!$D$202</c:f>
              <c:strCache>
                <c:ptCount val="1"/>
                <c:pt idx="0">
                  <c:v>Required Reductions in 2030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Charts!$E$198:$S$198</c:f>
              <c:numCache>
                <c:formatCode>General</c:formatCode>
                <c:ptCount val="1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2030</c:v>
                </c:pt>
              </c:numCache>
            </c:numRef>
          </c:cat>
          <c:val>
            <c:numRef>
              <c:f>Charts!$E$202:$S$202</c:f>
              <c:numCache>
                <c:formatCode>General</c:formatCode>
                <c:ptCount val="15"/>
                <c:pt idx="14" formatCode="0.0">
                  <c:v>49.627683085650204</c:v>
                </c:pt>
              </c:numCache>
            </c:numRef>
          </c:val>
        </c:ser>
        <c:ser>
          <c:idx val="0"/>
          <c:order val="3"/>
          <c:tx>
            <c:strRef>
              <c:f>Charts!$D$199</c:f>
              <c:strCache>
                <c:ptCount val="1"/>
                <c:pt idx="0">
                  <c:v>Domestic Caps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Charts!$E$198:$S$198</c:f>
              <c:numCache>
                <c:formatCode>General</c:formatCode>
                <c:ptCount val="1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2030</c:v>
                </c:pt>
              </c:numCache>
            </c:numRef>
          </c:cat>
          <c:val>
            <c:numRef>
              <c:f>Charts!$E$199:$S$199</c:f>
              <c:numCache>
                <c:formatCode>0.0</c:formatCode>
                <c:ptCount val="15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120.05649271004843</c:v>
                </c:pt>
                <c:pt idx="5">
                  <c:v>116.46409564330355</c:v>
                </c:pt>
                <c:pt idx="6">
                  <c:v>112.87169857655867</c:v>
                </c:pt>
                <c:pt idx="7">
                  <c:v>109.27930150981379</c:v>
                </c:pt>
                <c:pt idx="8">
                  <c:v>105.68690444306891</c:v>
                </c:pt>
                <c:pt idx="9">
                  <c:v>102.09450737632403</c:v>
                </c:pt>
                <c:pt idx="10">
                  <c:v>98.502110309579152</c:v>
                </c:pt>
                <c:pt idx="11">
                  <c:v>94.909713242834272</c:v>
                </c:pt>
                <c:pt idx="12">
                  <c:v>91.317316176089392</c:v>
                </c:pt>
                <c:pt idx="13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5A-4A66-AA68-18FC86BDE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56271648"/>
        <c:axId val="456264200"/>
      </c:barChart>
      <c:catAx>
        <c:axId val="45627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264200"/>
        <c:crosses val="autoZero"/>
        <c:auto val="1"/>
        <c:lblAlgn val="ctr"/>
        <c:lblOffset val="100"/>
        <c:noMultiLvlLbl val="0"/>
      </c:catAx>
      <c:valAx>
        <c:axId val="4562642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Mt</a:t>
                </a:r>
                <a:r>
                  <a:rPr lang="en-CA" baseline="0"/>
                  <a:t> CO2e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1.1456673683640905E-2"/>
              <c:y val="0.374916685354063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2716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Caps under</a:t>
            </a:r>
            <a:r>
              <a:rPr lang="en-CA" b="1" baseline="0"/>
              <a:t> Ontario's Cap and Trade Program</a:t>
            </a:r>
            <a:r>
              <a:rPr lang="en-CA" baseline="0"/>
              <a:t> </a:t>
            </a:r>
            <a:endParaRPr lang="en-CA"/>
          </a:p>
        </c:rich>
      </c:tx>
      <c:layout>
        <c:manualLayout>
          <c:xMode val="edge"/>
          <c:yMode val="edge"/>
          <c:x val="0.2145817446588425"/>
          <c:y val="3.09247608622520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72149514923994"/>
          <c:y val="0.11201204007619928"/>
          <c:w val="0.67618486390897681"/>
          <c:h val="0.81792904126208688"/>
        </c:manualLayout>
      </c:layout>
      <c:areaChart>
        <c:grouping val="stacked"/>
        <c:varyColors val="0"/>
        <c:ser>
          <c:idx val="6"/>
          <c:order val="1"/>
          <c:tx>
            <c:strRef>
              <c:f>'Post-2020Caps_July25Navius FixP'!$B$187</c:f>
              <c:strCache>
                <c:ptCount val="1"/>
                <c:pt idx="0">
                  <c:v>Electricity and Heat Generation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FixP'!$C$187:$W$187</c:f>
              <c:numCache>
                <c:formatCode>0.0</c:formatCode>
                <c:ptCount val="14"/>
                <c:pt idx="0">
                  <c:v>6.480922986572784</c:v>
                </c:pt>
                <c:pt idx="1">
                  <c:v>6.480922986572784</c:v>
                </c:pt>
                <c:pt idx="2">
                  <c:v>6.480922986572784</c:v>
                </c:pt>
                <c:pt idx="3">
                  <c:v>6.480922986572784</c:v>
                </c:pt>
                <c:pt idx="4">
                  <c:v>3.8699999999999997</c:v>
                </c:pt>
                <c:pt idx="5">
                  <c:v>3.8699999999999997</c:v>
                </c:pt>
                <c:pt idx="6">
                  <c:v>3.8699999999999997</c:v>
                </c:pt>
                <c:pt idx="7">
                  <c:v>3.8699999999999997</c:v>
                </c:pt>
                <c:pt idx="8">
                  <c:v>3.8699999999999997</c:v>
                </c:pt>
                <c:pt idx="9">
                  <c:v>3.8699999999999997</c:v>
                </c:pt>
                <c:pt idx="10">
                  <c:v>3.8699999999999997</c:v>
                </c:pt>
                <c:pt idx="11">
                  <c:v>3.8699999999999997</c:v>
                </c:pt>
                <c:pt idx="12">
                  <c:v>3.8699999999999997</c:v>
                </c:pt>
                <c:pt idx="13">
                  <c:v>3.8699999999999997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36C-4C33-B51D-63830C13C687}"/>
            </c:ext>
          </c:extLst>
        </c:ser>
        <c:ser>
          <c:idx val="1"/>
          <c:order val="2"/>
          <c:tx>
            <c:strRef>
              <c:f>'Post-2020Caps_July25Navius FixP'!$B$186</c:f>
              <c:strCache>
                <c:ptCount val="1"/>
                <c:pt idx="0">
                  <c:v>Imported Electricity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FixP'!$C$186:$W$186</c:f>
              <c:numCache>
                <c:formatCode>0.0</c:formatCode>
                <c:ptCount val="14"/>
                <c:pt idx="0">
                  <c:v>1.019077013427216</c:v>
                </c:pt>
                <c:pt idx="1">
                  <c:v>1.019077013427216</c:v>
                </c:pt>
                <c:pt idx="2">
                  <c:v>1.019077013427216</c:v>
                </c:pt>
                <c:pt idx="3">
                  <c:v>1.019077013427216</c:v>
                </c:pt>
                <c:pt idx="4">
                  <c:v>1.0289999999999999</c:v>
                </c:pt>
                <c:pt idx="5">
                  <c:v>1.0289999999999999</c:v>
                </c:pt>
                <c:pt idx="6">
                  <c:v>1.0289999999999999</c:v>
                </c:pt>
                <c:pt idx="7">
                  <c:v>1.0289999999999999</c:v>
                </c:pt>
                <c:pt idx="8">
                  <c:v>1.0289999999999999</c:v>
                </c:pt>
                <c:pt idx="9">
                  <c:v>1.0289999999999999</c:v>
                </c:pt>
                <c:pt idx="10">
                  <c:v>1.0289999999999999</c:v>
                </c:pt>
                <c:pt idx="11">
                  <c:v>1.0289999999999999</c:v>
                </c:pt>
                <c:pt idx="12">
                  <c:v>1.0289999999999999</c:v>
                </c:pt>
                <c:pt idx="13">
                  <c:v>1.0289999999999999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36C-4C33-B51D-63830C13C687}"/>
            </c:ext>
          </c:extLst>
        </c:ser>
        <c:ser>
          <c:idx val="5"/>
          <c:order val="3"/>
          <c:tx>
            <c:strRef>
              <c:f>'Post-2020Caps_July25Navius FixP'!$B$185</c:f>
              <c:strCache>
                <c:ptCount val="1"/>
                <c:pt idx="0">
                  <c:v>Fixed Process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FixP'!$C$185:$W$185</c:f>
              <c:numCache>
                <c:formatCode>0.0</c:formatCode>
                <c:ptCount val="14"/>
                <c:pt idx="0">
                  <c:v>12.390987202386567</c:v>
                </c:pt>
                <c:pt idx="1">
                  <c:v>12.390987202386567</c:v>
                </c:pt>
                <c:pt idx="2">
                  <c:v>12.390987202386567</c:v>
                </c:pt>
                <c:pt idx="3">
                  <c:v>12.390987202386567</c:v>
                </c:pt>
                <c:pt idx="4">
                  <c:v>14.120710578402061</c:v>
                </c:pt>
                <c:pt idx="5">
                  <c:v>14.356828330122891</c:v>
                </c:pt>
                <c:pt idx="6">
                  <c:v>14.597465128041513</c:v>
                </c:pt>
                <c:pt idx="7">
                  <c:v>14.842708415340109</c:v>
                </c:pt>
                <c:pt idx="8">
                  <c:v>15.109388154580515</c:v>
                </c:pt>
                <c:pt idx="9">
                  <c:v>15.092647457723142</c:v>
                </c:pt>
                <c:pt idx="10">
                  <c:v>15.128763104894668</c:v>
                </c:pt>
                <c:pt idx="11">
                  <c:v>15.150807852478572</c:v>
                </c:pt>
                <c:pt idx="12">
                  <c:v>15.175558851245498</c:v>
                </c:pt>
                <c:pt idx="13">
                  <c:v>15.203053482552299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36C-4C33-B51D-63830C13C687}"/>
            </c:ext>
          </c:extLst>
        </c:ser>
        <c:ser>
          <c:idx val="4"/>
          <c:order val="4"/>
          <c:tx>
            <c:strRef>
              <c:f>'Post-2020Caps_July25Navius FixP'!$B$184</c:f>
              <c:strCache>
                <c:ptCount val="1"/>
                <c:pt idx="0">
                  <c:v>Industry Combustion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FixP'!$C$184:$W$184</c:f>
              <c:numCache>
                <c:formatCode>0.0</c:formatCode>
                <c:ptCount val="14"/>
                <c:pt idx="0">
                  <c:v>17.111363279486216</c:v>
                </c:pt>
                <c:pt idx="1">
                  <c:v>16.329887318512082</c:v>
                </c:pt>
                <c:pt idx="2">
                  <c:v>15.548411357537946</c:v>
                </c:pt>
                <c:pt idx="3">
                  <c:v>14.766935396563809</c:v>
                </c:pt>
                <c:pt idx="4">
                  <c:v>14.290111052608765</c:v>
                </c:pt>
                <c:pt idx="5">
                  <c:v>13.813286708653719</c:v>
                </c:pt>
                <c:pt idx="6">
                  <c:v>13.336462364698674</c:v>
                </c:pt>
                <c:pt idx="7">
                  <c:v>12.859638020743628</c:v>
                </c:pt>
                <c:pt idx="8">
                  <c:v>12.382813676788583</c:v>
                </c:pt>
                <c:pt idx="9">
                  <c:v>11.905989332833537</c:v>
                </c:pt>
                <c:pt idx="10">
                  <c:v>11.429164988878492</c:v>
                </c:pt>
                <c:pt idx="11">
                  <c:v>10.952340644923446</c:v>
                </c:pt>
                <c:pt idx="12">
                  <c:v>10.475516300968401</c:v>
                </c:pt>
                <c:pt idx="13">
                  <c:v>9.9986919570133566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36C-4C33-B51D-63830C13C687}"/>
            </c:ext>
          </c:extLst>
        </c:ser>
        <c:ser>
          <c:idx val="7"/>
          <c:order val="5"/>
          <c:tx>
            <c:strRef>
              <c:f>'Post-2020Caps_July25Navius FixP'!$B$188</c:f>
              <c:strCache>
                <c:ptCount val="1"/>
                <c:pt idx="0">
                  <c:v>Fuels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FixP'!$C$188:$W$188</c:f>
              <c:numCache>
                <c:formatCode>0.0</c:formatCode>
                <c:ptCount val="14"/>
                <c:pt idx="0">
                  <c:v>105.32934143888451</c:v>
                </c:pt>
                <c:pt idx="1">
                  <c:v>100.22290902301306</c:v>
                </c:pt>
                <c:pt idx="2">
                  <c:v>95.116476607141607</c:v>
                </c:pt>
                <c:pt idx="3">
                  <c:v>90.010044191270154</c:v>
                </c:pt>
                <c:pt idx="4">
                  <c:v>86.881357139121022</c:v>
                </c:pt>
                <c:pt idx="5">
                  <c:v>83.752670086971889</c:v>
                </c:pt>
                <c:pt idx="6">
                  <c:v>80.623983034822757</c:v>
                </c:pt>
                <c:pt idx="7">
                  <c:v>77.495295982673625</c:v>
                </c:pt>
                <c:pt idx="8">
                  <c:v>74.366608930524492</c:v>
                </c:pt>
                <c:pt idx="9">
                  <c:v>71.23792187837536</c:v>
                </c:pt>
                <c:pt idx="10">
                  <c:v>68.109234826226228</c:v>
                </c:pt>
                <c:pt idx="11">
                  <c:v>64.980547774077095</c:v>
                </c:pt>
                <c:pt idx="12">
                  <c:v>61.851860721927963</c:v>
                </c:pt>
                <c:pt idx="13">
                  <c:v>58.723173669778816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36C-4C33-B51D-63830C13C687}"/>
            </c:ext>
          </c:extLst>
        </c:ser>
        <c:ser>
          <c:idx val="3"/>
          <c:order val="7"/>
          <c:tx>
            <c:strRef>
              <c:f>'Post-2020Caps_July25Navius FixP'!$B$183</c:f>
              <c:strCache>
                <c:ptCount val="1"/>
                <c:pt idx="0">
                  <c:v>Large Emitters (LFEs)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FixP'!$C$183:$W$183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36C-4C33-B51D-63830C13C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0758096"/>
        <c:axId val="280759664"/>
      </c:areaChart>
      <c:lineChart>
        <c:grouping val="standard"/>
        <c:varyColors val="0"/>
        <c:ser>
          <c:idx val="0"/>
          <c:order val="0"/>
          <c:tx>
            <c:strRef>
              <c:f>'Post-2020Caps_July25Navius FixP'!$B$181</c:f>
              <c:strCache>
                <c:ptCount val="1"/>
                <c:pt idx="0">
                  <c:v>Total Caps (including Imported electricity)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6.1034104518123308E-17"/>
                  <c:y val="-1.4272966551808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36C-4C33-B51D-63830C13C687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1.0709504685408299E-2"/>
                  <c:y val="-3.0200064728012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36C-4C33-B51D-63830C13C687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FixP'!$C$181:$W$181</c:f>
              <c:numCache>
                <c:formatCode>0.0</c:formatCode>
                <c:ptCount val="14"/>
                <c:pt idx="0">
                  <c:v>142.33169192075729</c:v>
                </c:pt>
                <c:pt idx="1">
                  <c:v>136.44378354391171</c:v>
                </c:pt>
                <c:pt idx="2">
                  <c:v>130.55587516706612</c:v>
                </c:pt>
                <c:pt idx="3">
                  <c:v>124.66796679022053</c:v>
                </c:pt>
                <c:pt idx="4">
                  <c:v>121.08549271004843</c:v>
                </c:pt>
                <c:pt idx="5">
                  <c:v>117.49309564330355</c:v>
                </c:pt>
                <c:pt idx="6">
                  <c:v>113.90069857655867</c:v>
                </c:pt>
                <c:pt idx="7">
                  <c:v>110.30830150981379</c:v>
                </c:pt>
                <c:pt idx="8">
                  <c:v>106.71590444306891</c:v>
                </c:pt>
                <c:pt idx="9">
                  <c:v>103.12350737632403</c:v>
                </c:pt>
                <c:pt idx="10">
                  <c:v>99.531110309579148</c:v>
                </c:pt>
                <c:pt idx="11">
                  <c:v>95.938713242834268</c:v>
                </c:pt>
                <c:pt idx="12">
                  <c:v>92.346316176089388</c:v>
                </c:pt>
                <c:pt idx="13">
                  <c:v>88.75391910934448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536C-4C33-B51D-63830C13C687}"/>
            </c:ext>
          </c:extLst>
        </c:ser>
        <c:ser>
          <c:idx val="2"/>
          <c:order val="6"/>
          <c:tx>
            <c:strRef>
              <c:f>'Post-2020Caps_July25Navius FixP'!$B$182</c:f>
              <c:strCache>
                <c:ptCount val="1"/>
                <c:pt idx="0">
                  <c:v>Total Caps (Domestic)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FixP'!$C$182:$W$182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536C-4C33-B51D-63830C13C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758096"/>
        <c:axId val="280759664"/>
      </c:lineChart>
      <c:catAx>
        <c:axId val="28075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759664"/>
        <c:crosses val="autoZero"/>
        <c:auto val="1"/>
        <c:lblAlgn val="ctr"/>
        <c:lblOffset val="100"/>
        <c:noMultiLvlLbl val="0"/>
      </c:catAx>
      <c:valAx>
        <c:axId val="28075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b="1">
                    <a:solidFill>
                      <a:sysClr val="windowText" lastClr="000000"/>
                    </a:solidFill>
                  </a:rPr>
                  <a:t>Mt</a:t>
                </a:r>
                <a:r>
                  <a:rPr lang="en-CA" b="1" baseline="0">
                    <a:solidFill>
                      <a:sysClr val="windowText" lastClr="000000"/>
                    </a:solidFill>
                  </a:rPr>
                  <a:t> CO2e</a:t>
                </a:r>
                <a:endParaRPr lang="en-CA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2223923216199801E-2"/>
              <c:y val="0.46313528749350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75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0.81089530475357252"/>
          <c:y val="0.34290556487318707"/>
          <c:w val="0.17482535566588314"/>
          <c:h val="0.58626125338829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Total GHG Emissions </a:t>
            </a:r>
          </a:p>
          <a:p>
            <a:pPr>
              <a:defRPr/>
            </a:pPr>
            <a:r>
              <a:rPr lang="en-CA" sz="1000" b="1"/>
              <a:t>(2017</a:t>
            </a:r>
            <a:r>
              <a:rPr lang="en-CA" sz="1000" b="1" baseline="0"/>
              <a:t> NIR)</a:t>
            </a:r>
            <a:endParaRPr lang="en-CA" sz="1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79409996253442"/>
          <c:y val="0.15667873035687785"/>
          <c:w val="0.83184818003838101"/>
          <c:h val="0.57976563522574187"/>
        </c:manualLayout>
      </c:layout>
      <c:areaChart>
        <c:grouping val="stacked"/>
        <c:varyColors val="0"/>
        <c:ser>
          <c:idx val="0"/>
          <c:order val="0"/>
          <c:tx>
            <c:strRef>
              <c:f>'[1]2017 NIR'!$C$72:$AB$72</c:f>
              <c:strCache>
                <c:ptCount val="1"/>
                <c:pt idx="0">
                  <c:v>Industry 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'[1]2017 NIR'!$AC$71:$AH$71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'[1]2017 NIR'!$AC$72:$AH$72</c:f>
              <c:numCache>
                <c:formatCode>General</c:formatCode>
                <c:ptCount val="6"/>
                <c:pt idx="0">
                  <c:v>46.373459968036514</c:v>
                </c:pt>
                <c:pt idx="1">
                  <c:v>48.558108323996436</c:v>
                </c:pt>
                <c:pt idx="2">
                  <c:v>50.815860361005647</c:v>
                </c:pt>
                <c:pt idx="3">
                  <c:v>48.371931305742848</c:v>
                </c:pt>
                <c:pt idx="4">
                  <c:v>49.197787998722802</c:v>
                </c:pt>
                <c:pt idx="5">
                  <c:v>47.358557513759031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950-4AAB-8173-B16E2B903FAA}"/>
            </c:ext>
          </c:extLst>
        </c:ser>
        <c:ser>
          <c:idx val="1"/>
          <c:order val="1"/>
          <c:tx>
            <c:strRef>
              <c:f>'[1]2017 NIR'!$C$73:$AB$73</c:f>
              <c:strCache>
                <c:ptCount val="1"/>
                <c:pt idx="0">
                  <c:v>Electricity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'[1]2017 NIR'!$AC$71:$AH$71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'[1]2017 NIR'!$AC$73:$AH$73</c:f>
              <c:numCache>
                <c:formatCode>General</c:formatCode>
                <c:ptCount val="6"/>
                <c:pt idx="0">
                  <c:v>18.646284063432901</c:v>
                </c:pt>
                <c:pt idx="1">
                  <c:v>13.833843295348</c:v>
                </c:pt>
                <c:pt idx="2">
                  <c:v>13.912456764649701</c:v>
                </c:pt>
                <c:pt idx="3">
                  <c:v>10.0580327945951</c:v>
                </c:pt>
                <c:pt idx="4">
                  <c:v>6.0074201464293298</c:v>
                </c:pt>
                <c:pt idx="5">
                  <c:v>6.2075188031322002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950-4AAB-8173-B16E2B903FAA}"/>
            </c:ext>
          </c:extLst>
        </c:ser>
        <c:ser>
          <c:idx val="2"/>
          <c:order val="2"/>
          <c:tx>
            <c:strRef>
              <c:f>'[1]2017 NIR'!$C$74:$AB$74</c:f>
              <c:strCache>
                <c:ptCount val="1"/>
                <c:pt idx="0">
                  <c:v>Transportation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'[1]2017 NIR'!$AC$71:$AH$71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'[1]2017 NIR'!$AC$74:$AH$74</c:f>
              <c:numCache>
                <c:formatCode>General</c:formatCode>
                <c:ptCount val="6"/>
                <c:pt idx="0">
                  <c:v>61.753238018175097</c:v>
                </c:pt>
                <c:pt idx="1">
                  <c:v>61.334914572874794</c:v>
                </c:pt>
                <c:pt idx="2">
                  <c:v>58.978949813984102</c:v>
                </c:pt>
                <c:pt idx="3">
                  <c:v>61.622431385732902</c:v>
                </c:pt>
                <c:pt idx="4">
                  <c:v>59.932229014315894</c:v>
                </c:pt>
                <c:pt idx="5">
                  <c:v>61.1732202682525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950-4AAB-8173-B16E2B903FAA}"/>
            </c:ext>
          </c:extLst>
        </c:ser>
        <c:ser>
          <c:idx val="3"/>
          <c:order val="3"/>
          <c:tx>
            <c:strRef>
              <c:f>'[1]2017 NIR'!$C$75:$AB$75</c:f>
              <c:strCache>
                <c:ptCount val="1"/>
                <c:pt idx="0">
                  <c:v>Buildings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'[1]2017 NIR'!$AC$71:$AH$71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'[1]2017 NIR'!$AC$75:$AH$75</c:f>
              <c:numCache>
                <c:formatCode>General</c:formatCode>
                <c:ptCount val="6"/>
                <c:pt idx="0">
                  <c:v>29.831184823771899</c:v>
                </c:pt>
                <c:pt idx="1">
                  <c:v>32.359943225652501</c:v>
                </c:pt>
                <c:pt idx="2">
                  <c:v>29.278381435084</c:v>
                </c:pt>
                <c:pt idx="3">
                  <c:v>32.147860537132601</c:v>
                </c:pt>
                <c:pt idx="4">
                  <c:v>34.938121836796498</c:v>
                </c:pt>
                <c:pt idx="5">
                  <c:v>33.175708563280097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950-4AAB-8173-B16E2B903FAA}"/>
            </c:ext>
          </c:extLst>
        </c:ser>
        <c:ser>
          <c:idx val="4"/>
          <c:order val="4"/>
          <c:tx>
            <c:strRef>
              <c:f>'[1]2017 NIR'!$C$76:$AB$76</c:f>
              <c:strCache>
                <c:ptCount val="1"/>
                <c:pt idx="0">
                  <c:v>Agriculture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cat>
            <c:numRef>
              <c:f>'[1]2017 NIR'!$AC$71:$AH$71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'[1]2017 NIR'!$AC$76:$AH$76</c:f>
              <c:numCache>
                <c:formatCode>General</c:formatCode>
                <c:ptCount val="6"/>
                <c:pt idx="0">
                  <c:v>10.440966476061</c:v>
                </c:pt>
                <c:pt idx="1">
                  <c:v>9.8661980190880012</c:v>
                </c:pt>
                <c:pt idx="2">
                  <c:v>9.7394322844284194</c:v>
                </c:pt>
                <c:pt idx="3">
                  <c:v>10.155591958415799</c:v>
                </c:pt>
                <c:pt idx="4">
                  <c:v>9.8646988303758292</c:v>
                </c:pt>
                <c:pt idx="5">
                  <c:v>9.6575409198612903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950-4AAB-8173-B16E2B903FAA}"/>
            </c:ext>
          </c:extLst>
        </c:ser>
        <c:ser>
          <c:idx val="5"/>
          <c:order val="5"/>
          <c:tx>
            <c:strRef>
              <c:f>'[1]2017 NIR'!$C$77:$AB$77</c:f>
              <c:strCache>
                <c:ptCount val="1"/>
                <c:pt idx="0">
                  <c:v>Waste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'[1]2017 NIR'!$AC$71:$AH$71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'[1]2017 NIR'!$AC$77:$AH$77</c:f>
              <c:numCache>
                <c:formatCode>General</c:formatCode>
                <c:ptCount val="6"/>
                <c:pt idx="0">
                  <c:v>8.4199960410399992</c:v>
                </c:pt>
                <c:pt idx="1">
                  <c:v>8.6799037316799996</c:v>
                </c:pt>
                <c:pt idx="2">
                  <c:v>8.6363149194000002</c:v>
                </c:pt>
                <c:pt idx="3">
                  <c:v>8.4770129280100015</c:v>
                </c:pt>
                <c:pt idx="4">
                  <c:v>8.5407065481300002</c:v>
                </c:pt>
                <c:pt idx="5">
                  <c:v>8.5951454307899997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950-4AAB-8173-B16E2B903FAA}"/>
            </c:ext>
          </c:extLst>
        </c:ser>
        <c:ser>
          <c:idx val="6"/>
          <c:order val="6"/>
          <c:tx>
            <c:strRef>
              <c:f>'2017 NIR'!#REF!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'[1]2017 NIR'!$AC$71:$AH$71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'2017 NIR'!#REF!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950-4AAB-8173-B16E2B903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0759272"/>
        <c:axId val="280762408"/>
      </c:areaChart>
      <c:lineChart>
        <c:grouping val="standard"/>
        <c:varyColors val="0"/>
        <c:ser>
          <c:idx val="7"/>
          <c:order val="7"/>
          <c:tx>
            <c:strRef>
              <c:f>'[1]2017 NIR'!$C$78:$AB$78</c:f>
              <c:strCache>
                <c:ptCount val="1"/>
                <c:pt idx="0">
                  <c:v>Total Emissions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'[1]2017 NIR'!$AC$71:$AH$71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'[1]2017 NIR'!$AC$78:$AH$78</c:f>
              <c:numCache>
                <c:formatCode>General</c:formatCode>
                <c:ptCount val="6"/>
                <c:pt idx="0">
                  <c:v>175.4651293905174</c:v>
                </c:pt>
                <c:pt idx="1">
                  <c:v>174.63291116863974</c:v>
                </c:pt>
                <c:pt idx="2">
                  <c:v>171.36139557855188</c:v>
                </c:pt>
                <c:pt idx="3">
                  <c:v>170.83286090962926</c:v>
                </c:pt>
                <c:pt idx="4">
                  <c:v>168.48096437477037</c:v>
                </c:pt>
                <c:pt idx="5">
                  <c:v>166.16769149907515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7950-4AAB-8173-B16E2B903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759272"/>
        <c:axId val="280762408"/>
      </c:lineChart>
      <c:catAx>
        <c:axId val="280759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762408"/>
        <c:crosses val="autoZero"/>
        <c:auto val="1"/>
        <c:lblAlgn val="ctr"/>
        <c:lblOffset val="100"/>
        <c:noMultiLvlLbl val="0"/>
      </c:catAx>
      <c:valAx>
        <c:axId val="280762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Mt </a:t>
                </a:r>
                <a:r>
                  <a:rPr lang="en-CA" sz="1000" b="0" i="0" u="none" strike="noStrike" baseline="0">
                    <a:effectLst/>
                  </a:rPr>
                  <a:t>CO2e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759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Ontario's</a:t>
            </a:r>
            <a:r>
              <a:rPr lang="en-CA" b="1" baseline="0"/>
              <a:t> Cap and Trade Covered </a:t>
            </a:r>
            <a:r>
              <a:rPr lang="en-CA" b="1"/>
              <a:t>GHG Emissions </a:t>
            </a:r>
          </a:p>
          <a:p>
            <a:pPr>
              <a:defRPr/>
            </a:pPr>
            <a:r>
              <a:rPr lang="en-CA" sz="1000" b="1"/>
              <a:t>(2017</a:t>
            </a:r>
            <a:r>
              <a:rPr lang="en-CA" sz="1000" b="1" baseline="0"/>
              <a:t> NIR)</a:t>
            </a:r>
            <a:endParaRPr lang="en-CA" sz="1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79409996253442"/>
          <c:y val="0.15667873035687785"/>
          <c:w val="0.83184818003838101"/>
          <c:h val="0.57976563522574187"/>
        </c:manualLayout>
      </c:layout>
      <c:areaChart>
        <c:grouping val="stacked"/>
        <c:varyColors val="0"/>
        <c:ser>
          <c:idx val="0"/>
          <c:order val="0"/>
          <c:tx>
            <c:strRef>
              <c:f>'[1]2017 NIR'!$C$82:$AB$82</c:f>
              <c:strCache>
                <c:ptCount val="1"/>
                <c:pt idx="0">
                  <c:v>Industry 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'[1]2017 NIR'!$AC$81:$AH$81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'[1]2017 NIR'!$AC$82:$AH$82</c:f>
              <c:numCache>
                <c:formatCode>General</c:formatCode>
                <c:ptCount val="6"/>
                <c:pt idx="0">
                  <c:v>37.360095091702021</c:v>
                </c:pt>
                <c:pt idx="1">
                  <c:v>39.249438856665137</c:v>
                </c:pt>
                <c:pt idx="2">
                  <c:v>39.897252481503202</c:v>
                </c:pt>
                <c:pt idx="3">
                  <c:v>36.517308130159336</c:v>
                </c:pt>
                <c:pt idx="4">
                  <c:v>37.695957077368874</c:v>
                </c:pt>
                <c:pt idx="5">
                  <c:v>35.76394821582587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768-43F6-87C5-C725BBD124FA}"/>
            </c:ext>
          </c:extLst>
        </c:ser>
        <c:ser>
          <c:idx val="1"/>
          <c:order val="1"/>
          <c:tx>
            <c:strRef>
              <c:f>'[1]2017 NIR'!$C$83:$AB$83</c:f>
              <c:strCache>
                <c:ptCount val="1"/>
                <c:pt idx="0">
                  <c:v>Electricity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'[1]2017 NIR'!$AC$81:$AH$81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'[1]2017 NIR'!$AC$83:$AH$83</c:f>
              <c:numCache>
                <c:formatCode>General</c:formatCode>
                <c:ptCount val="6"/>
                <c:pt idx="0">
                  <c:v>18.646284063432901</c:v>
                </c:pt>
                <c:pt idx="1">
                  <c:v>13.833843295348</c:v>
                </c:pt>
                <c:pt idx="2">
                  <c:v>13.912456764649701</c:v>
                </c:pt>
                <c:pt idx="3">
                  <c:v>10.0580327945951</c:v>
                </c:pt>
                <c:pt idx="4">
                  <c:v>6.0074201464293298</c:v>
                </c:pt>
                <c:pt idx="5">
                  <c:v>6.2075188031322002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768-43F6-87C5-C725BBD124FA}"/>
            </c:ext>
          </c:extLst>
        </c:ser>
        <c:ser>
          <c:idx val="2"/>
          <c:order val="2"/>
          <c:tx>
            <c:strRef>
              <c:f>'[1]2017 NIR'!$C$84:$AB$84</c:f>
              <c:strCache>
                <c:ptCount val="1"/>
                <c:pt idx="0">
                  <c:v>Transportation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'[1]2017 NIR'!$AC$81:$AH$81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'[1]2017 NIR'!$AC$84:$AH$84</c:f>
              <c:numCache>
                <c:formatCode>General</c:formatCode>
                <c:ptCount val="6"/>
                <c:pt idx="0">
                  <c:v>58.769171753709543</c:v>
                </c:pt>
                <c:pt idx="1">
                  <c:v>58.648529734134748</c:v>
                </c:pt>
                <c:pt idx="2">
                  <c:v>55.800638224639513</c:v>
                </c:pt>
                <c:pt idx="3">
                  <c:v>58.123906320159286</c:v>
                </c:pt>
                <c:pt idx="4">
                  <c:v>56.472753978547793</c:v>
                </c:pt>
                <c:pt idx="5">
                  <c:v>58.019357056255082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768-43F6-87C5-C725BBD124FA}"/>
            </c:ext>
          </c:extLst>
        </c:ser>
        <c:ser>
          <c:idx val="3"/>
          <c:order val="3"/>
          <c:tx>
            <c:strRef>
              <c:f>'[1]2017 NIR'!$C$85:$AB$85</c:f>
              <c:strCache>
                <c:ptCount val="1"/>
                <c:pt idx="0">
                  <c:v>Buildings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'[1]2017 NIR'!$AC$81:$AH$81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'[1]2017 NIR'!$AC$85:$AH$85</c:f>
              <c:numCache>
                <c:formatCode>General</c:formatCode>
                <c:ptCount val="6"/>
                <c:pt idx="0">
                  <c:v>29.831184823771899</c:v>
                </c:pt>
                <c:pt idx="1">
                  <c:v>32.359943225652501</c:v>
                </c:pt>
                <c:pt idx="2">
                  <c:v>29.278381435084</c:v>
                </c:pt>
                <c:pt idx="3">
                  <c:v>32.147860537132601</c:v>
                </c:pt>
                <c:pt idx="4">
                  <c:v>34.938121836796498</c:v>
                </c:pt>
                <c:pt idx="5">
                  <c:v>33.175708563280097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768-43F6-87C5-C725BBD124FA}"/>
            </c:ext>
          </c:extLst>
        </c:ser>
        <c:ser>
          <c:idx val="4"/>
          <c:order val="4"/>
          <c:tx>
            <c:strRef>
              <c:f>'[1]2017 NIR'!$C$86:$AB$86</c:f>
              <c:strCache>
                <c:ptCount val="1"/>
                <c:pt idx="0">
                  <c:v>Buildings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'[1]2017 NIR'!$AC$81:$AH$81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'[1]2017 NIR'!$AC$86:$AH$86</c:f>
              <c:numCache>
                <c:formatCode>General</c:formatCode>
                <c:ptCount val="6"/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768-43F6-87C5-C725BBD12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0758880"/>
        <c:axId val="280761232"/>
      </c:areaChart>
      <c:lineChart>
        <c:grouping val="standard"/>
        <c:varyColors val="0"/>
        <c:ser>
          <c:idx val="5"/>
          <c:order val="5"/>
          <c:tx>
            <c:strRef>
              <c:f>'[1]2017 NIR'!$C$87:$AB$87</c:f>
              <c:strCache>
                <c:ptCount val="1"/>
                <c:pt idx="0">
                  <c:v>Total Covered Emissions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'[1]2017 NIR'!$AC$81:$AH$81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'[1]2017 NIR'!$AC$87:$AH$87</c:f>
              <c:numCache>
                <c:formatCode>General</c:formatCode>
                <c:ptCount val="6"/>
                <c:pt idx="0">
                  <c:v>144.60673573261636</c:v>
                </c:pt>
                <c:pt idx="1">
                  <c:v>144.09175511180038</c:v>
                </c:pt>
                <c:pt idx="2">
                  <c:v>138.88872890587641</c:v>
                </c:pt>
                <c:pt idx="3">
                  <c:v>136.84710778204632</c:v>
                </c:pt>
                <c:pt idx="4">
                  <c:v>135.11425303914251</c:v>
                </c:pt>
                <c:pt idx="5">
                  <c:v>133.16653263849327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768-43F6-87C5-C725BBD12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758880"/>
        <c:axId val="280761232"/>
      </c:lineChart>
      <c:catAx>
        <c:axId val="28075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761232"/>
        <c:crosses val="autoZero"/>
        <c:auto val="1"/>
        <c:lblAlgn val="ctr"/>
        <c:lblOffset val="100"/>
        <c:noMultiLvlLbl val="0"/>
      </c:catAx>
      <c:valAx>
        <c:axId val="28076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Mt </a:t>
                </a:r>
                <a:r>
                  <a:rPr lang="en-CA" sz="1000" b="0" i="0" u="none" strike="noStrike" baseline="0">
                    <a:effectLst/>
                  </a:rPr>
                  <a:t>CO2e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7588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Caps under</a:t>
            </a:r>
            <a:r>
              <a:rPr lang="en-CA" b="1" baseline="0"/>
              <a:t> Ontario's Cap and Trade Program</a:t>
            </a:r>
            <a:r>
              <a:rPr lang="en-CA" baseline="0"/>
              <a:t> </a:t>
            </a:r>
            <a:endParaRPr lang="en-CA"/>
          </a:p>
        </c:rich>
      </c:tx>
      <c:layout>
        <c:manualLayout>
          <c:xMode val="edge"/>
          <c:yMode val="edge"/>
          <c:x val="0.2145817446588425"/>
          <c:y val="3.09247608622520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72149514923994"/>
          <c:y val="0.11201204007619928"/>
          <c:w val="0.67618486390897681"/>
          <c:h val="0.81792904126208688"/>
        </c:manualLayout>
      </c:layout>
      <c:areaChart>
        <c:grouping val="stacked"/>
        <c:varyColors val="0"/>
        <c:ser>
          <c:idx val="6"/>
          <c:order val="1"/>
          <c:tx>
            <c:strRef>
              <c:f>'Post-2020Caps_July25Navius FixP'!$B$187</c:f>
              <c:strCache>
                <c:ptCount val="1"/>
                <c:pt idx="0">
                  <c:v>Electricity and Heat Generation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FixP'!$C$187:$W$187</c:f>
              <c:numCache>
                <c:formatCode>0.0</c:formatCode>
                <c:ptCount val="14"/>
                <c:pt idx="0">
                  <c:v>6.480922986572784</c:v>
                </c:pt>
                <c:pt idx="1">
                  <c:v>6.480922986572784</c:v>
                </c:pt>
                <c:pt idx="2">
                  <c:v>6.480922986572784</c:v>
                </c:pt>
                <c:pt idx="3">
                  <c:v>6.480922986572784</c:v>
                </c:pt>
                <c:pt idx="4">
                  <c:v>3.8699999999999997</c:v>
                </c:pt>
                <c:pt idx="5">
                  <c:v>3.8699999999999997</c:v>
                </c:pt>
                <c:pt idx="6">
                  <c:v>3.8699999999999997</c:v>
                </c:pt>
                <c:pt idx="7">
                  <c:v>3.8699999999999997</c:v>
                </c:pt>
                <c:pt idx="8">
                  <c:v>3.8699999999999997</c:v>
                </c:pt>
                <c:pt idx="9">
                  <c:v>3.8699999999999997</c:v>
                </c:pt>
                <c:pt idx="10">
                  <c:v>3.8699999999999997</c:v>
                </c:pt>
                <c:pt idx="11">
                  <c:v>3.8699999999999997</c:v>
                </c:pt>
                <c:pt idx="12">
                  <c:v>3.8699999999999997</c:v>
                </c:pt>
                <c:pt idx="13">
                  <c:v>3.8699999999999997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36C-4C33-B51D-63830C13C687}"/>
            </c:ext>
          </c:extLst>
        </c:ser>
        <c:ser>
          <c:idx val="1"/>
          <c:order val="2"/>
          <c:tx>
            <c:strRef>
              <c:f>'Post-2020Caps_July25Navius FixP'!$B$186</c:f>
              <c:strCache>
                <c:ptCount val="1"/>
                <c:pt idx="0">
                  <c:v>Imported Electricity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FixP'!$C$186:$W$186</c:f>
              <c:numCache>
                <c:formatCode>0.0</c:formatCode>
                <c:ptCount val="14"/>
                <c:pt idx="0">
                  <c:v>1.019077013427216</c:v>
                </c:pt>
                <c:pt idx="1">
                  <c:v>1.019077013427216</c:v>
                </c:pt>
                <c:pt idx="2">
                  <c:v>1.019077013427216</c:v>
                </c:pt>
                <c:pt idx="3">
                  <c:v>1.019077013427216</c:v>
                </c:pt>
                <c:pt idx="4">
                  <c:v>1.0289999999999999</c:v>
                </c:pt>
                <c:pt idx="5">
                  <c:v>1.0289999999999999</c:v>
                </c:pt>
                <c:pt idx="6">
                  <c:v>1.0289999999999999</c:v>
                </c:pt>
                <c:pt idx="7">
                  <c:v>1.0289999999999999</c:v>
                </c:pt>
                <c:pt idx="8">
                  <c:v>1.0289999999999999</c:v>
                </c:pt>
                <c:pt idx="9">
                  <c:v>1.0289999999999999</c:v>
                </c:pt>
                <c:pt idx="10">
                  <c:v>1.0289999999999999</c:v>
                </c:pt>
                <c:pt idx="11">
                  <c:v>1.0289999999999999</c:v>
                </c:pt>
                <c:pt idx="12">
                  <c:v>1.0289999999999999</c:v>
                </c:pt>
                <c:pt idx="13">
                  <c:v>1.0289999999999999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36C-4C33-B51D-63830C13C687}"/>
            </c:ext>
          </c:extLst>
        </c:ser>
        <c:ser>
          <c:idx val="5"/>
          <c:order val="3"/>
          <c:tx>
            <c:strRef>
              <c:f>'Post-2020Caps_July25Navius FixP'!$B$185</c:f>
              <c:strCache>
                <c:ptCount val="1"/>
                <c:pt idx="0">
                  <c:v>Fixed Process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FixP'!$C$185:$W$185</c:f>
              <c:numCache>
                <c:formatCode>0.0</c:formatCode>
                <c:ptCount val="14"/>
                <c:pt idx="0">
                  <c:v>12.390987202386567</c:v>
                </c:pt>
                <c:pt idx="1">
                  <c:v>12.390987202386567</c:v>
                </c:pt>
                <c:pt idx="2">
                  <c:v>12.390987202386567</c:v>
                </c:pt>
                <c:pt idx="3">
                  <c:v>12.390987202386567</c:v>
                </c:pt>
                <c:pt idx="4">
                  <c:v>14.120710578402061</c:v>
                </c:pt>
                <c:pt idx="5">
                  <c:v>14.356828330122891</c:v>
                </c:pt>
                <c:pt idx="6">
                  <c:v>14.597465128041513</c:v>
                </c:pt>
                <c:pt idx="7">
                  <c:v>14.842708415340109</c:v>
                </c:pt>
                <c:pt idx="8">
                  <c:v>15.109388154580515</c:v>
                </c:pt>
                <c:pt idx="9">
                  <c:v>15.092647457723142</c:v>
                </c:pt>
                <c:pt idx="10">
                  <c:v>15.128763104894668</c:v>
                </c:pt>
                <c:pt idx="11">
                  <c:v>15.150807852478572</c:v>
                </c:pt>
                <c:pt idx="12">
                  <c:v>15.175558851245498</c:v>
                </c:pt>
                <c:pt idx="13">
                  <c:v>15.203053482552299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36C-4C33-B51D-63830C13C687}"/>
            </c:ext>
          </c:extLst>
        </c:ser>
        <c:ser>
          <c:idx val="4"/>
          <c:order val="4"/>
          <c:tx>
            <c:strRef>
              <c:f>'Post-2020Caps_July25Navius FixP'!$B$184</c:f>
              <c:strCache>
                <c:ptCount val="1"/>
                <c:pt idx="0">
                  <c:v>Industry Combustion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FixP'!$C$184:$W$184</c:f>
              <c:numCache>
                <c:formatCode>0.0</c:formatCode>
                <c:ptCount val="14"/>
                <c:pt idx="0">
                  <c:v>17.111363279486216</c:v>
                </c:pt>
                <c:pt idx="1">
                  <c:v>16.329887318512082</c:v>
                </c:pt>
                <c:pt idx="2">
                  <c:v>15.548411357537946</c:v>
                </c:pt>
                <c:pt idx="3">
                  <c:v>14.766935396563809</c:v>
                </c:pt>
                <c:pt idx="4">
                  <c:v>14.290111052608765</c:v>
                </c:pt>
                <c:pt idx="5">
                  <c:v>13.813286708653719</c:v>
                </c:pt>
                <c:pt idx="6">
                  <c:v>13.336462364698674</c:v>
                </c:pt>
                <c:pt idx="7">
                  <c:v>12.859638020743628</c:v>
                </c:pt>
                <c:pt idx="8">
                  <c:v>12.382813676788583</c:v>
                </c:pt>
                <c:pt idx="9">
                  <c:v>11.905989332833537</c:v>
                </c:pt>
                <c:pt idx="10">
                  <c:v>11.429164988878492</c:v>
                </c:pt>
                <c:pt idx="11">
                  <c:v>10.952340644923446</c:v>
                </c:pt>
                <c:pt idx="12">
                  <c:v>10.475516300968401</c:v>
                </c:pt>
                <c:pt idx="13">
                  <c:v>9.9986919570133566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36C-4C33-B51D-63830C13C687}"/>
            </c:ext>
          </c:extLst>
        </c:ser>
        <c:ser>
          <c:idx val="7"/>
          <c:order val="5"/>
          <c:tx>
            <c:strRef>
              <c:f>'Post-2020Caps_July25Navius FixP'!$B$188</c:f>
              <c:strCache>
                <c:ptCount val="1"/>
                <c:pt idx="0">
                  <c:v>Fuels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FixP'!$C$188:$W$188</c:f>
              <c:numCache>
                <c:formatCode>0.0</c:formatCode>
                <c:ptCount val="14"/>
                <c:pt idx="0">
                  <c:v>105.32934143888451</c:v>
                </c:pt>
                <c:pt idx="1">
                  <c:v>100.22290902301306</c:v>
                </c:pt>
                <c:pt idx="2">
                  <c:v>95.116476607141607</c:v>
                </c:pt>
                <c:pt idx="3">
                  <c:v>90.010044191270154</c:v>
                </c:pt>
                <c:pt idx="4">
                  <c:v>86.881357139121022</c:v>
                </c:pt>
                <c:pt idx="5">
                  <c:v>83.752670086971889</c:v>
                </c:pt>
                <c:pt idx="6">
                  <c:v>80.623983034822757</c:v>
                </c:pt>
                <c:pt idx="7">
                  <c:v>77.495295982673625</c:v>
                </c:pt>
                <c:pt idx="8">
                  <c:v>74.366608930524492</c:v>
                </c:pt>
                <c:pt idx="9">
                  <c:v>71.23792187837536</c:v>
                </c:pt>
                <c:pt idx="10">
                  <c:v>68.109234826226228</c:v>
                </c:pt>
                <c:pt idx="11">
                  <c:v>64.980547774077095</c:v>
                </c:pt>
                <c:pt idx="12">
                  <c:v>61.851860721927963</c:v>
                </c:pt>
                <c:pt idx="13">
                  <c:v>58.723173669778816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36C-4C33-B51D-63830C13C687}"/>
            </c:ext>
          </c:extLst>
        </c:ser>
        <c:ser>
          <c:idx val="3"/>
          <c:order val="7"/>
          <c:tx>
            <c:strRef>
              <c:f>'Post-2020Caps_July25Navius FixP'!$B$183</c:f>
              <c:strCache>
                <c:ptCount val="1"/>
                <c:pt idx="0">
                  <c:v>Large Emitters (LFEs)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FixP'!$C$183:$W$183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36C-4C33-B51D-63830C13C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0763192"/>
        <c:axId val="280761624"/>
      </c:areaChart>
      <c:lineChart>
        <c:grouping val="standard"/>
        <c:varyColors val="0"/>
        <c:ser>
          <c:idx val="0"/>
          <c:order val="0"/>
          <c:tx>
            <c:strRef>
              <c:f>'Post-2020Caps_July25Navius FixP'!$B$181</c:f>
              <c:strCache>
                <c:ptCount val="1"/>
                <c:pt idx="0">
                  <c:v>Total Caps (including Imported electricity)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6.1034104518123308E-17"/>
                  <c:y val="-1.4272966551808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36C-4C33-B51D-63830C13C687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1.0709504685408299E-2"/>
                  <c:y val="-3.0200064728012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36C-4C33-B51D-63830C13C687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FixP'!$C$181:$W$181</c:f>
              <c:numCache>
                <c:formatCode>0.0</c:formatCode>
                <c:ptCount val="14"/>
                <c:pt idx="0">
                  <c:v>142.33169192075729</c:v>
                </c:pt>
                <c:pt idx="1">
                  <c:v>136.44378354391171</c:v>
                </c:pt>
                <c:pt idx="2">
                  <c:v>130.55587516706612</c:v>
                </c:pt>
                <c:pt idx="3">
                  <c:v>124.66796679022053</c:v>
                </c:pt>
                <c:pt idx="4">
                  <c:v>121.08549271004843</c:v>
                </c:pt>
                <c:pt idx="5">
                  <c:v>117.49309564330355</c:v>
                </c:pt>
                <c:pt idx="6">
                  <c:v>113.90069857655867</c:v>
                </c:pt>
                <c:pt idx="7">
                  <c:v>110.30830150981379</c:v>
                </c:pt>
                <c:pt idx="8">
                  <c:v>106.71590444306891</c:v>
                </c:pt>
                <c:pt idx="9">
                  <c:v>103.12350737632403</c:v>
                </c:pt>
                <c:pt idx="10">
                  <c:v>99.531110309579148</c:v>
                </c:pt>
                <c:pt idx="11">
                  <c:v>95.938713242834268</c:v>
                </c:pt>
                <c:pt idx="12">
                  <c:v>92.346316176089388</c:v>
                </c:pt>
                <c:pt idx="13">
                  <c:v>88.75391910934448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536C-4C33-B51D-63830C13C687}"/>
            </c:ext>
          </c:extLst>
        </c:ser>
        <c:ser>
          <c:idx val="2"/>
          <c:order val="6"/>
          <c:tx>
            <c:strRef>
              <c:f>'Post-2020Caps_July25Navius FixP'!$B$182</c:f>
              <c:strCache>
                <c:ptCount val="1"/>
                <c:pt idx="0">
                  <c:v>Total Caps (Domestic)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'Post-2020Caps_July25Navius FixP'!$C$180:$W$180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'Post-2020Caps_July25Navius FixP'!$C$182:$W$182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536C-4C33-B51D-63830C13C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763192"/>
        <c:axId val="280761624"/>
      </c:lineChart>
      <c:catAx>
        <c:axId val="280763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761624"/>
        <c:crosses val="autoZero"/>
        <c:auto val="1"/>
        <c:lblAlgn val="ctr"/>
        <c:lblOffset val="100"/>
        <c:noMultiLvlLbl val="0"/>
      </c:catAx>
      <c:valAx>
        <c:axId val="28076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b="1">
                    <a:solidFill>
                      <a:sysClr val="windowText" lastClr="000000"/>
                    </a:solidFill>
                  </a:rPr>
                  <a:t>Mt</a:t>
                </a:r>
                <a:r>
                  <a:rPr lang="en-CA" b="1" baseline="0">
                    <a:solidFill>
                      <a:sysClr val="windowText" lastClr="000000"/>
                    </a:solidFill>
                  </a:rPr>
                  <a:t> CO2e</a:t>
                </a:r>
                <a:endParaRPr lang="en-CA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2223923216199801E-2"/>
              <c:y val="0.46313528749350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763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0.81089530475357252"/>
          <c:y val="0.34290556487318707"/>
          <c:w val="0.17482535566588314"/>
          <c:h val="0.58626125338829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3202415136919"/>
          <c:y val="0.11371302166875154"/>
          <c:w val="0.8730568395549746"/>
          <c:h val="0.80770637682530311"/>
        </c:manualLayout>
      </c:layout>
      <c:areaChart>
        <c:grouping val="stacked"/>
        <c:varyColors val="0"/>
        <c:ser>
          <c:idx val="0"/>
          <c:order val="0"/>
          <c:tx>
            <c:strRef>
              <c:f>Charts!$D$4</c:f>
              <c:strCache>
                <c:ptCount val="1"/>
                <c:pt idx="0">
                  <c:v>Uncovered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Charts!$E$3:$R$3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Charts!$E$4:$R$4</c:f>
              <c:numCache>
                <c:formatCode>0</c:formatCode>
                <c:ptCount val="14"/>
                <c:pt idx="0">
                  <c:v>31.142127090993245</c:v>
                </c:pt>
                <c:pt idx="1">
                  <c:v>31.125025345358726</c:v>
                </c:pt>
                <c:pt idx="2">
                  <c:v>31.108570521252112</c:v>
                </c:pt>
                <c:pt idx="3">
                  <c:v>31.092760223206675</c:v>
                </c:pt>
                <c:pt idx="4">
                  <c:v>25.544672505459509</c:v>
                </c:pt>
                <c:pt idx="5">
                  <c:v>25.620307445243249</c:v>
                </c:pt>
                <c:pt idx="6">
                  <c:v>25.698506788575827</c:v>
                </c:pt>
                <c:pt idx="7">
                  <c:v>25.779318709969907</c:v>
                </c:pt>
                <c:pt idx="8">
                  <c:v>25.862792551517487</c:v>
                </c:pt>
                <c:pt idx="9">
                  <c:v>25.946622000930486</c:v>
                </c:pt>
                <c:pt idx="10">
                  <c:v>26.032720100516929</c:v>
                </c:pt>
                <c:pt idx="11">
                  <c:v>26.121131752070614</c:v>
                </c:pt>
                <c:pt idx="12">
                  <c:v>26.21190296632134</c:v>
                </c:pt>
                <c:pt idx="13">
                  <c:v>26.305080890655518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16-43DC-9B23-B9009AAE4869}"/>
            </c:ext>
          </c:extLst>
        </c:ser>
        <c:ser>
          <c:idx val="1"/>
          <c:order val="1"/>
          <c:tx>
            <c:strRef>
              <c:f>Charts!$D$5</c:f>
              <c:strCache>
                <c:ptCount val="1"/>
                <c:pt idx="0">
                  <c:v>Covered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Charts!$E$3:$R$3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Charts!$E$5:$R$5</c:f>
              <c:numCache>
                <c:formatCode>0</c:formatCode>
                <c:ptCount val="14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120.05649271004843</c:v>
                </c:pt>
                <c:pt idx="5">
                  <c:v>116.46409564330355</c:v>
                </c:pt>
                <c:pt idx="6">
                  <c:v>112.87169857655867</c:v>
                </c:pt>
                <c:pt idx="7">
                  <c:v>109.27930150981379</c:v>
                </c:pt>
                <c:pt idx="8">
                  <c:v>105.68690444306891</c:v>
                </c:pt>
                <c:pt idx="9">
                  <c:v>102.09450737632403</c:v>
                </c:pt>
                <c:pt idx="10">
                  <c:v>98.502110309579152</c:v>
                </c:pt>
                <c:pt idx="11">
                  <c:v>94.909713242834272</c:v>
                </c:pt>
                <c:pt idx="12">
                  <c:v>91.317316176089392</c:v>
                </c:pt>
                <c:pt idx="13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16-43DC-9B23-B9009AAE4869}"/>
            </c:ext>
          </c:extLst>
        </c:ser>
        <c:ser>
          <c:idx val="3"/>
          <c:order val="3"/>
          <c:tx>
            <c:strRef>
              <c:f>Charts!$D$7</c:f>
              <c:strCache>
                <c:ptCount val="1"/>
                <c:pt idx="0">
                  <c:v>Estimated WCI Purchase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Charts!$E$3:$R$3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Charts!$E$7:$R$7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016-43DC-9B23-B9009AAE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89744"/>
        <c:axId val="434792096"/>
      </c:areaChart>
      <c:lineChart>
        <c:grouping val="standard"/>
        <c:varyColors val="0"/>
        <c:ser>
          <c:idx val="2"/>
          <c:order val="2"/>
          <c:tx>
            <c:strRef>
              <c:f>Charts!$D$6</c:f>
              <c:strCache>
                <c:ptCount val="1"/>
                <c:pt idx="0">
                  <c:v>Reference case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Charts!$E$3:$R$3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Charts!$E$6:$R$6</c:f>
              <c:numCache>
                <c:formatCode>0.0</c:formatCode>
                <c:ptCount val="14"/>
                <c:pt idx="0">
                  <c:v>172.45474199832333</c:v>
                </c:pt>
                <c:pt idx="1">
                  <c:v>169</c:v>
                </c:pt>
                <c:pt idx="2">
                  <c:v>165</c:v>
                </c:pt>
                <c:pt idx="3">
                  <c:v>163.3641219586134</c:v>
                </c:pt>
                <c:pt idx="4">
                  <c:v>163.46341935887818</c:v>
                </c:pt>
                <c:pt idx="5">
                  <c:v>163.64167490988865</c:v>
                </c:pt>
                <c:pt idx="6">
                  <c:v>163.90029020384674</c:v>
                </c:pt>
                <c:pt idx="7">
                  <c:v>164.2408723030978</c:v>
                </c:pt>
                <c:pt idx="8">
                  <c:v>164.66524735465646</c:v>
                </c:pt>
                <c:pt idx="9">
                  <c:v>164.33917352086846</c:v>
                </c:pt>
                <c:pt idx="10">
                  <c:v>164.07693523141242</c:v>
                </c:pt>
                <c:pt idx="11">
                  <c:v>163.87693964393245</c:v>
                </c:pt>
                <c:pt idx="12">
                  <c:v>163.73767004398849</c:v>
                </c:pt>
                <c:pt idx="13">
                  <c:v>163.65768308565021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016-43DC-9B23-B9009AAE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789744"/>
        <c:axId val="434792096"/>
      </c:lineChart>
      <c:catAx>
        <c:axId val="43478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792096"/>
        <c:crosses val="autoZero"/>
        <c:auto val="1"/>
        <c:lblAlgn val="ctr"/>
        <c:lblOffset val="100"/>
        <c:noMultiLvlLbl val="0"/>
      </c:catAx>
      <c:valAx>
        <c:axId val="43479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b="1">
                    <a:solidFill>
                      <a:sysClr val="windowText" lastClr="000000"/>
                    </a:solidFill>
                  </a:rPr>
                  <a:t>Mt</a:t>
                </a:r>
                <a:r>
                  <a:rPr lang="en-CA" b="1" baseline="0">
                    <a:solidFill>
                      <a:sysClr val="windowText" lastClr="000000"/>
                    </a:solidFill>
                  </a:rPr>
                  <a:t> CO2e</a:t>
                </a:r>
                <a:endParaRPr lang="en-CA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9.2848862642169738E-3"/>
              <c:y val="0.403440180675464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78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Electricity Sector</a:t>
            </a:r>
            <a:r>
              <a:rPr lang="en-CA" baseline="0"/>
              <a:t> Cap - Option 2</a:t>
            </a:r>
            <a:endParaRPr lang="en-CA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'Electricity Sector Emissions'!$AD$178</c:f>
              <c:strCache>
                <c:ptCount val="1"/>
                <c:pt idx="0">
                  <c:v>Domestic + imports - 2013 LTEP based</c:v>
                </c:pt>
              </c:strCache>
            </c:strRef>
          </c:tx>
          <c:marker>
            <c:symbol val="none"/>
          </c:marker>
          <c:val>
            <c:numRef>
              <c:f>'Electricity Sector Emissions'!$AE$178:$AR$178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C3-4987-8FAB-5B6D702FE9C7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Emissions'!$AE$177:$AR$177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tx>
            <c:strRef>
              <c:f>'Electricity Sector Emissions'!$AD$179</c:f>
              <c:strCache>
                <c:ptCount val="1"/>
                <c:pt idx="0">
                  <c:v>Domestic + Imports - 2013 LTEP based, new 2017 Cap only (14 Mt)</c:v>
                </c:pt>
              </c:strCache>
            </c:strRef>
          </c:tx>
          <c:marker>
            <c:symbol val="none"/>
          </c:marker>
          <c:val>
            <c:numRef>
              <c:f>'Electricity Sector Emissions'!$AE$179:$AR$179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C3-4987-8FAB-5B6D702FE9C7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Emissions'!$AE$177:$AR$177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756136"/>
        <c:axId val="280756528"/>
      </c:lineChart>
      <c:catAx>
        <c:axId val="280756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80756528"/>
        <c:crosses val="autoZero"/>
        <c:auto val="1"/>
        <c:lblAlgn val="ctr"/>
        <c:lblOffset val="100"/>
        <c:noMultiLvlLbl val="0"/>
      </c:catAx>
      <c:valAx>
        <c:axId val="28075652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8075613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Electricity Sector</a:t>
            </a:r>
            <a:r>
              <a:rPr lang="en-CA" baseline="0"/>
              <a:t> Cap - Option 1</a:t>
            </a:r>
            <a:endParaRPr lang="en-CA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'Electricity Sector Emissions'!$AD$186</c:f>
              <c:strCache>
                <c:ptCount val="1"/>
                <c:pt idx="0">
                  <c:v>Domestic + imports - 2013 LTEP based</c:v>
                </c:pt>
              </c:strCache>
            </c:strRef>
          </c:tx>
          <c:marker>
            <c:symbol val="none"/>
          </c:marker>
          <c:val>
            <c:numRef>
              <c:f>'Electricity Sector Emissions'!$AE$186:$AR$186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68B-47C0-9512-523AC1CE8E62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Emissions'!$AE$185:$AR$185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tx>
            <c:strRef>
              <c:f>'Electricity Sector Emissions'!$AD$187</c:f>
              <c:strCache>
                <c:ptCount val="1"/>
                <c:pt idx="0">
                  <c:v>Domestic + Imports - 2013 LTEP based, new 2017 Cap only (10 Mt)</c:v>
                </c:pt>
              </c:strCache>
            </c:strRef>
          </c:tx>
          <c:marker>
            <c:symbol val="none"/>
          </c:marker>
          <c:val>
            <c:numRef>
              <c:f>'Electricity Sector Emissions'!$AE$187:$AR$187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68B-47C0-9512-523AC1CE8E62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Emissions'!$AE$185:$AR$185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999120"/>
        <c:axId val="438001864"/>
      </c:lineChart>
      <c:catAx>
        <c:axId val="43799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38001864"/>
        <c:crosses val="autoZero"/>
        <c:auto val="1"/>
        <c:lblAlgn val="ctr"/>
        <c:lblOffset val="100"/>
        <c:noMultiLvlLbl val="0"/>
      </c:catAx>
      <c:valAx>
        <c:axId val="43800186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4379991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Electricity Sector</a:t>
            </a:r>
            <a:r>
              <a:rPr lang="en-CA" baseline="0"/>
              <a:t> Cap - Option 1</a:t>
            </a:r>
            <a:endParaRPr lang="en-CA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'Electricity Sector Emissions'!$AD$212</c:f>
              <c:strCache>
                <c:ptCount val="1"/>
                <c:pt idx="0">
                  <c:v>Domestic - Dave Sawyer's forecast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'Electricity Sector Emissions'!$AE$212:$AR$212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136-4B30-9DBC-02CD986B22F6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Emissions'!$AE$211:$AR$211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tx>
            <c:strRef>
              <c:f>'Electricity Sector Emissions'!$AD$213</c:f>
              <c:strCache>
                <c:ptCount val="1"/>
                <c:pt idx="0">
                  <c:v>Domestic + imports -EnviroEconomics' forecast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'Electricity Sector Emissions'!$AE$213:$AR$213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136-4B30-9DBC-02CD986B22F6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Emissions'!$AE$211:$AR$211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998728"/>
        <c:axId val="437999512"/>
      </c:lineChart>
      <c:catAx>
        <c:axId val="437998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37999512"/>
        <c:crosses val="autoZero"/>
        <c:auto val="1"/>
        <c:lblAlgn val="ctr"/>
        <c:lblOffset val="100"/>
        <c:noMultiLvlLbl val="0"/>
      </c:catAx>
      <c:valAx>
        <c:axId val="43799951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4379987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Electricity Sector</a:t>
            </a:r>
            <a:r>
              <a:rPr lang="en-CA" baseline="0"/>
              <a:t> Cap - Option 2</a:t>
            </a:r>
            <a:endParaRPr lang="en-CA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'Electricity Sector Emissions'!$AD$216</c:f>
              <c:strCache>
                <c:ptCount val="1"/>
                <c:pt idx="0">
                  <c:v>Domestic - Dave Sawyer's forecast</c:v>
                </c:pt>
              </c:strCache>
            </c:strRef>
          </c:tx>
          <c:marker>
            <c:symbol val="none"/>
          </c:marker>
          <c:val>
            <c:numRef>
              <c:f>'Electricity Sector Emissions'!$AE$216:$AR$216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20-447A-87A5-CA17DFB947A5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Emissions'!$AE$215:$AR$215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tx>
            <c:strRef>
              <c:f>'Electricity Sector Emissions'!$AD$217</c:f>
              <c:strCache>
                <c:ptCount val="1"/>
                <c:pt idx="0">
                  <c:v>Domestic + imports -EnviroEconomics' forecast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val>
            <c:numRef>
              <c:f>'Electricity Sector Emissions'!$AE$217:$AR$217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620-447A-87A5-CA17DFB947A5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Emissions'!$AE$215:$AR$215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tx>
            <c:strRef>
              <c:f>'Electricity Sector Emissions'!$AD$218</c:f>
              <c:strCache>
                <c:ptCount val="1"/>
                <c:pt idx="0">
                  <c:v>Domestic + imports -EnviroEconomics' forecast, new 2017 Cap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'Electricity Sector Emissions'!$AE$218:$AR$218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620-447A-87A5-CA17DFB947A5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Emissions'!$AE$215:$AR$215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995592"/>
        <c:axId val="438000688"/>
      </c:lineChart>
      <c:catAx>
        <c:axId val="437995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38000688"/>
        <c:crosses val="autoZero"/>
        <c:auto val="1"/>
        <c:lblAlgn val="ctr"/>
        <c:lblOffset val="100"/>
        <c:noMultiLvlLbl val="0"/>
      </c:catAx>
      <c:valAx>
        <c:axId val="4380006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4379955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CA" sz="1300">
                <a:solidFill>
                  <a:srgbClr val="C00000"/>
                </a:solidFill>
              </a:rPr>
              <a:t>Proposed Electricity Sector Emissions Cap </a:t>
            </a:r>
          </a:p>
          <a:p>
            <a:pPr>
              <a:defRPr sz="1100"/>
            </a:pPr>
            <a:r>
              <a:rPr lang="en-CA" sz="1000" b="0">
                <a:solidFill>
                  <a:srgbClr val="C00000"/>
                </a:solidFill>
              </a:rPr>
              <a:t> </a:t>
            </a:r>
            <a:r>
              <a:rPr lang="en-CA" sz="1000" b="0"/>
              <a:t>(Mt CO2e, including Imports)</a:t>
            </a:r>
          </a:p>
        </c:rich>
      </c:tx>
      <c:layout>
        <c:manualLayout>
          <c:xMode val="edge"/>
          <c:yMode val="edge"/>
          <c:x val="0.39129914529914528"/>
          <c:y val="1.79211469534050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5564824935126738"/>
          <c:y val="0.15328845991025317"/>
          <c:w val="0.64435175064873262"/>
          <c:h val="0.6568614003894675"/>
        </c:manualLayout>
      </c:layout>
      <c:areaChart>
        <c:grouping val="standard"/>
        <c:varyColors val="0"/>
        <c:ser>
          <c:idx val="1"/>
          <c:order val="1"/>
          <c:tx>
            <c:strRef>
              <c:f>'Electricity Sector Emissions'!$AD$146</c:f>
              <c:strCache>
                <c:ptCount val="1"/>
                <c:pt idx="0">
                  <c:v>Domestic + Imports - 2015 SOR based 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solidFill>
                <a:schemeClr val="accent1"/>
              </a:solidFill>
            </a:ln>
          </c:spPr>
          <c:val>
            <c:numRef>
              <c:f>'Electricity Sector Emissions'!$AE$146:$AR$146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D3-4918-8544-2B8B35941A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Emissions'!$AE$144:$AR$144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001080"/>
        <c:axId val="437997552"/>
      </c:areaChart>
      <c:lineChart>
        <c:grouping val="standard"/>
        <c:varyColors val="0"/>
        <c:ser>
          <c:idx val="0"/>
          <c:order val="0"/>
          <c:tx>
            <c:strRef>
              <c:f>'Electricity Sector Emissions'!$AD$145</c:f>
              <c:strCache>
                <c:ptCount val="1"/>
                <c:pt idx="0">
                  <c:v>Domestic</c:v>
                </c:pt>
              </c:strCache>
            </c:strRef>
          </c:tx>
          <c:marker>
            <c:symbol val="none"/>
          </c:marker>
          <c:val>
            <c:numRef>
              <c:f>'Electricity Sector Emissions'!$AE$145:$AR$145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AD3-4918-8544-2B8B35941A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Emissions'!$AE$144:$AR$144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tx>
            <c:strRef>
              <c:f>'Electricity Sector Emissions'!$AD$147</c:f>
              <c:strCache>
                <c:ptCount val="1"/>
                <c:pt idx="0">
                  <c:v>Domestic + Imports - 2015 SOR based - new slope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'Electricity Sector Emissions'!$AE$147:$AR$147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AD3-4918-8544-2B8B35941A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Emissions'!$AE$144:$AR$144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tx>
            <c:strRef>
              <c:f>'Electricity Sector Emissions'!$AD$148</c:f>
              <c:strCache>
                <c:ptCount val="1"/>
                <c:pt idx="0">
                  <c:v>Domestic + Imports - 2015 SOR based - new slope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'Electricity Sector Emissions'!$AE$148:$AR$148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AD3-4918-8544-2B8B35941A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Emissions'!$AE$144:$AR$144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4"/>
          <c:order val="4"/>
          <c:tx>
            <c:strRef>
              <c:f>'Electricity Sector Emissions'!$AD$149</c:f>
              <c:strCache>
                <c:ptCount val="1"/>
                <c:pt idx="0">
                  <c:v>Domestic + Imports</c:v>
                </c:pt>
              </c:strCache>
            </c:strRef>
          </c:tx>
          <c:marker>
            <c:symbol val="none"/>
          </c:marker>
          <c:val>
            <c:numRef>
              <c:f>'Electricity Sector Emissions'!$AE$149:$AR$149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AD3-4918-8544-2B8B35941A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Emissions'!$AE$144:$AR$144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6"/>
          <c:order val="5"/>
          <c:tx>
            <c:strRef>
              <c:f>'Electricity Sector Emissions'!$AD$150</c:f>
              <c:strCache>
                <c:ptCount val="1"/>
                <c:pt idx="0">
                  <c:v>Imports (at the sector rate of decline)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val>
            <c:numRef>
              <c:f>'Electricity Sector Emissions'!$AE$150:$AR$150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AD3-4918-8544-2B8B35941A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Emissions'!$AE$144:$AR$144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5"/>
          <c:order val="6"/>
          <c:tx>
            <c:strRef>
              <c:f>'Electricity Sector Emissions'!$AD$151</c:f>
              <c:strCache>
                <c:ptCount val="1"/>
                <c:pt idx="0">
                  <c:v>Domestic + Imports - 2015 SOR based - (2017-2030) average</c:v>
                </c:pt>
              </c:strCache>
            </c:strRef>
          </c:tx>
          <c:marker>
            <c:symbol val="none"/>
          </c:marker>
          <c:val>
            <c:numRef>
              <c:f>'Electricity Sector Emissions'!$AE$151:$AR$151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8AD3-4918-8544-2B8B35941A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Emissions'!$AE$144:$AR$144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7"/>
          <c:order val="7"/>
          <c:tx>
            <c:strRef>
              <c:f>'Electricity Sector Emissions'!$AD$152</c:f>
              <c:strCache>
                <c:ptCount val="1"/>
                <c:pt idx="0">
                  <c:v>Domestic + Imports - 2015 SOR based - (2017-2020) average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'Electricity Sector Emissions'!$AE$152:$AR$152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8AD3-4918-8544-2B8B35941A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Emissions'!$AE$144:$AR$144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001080"/>
        <c:axId val="437997552"/>
      </c:lineChart>
      <c:catAx>
        <c:axId val="438001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37997552"/>
        <c:crosses val="autoZero"/>
        <c:auto val="1"/>
        <c:lblAlgn val="ctr"/>
        <c:lblOffset val="100"/>
        <c:noMultiLvlLbl val="0"/>
      </c:catAx>
      <c:valAx>
        <c:axId val="43799755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438001080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ln>
          <a:prstDash val="lgDash"/>
        </a:ln>
      </c:spPr>
    </c:plotArea>
    <c:plotVisOnly val="1"/>
    <c:dispBlanksAs val="gap"/>
    <c:showDLblsOverMax val="0"/>
  </c:chart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CA" sz="1300">
                <a:solidFill>
                  <a:srgbClr val="C00000"/>
                </a:solidFill>
              </a:rPr>
              <a:t>Proposed Electricity Sector Emissions Cap </a:t>
            </a:r>
          </a:p>
          <a:p>
            <a:pPr>
              <a:defRPr sz="1100"/>
            </a:pPr>
            <a:r>
              <a:rPr lang="en-CA" sz="1000" b="0">
                <a:solidFill>
                  <a:srgbClr val="C00000"/>
                </a:solidFill>
              </a:rPr>
              <a:t> </a:t>
            </a:r>
            <a:r>
              <a:rPr lang="en-CA" sz="1000" b="0"/>
              <a:t>(Mt CO2e, including Imports)</a:t>
            </a:r>
          </a:p>
        </c:rich>
      </c:tx>
      <c:layout>
        <c:manualLayout>
          <c:xMode val="edge"/>
          <c:yMode val="edge"/>
          <c:x val="0.39129914529914528"/>
          <c:y val="1.79211469534050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5564824935126738"/>
          <c:y val="0.15687268930093415"/>
          <c:w val="0.64435175064873262"/>
          <c:h val="0.58327688877599981"/>
        </c:manualLayout>
      </c:layout>
      <c:areaChart>
        <c:grouping val="standard"/>
        <c:varyColors val="0"/>
        <c:ser>
          <c:idx val="1"/>
          <c:order val="1"/>
          <c:tx>
            <c:strRef>
              <c:f>'Electricity Sector Emissions'!$BF$147</c:f>
              <c:strCache>
                <c:ptCount val="1"/>
                <c:pt idx="0">
                  <c:v>Domestic + Imports - 2015 SOR based 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solidFill>
                <a:schemeClr val="accent1"/>
              </a:solidFill>
            </a:ln>
          </c:spPr>
          <c:val>
            <c:numRef>
              <c:f>'Electricity Sector Emissions'!$BG$147:$BJ$147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Emissions'!$BG$145:$BJ$145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997160"/>
        <c:axId val="437994808"/>
      </c:areaChart>
      <c:lineChart>
        <c:grouping val="standard"/>
        <c:varyColors val="0"/>
        <c:ser>
          <c:idx val="0"/>
          <c:order val="0"/>
          <c:tx>
            <c:strRef>
              <c:f>'Electricity Sector Emissions'!$BF$146</c:f>
              <c:strCache>
                <c:ptCount val="1"/>
                <c:pt idx="0">
                  <c:v>Domestic</c:v>
                </c:pt>
              </c:strCache>
            </c:strRef>
          </c:tx>
          <c:marker>
            <c:symbol val="none"/>
          </c:marker>
          <c:val>
            <c:numRef>
              <c:f>'Electricity Sector Emissions'!$BG$146:$BJ$146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Emissions'!$BG$145:$BJ$145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tx>
            <c:strRef>
              <c:f>'Electricity Sector Emissions'!$BF$148</c:f>
              <c:strCache>
                <c:ptCount val="1"/>
                <c:pt idx="0">
                  <c:v>Domestic + Imports - 2015 SOR based - new slope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'Electricity Sector Emissions'!$BG$148:$BJ$148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Emissions'!$BG$145:$BJ$145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tx>
            <c:strRef>
              <c:f>'Electricity Sector Emissions'!$BF$149</c:f>
              <c:strCache>
                <c:ptCount val="1"/>
                <c:pt idx="0">
                  <c:v>Domestic + Imports - 2015 SOR based - new slope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'Electricity Sector Emissions'!$BG$149:$BJ$149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Emissions'!$BG$145:$BJ$145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4"/>
          <c:order val="4"/>
          <c:tx>
            <c:strRef>
              <c:f>'Electricity Sector Emissions'!$BF$150</c:f>
              <c:strCache>
                <c:ptCount val="1"/>
                <c:pt idx="0">
                  <c:v>Domestic + Imports</c:v>
                </c:pt>
              </c:strCache>
            </c:strRef>
          </c:tx>
          <c:marker>
            <c:symbol val="none"/>
          </c:marker>
          <c:val>
            <c:numRef>
              <c:f>'Electricity Sector Emissions'!$BG$150:$BJ$150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Emissions'!$BG$145:$BJ$145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6"/>
          <c:order val="5"/>
          <c:tx>
            <c:strRef>
              <c:f>'Electricity Sector Emissions'!$BF$151</c:f>
              <c:strCache>
                <c:ptCount val="1"/>
                <c:pt idx="0">
                  <c:v>Imports (at the sector rate of decline)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val>
            <c:numRef>
              <c:f>'Electricity Sector Emissions'!$BG$151:$BJ$151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Emissions'!$BG$145:$BJ$145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5"/>
          <c:order val="6"/>
          <c:tx>
            <c:strRef>
              <c:f>'Electricity Sector Emissions'!$BF$152</c:f>
              <c:strCache>
                <c:ptCount val="1"/>
                <c:pt idx="0">
                  <c:v>Domestic + Imports - 2015 SOR based - (2017-2030) average</c:v>
                </c:pt>
              </c:strCache>
            </c:strRef>
          </c:tx>
          <c:marker>
            <c:symbol val="none"/>
          </c:marker>
          <c:val>
            <c:numRef>
              <c:f>'Electricity Sector Emissions'!$BG$152:$BJ$152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Emissions'!$BG$145:$BJ$145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7"/>
          <c:order val="7"/>
          <c:tx>
            <c:strRef>
              <c:f>'Electricity Sector Emissions'!$BF$153</c:f>
              <c:strCache>
                <c:ptCount val="1"/>
                <c:pt idx="0">
                  <c:v>Domestic + Imports - 2015 SOR based - (2017-2020) average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'Electricity Sector Emissions'!$BG$153:$BJ$153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Emissions'!$BG$145:$BJ$145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8"/>
          <c:order val="8"/>
          <c:tx>
            <c:strRef>
              <c:f>'Electricity Sector Emissions'!$BF$154</c:f>
              <c:strCache>
                <c:ptCount val="1"/>
                <c:pt idx="0">
                  <c:v>Domestic + Imports - Ministry of Energy proposed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'Electricity Sector Emissions'!$BG$154:$BJ$154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Emissions'!$BG$145:$BJ$145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997160"/>
        <c:axId val="437994808"/>
      </c:lineChart>
      <c:catAx>
        <c:axId val="437997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37994808"/>
        <c:crosses val="autoZero"/>
        <c:auto val="1"/>
        <c:lblAlgn val="ctr"/>
        <c:lblOffset val="100"/>
        <c:noMultiLvlLbl val="0"/>
      </c:catAx>
      <c:valAx>
        <c:axId val="437994808"/>
        <c:scaling>
          <c:orientation val="minMax"/>
          <c:max val="9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437997160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ln>
          <a:prstDash val="lgDash"/>
        </a:ln>
      </c:spPr>
    </c:plotArea>
    <c:plotVisOnly val="1"/>
    <c:dispBlanksAs val="gap"/>
    <c:showDLblsOverMax val="0"/>
  </c:chart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CA" sz="1300">
                <a:solidFill>
                  <a:srgbClr val="C00000"/>
                </a:solidFill>
              </a:rPr>
              <a:t>Proposed Electricity Sector Emissions Cap </a:t>
            </a:r>
          </a:p>
          <a:p>
            <a:pPr>
              <a:defRPr sz="1100"/>
            </a:pPr>
            <a:r>
              <a:rPr lang="en-CA" sz="1000" b="0">
                <a:solidFill>
                  <a:srgbClr val="C00000"/>
                </a:solidFill>
              </a:rPr>
              <a:t> </a:t>
            </a:r>
            <a:r>
              <a:rPr lang="en-CA" sz="1000" b="0"/>
              <a:t>(Mt CO2e, including Imports)</a:t>
            </a:r>
          </a:p>
        </c:rich>
      </c:tx>
      <c:layout>
        <c:manualLayout>
          <c:xMode val="edge"/>
          <c:yMode val="edge"/>
          <c:x val="0.39129914529914528"/>
          <c:y val="1.79211469534050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5564824935126738"/>
          <c:y val="0.15687268930093415"/>
          <c:w val="0.64435175064873262"/>
          <c:h val="0.58327688877599981"/>
        </c:manualLayout>
      </c:layout>
      <c:areaChart>
        <c:grouping val="standard"/>
        <c:varyColors val="0"/>
        <c:ser>
          <c:idx val="1"/>
          <c:order val="1"/>
          <c:tx>
            <c:strRef>
              <c:f>'Electricity Sector Emissions'!$BM$146</c:f>
              <c:strCache>
                <c:ptCount val="1"/>
                <c:pt idx="0">
                  <c:v>Domestic + Imports - 2015 SOR based 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solidFill>
                <a:schemeClr val="accent1"/>
              </a:solidFill>
            </a:ln>
          </c:spPr>
          <c:val>
            <c:numRef>
              <c:f>'Electricity Sector Emissions'!$BN$146:$BQ$146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Emissions'!$BN$144:$BQ$144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643208"/>
        <c:axId val="438644384"/>
      </c:areaChart>
      <c:lineChart>
        <c:grouping val="standard"/>
        <c:varyColors val="0"/>
        <c:ser>
          <c:idx val="0"/>
          <c:order val="0"/>
          <c:tx>
            <c:strRef>
              <c:f>'Electricity Sector Emissions'!$BM$145</c:f>
              <c:strCache>
                <c:ptCount val="1"/>
                <c:pt idx="0">
                  <c:v>Domestic</c:v>
                </c:pt>
              </c:strCache>
            </c:strRef>
          </c:tx>
          <c:marker>
            <c:symbol val="none"/>
          </c:marker>
          <c:val>
            <c:numRef>
              <c:f>'Electricity Sector Emissions'!$BN$145:$BQ$145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Emissions'!$BN$144:$BQ$144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tx>
            <c:strRef>
              <c:f>'Electricity Sector Emissions'!$BM$147</c:f>
              <c:strCache>
                <c:ptCount val="1"/>
                <c:pt idx="0">
                  <c:v>Domestic + Imports - 2015 SOR based - new slope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'Electricity Sector Emissions'!$BN$147:$BQ$147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Emissions'!$BN$144:$BQ$144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tx>
            <c:strRef>
              <c:f>'Electricity Sector Emissions'!$BM$148</c:f>
              <c:strCache>
                <c:ptCount val="1"/>
                <c:pt idx="0">
                  <c:v>Domestic + Imports - 2015 SOR based - new slope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'Electricity Sector Emissions'!$BN$148:$BQ$148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Emissions'!$BN$144:$BQ$144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4"/>
          <c:order val="4"/>
          <c:tx>
            <c:strRef>
              <c:f>'Electricity Sector Emissions'!$BM$149</c:f>
              <c:strCache>
                <c:ptCount val="1"/>
                <c:pt idx="0">
                  <c:v>Domestic + Imports</c:v>
                </c:pt>
              </c:strCache>
            </c:strRef>
          </c:tx>
          <c:marker>
            <c:symbol val="none"/>
          </c:marker>
          <c:val>
            <c:numRef>
              <c:f>'Electricity Sector Emissions'!$BN$149:$BQ$149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Emissions'!$BN$144:$BQ$144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6"/>
          <c:order val="5"/>
          <c:tx>
            <c:strRef>
              <c:f>'Electricity Sector Emissions'!$BM$150</c:f>
              <c:strCache>
                <c:ptCount val="1"/>
                <c:pt idx="0">
                  <c:v>Imports (at the sector rate of decline)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val>
            <c:numRef>
              <c:f>'Electricity Sector Emissions'!$BN$150:$BQ$150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Emissions'!$BN$144:$BQ$144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5"/>
          <c:order val="6"/>
          <c:tx>
            <c:strRef>
              <c:f>'Electricity Sector Emissions'!$BM$151</c:f>
              <c:strCache>
                <c:ptCount val="1"/>
                <c:pt idx="0">
                  <c:v>Domestic + Imports - 2015 SOR based - (2017-2030) average</c:v>
                </c:pt>
              </c:strCache>
            </c:strRef>
          </c:tx>
          <c:marker>
            <c:symbol val="none"/>
          </c:marker>
          <c:val>
            <c:numRef>
              <c:f>'Electricity Sector Emissions'!$BN$151:$BQ$151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Emissions'!$BN$144:$BQ$144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7"/>
          <c:order val="7"/>
          <c:tx>
            <c:strRef>
              <c:f>'Electricity Sector Emissions'!$BM$152</c:f>
              <c:strCache>
                <c:ptCount val="1"/>
                <c:pt idx="0">
                  <c:v>Domestic + Imports - 2015 SOR based - (2017-2020) average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'Electricity Sector Emissions'!$BN$152:$BQ$152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Emissions'!$BN$144:$BQ$144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8"/>
          <c:order val="8"/>
          <c:tx>
            <c:strRef>
              <c:f>'Electricity Sector Emissions'!$BM$153</c:f>
              <c:strCache>
                <c:ptCount val="1"/>
                <c:pt idx="0">
                  <c:v>Domestic + Imports - Ministry of Energy proposed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'Electricity Sector Emissions'!$BN$153:$BQ$153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E8FB-4049-A8EC-FDE9DCA8DFB1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'Electricity Sector Emissions'!$BN$144:$BQ$144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643208"/>
        <c:axId val="438644384"/>
      </c:lineChart>
      <c:catAx>
        <c:axId val="438643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38644384"/>
        <c:crosses val="autoZero"/>
        <c:auto val="1"/>
        <c:lblAlgn val="ctr"/>
        <c:lblOffset val="100"/>
        <c:noMultiLvlLbl val="0"/>
      </c:catAx>
      <c:valAx>
        <c:axId val="438644384"/>
        <c:scaling>
          <c:orientation val="minMax"/>
          <c:max val="12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43864320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ln>
          <a:prstDash val="lgDash"/>
        </a:ln>
      </c:spPr>
    </c:plotArea>
    <c:plotVisOnly val="1"/>
    <c:dispBlanksAs val="gap"/>
    <c:showDLblsOverMax val="0"/>
  </c:chart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 b="1">
                <a:solidFill>
                  <a:sysClr val="windowText" lastClr="000000"/>
                </a:solidFill>
              </a:rPr>
              <a:t>Imported Electricity Emissions </a:t>
            </a:r>
          </a:p>
        </c:rich>
      </c:tx>
      <c:layout>
        <c:manualLayout>
          <c:xMode val="edge"/>
          <c:yMode val="edge"/>
          <c:x val="0.34473992835746958"/>
          <c:y val="2.12400894894581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550532878066966"/>
          <c:y val="0.11385406398181738"/>
          <c:w val="0.710010501816708"/>
          <c:h val="0.69882538878501421"/>
        </c:manualLayout>
      </c:layout>
      <c:areaChart>
        <c:grouping val="standard"/>
        <c:varyColors val="0"/>
        <c:ser>
          <c:idx val="0"/>
          <c:order val="0"/>
          <c:tx>
            <c:strRef>
              <c:f>'Electricity Sector Emissions'!$AD$466</c:f>
              <c:strCache>
                <c:ptCount val="1"/>
                <c:pt idx="0">
                  <c:v>2015 SOR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>
                  <a:lumMod val="40000"/>
                  <a:lumOff val="60000"/>
                </a:schemeClr>
              </a:solidFill>
            </a:ln>
            <a:effectLst/>
          </c:spPr>
          <c:cat>
            <c:numRef>
              <c:f>'Electricity Sector Emissions'!$AE$465:$AR$465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'Electricity Sector Emissions'!$AE$466:$AR$466</c:f>
              <c:numCache>
                <c:formatCode>0.0</c:formatCode>
                <c:ptCount val="14"/>
                <c:pt idx="0">
                  <c:v>0.80447048260418508</c:v>
                </c:pt>
                <c:pt idx="1">
                  <c:v>1.010416507299261</c:v>
                </c:pt>
                <c:pt idx="2">
                  <c:v>1.0938459593944094</c:v>
                </c:pt>
                <c:pt idx="3">
                  <c:v>1.167575104411009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D09-40A1-8D5F-8A8C816032CF}"/>
            </c:ext>
          </c:extLst>
        </c:ser>
        <c:ser>
          <c:idx val="2"/>
          <c:order val="2"/>
          <c:tx>
            <c:strRef>
              <c:f>'Electricity Sector Emissions'!$AD$468</c:f>
              <c:strCache>
                <c:ptCount val="1"/>
                <c:pt idx="0">
                  <c:v>2016 OPO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'Electricity Sector Emissions'!$AE$465:$AR$465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'Electricity Sector Emissions'!$AE$468:$AR$468</c:f>
              <c:numCache>
                <c:formatCode>0.0</c:formatCode>
                <c:ptCount val="14"/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D09-40A1-8D5F-8A8C81603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643600"/>
        <c:axId val="438643992"/>
      </c:areaChart>
      <c:lineChart>
        <c:grouping val="standard"/>
        <c:varyColors val="0"/>
        <c:ser>
          <c:idx val="1"/>
          <c:order val="1"/>
          <c:tx>
            <c:strRef>
              <c:f>'Electricity Sector Emissions'!$AD$467</c:f>
              <c:strCache>
                <c:ptCount val="1"/>
                <c:pt idx="0">
                  <c:v>2017-2020 Average (2015 SOR)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'Electricity Sector Emissions'!$AE$465:$AR$465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'Electricity Sector Emissions'!$AE$467:$AR$467</c:f>
              <c:numCache>
                <c:formatCode>0.0</c:formatCode>
                <c:ptCount val="14"/>
                <c:pt idx="0">
                  <c:v>1.019077013427216</c:v>
                </c:pt>
                <c:pt idx="1">
                  <c:v>1.019077013427216</c:v>
                </c:pt>
                <c:pt idx="2">
                  <c:v>1.019077013427216</c:v>
                </c:pt>
                <c:pt idx="3">
                  <c:v>1.019077013427216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D09-40A1-8D5F-8A8C816032CF}"/>
            </c:ext>
          </c:extLst>
        </c:ser>
        <c:ser>
          <c:idx val="3"/>
          <c:order val="3"/>
          <c:tx>
            <c:strRef>
              <c:f>'Electricity Sector Emissions'!$AD$469</c:f>
              <c:strCache>
                <c:ptCount val="1"/>
                <c:pt idx="0">
                  <c:v>2021-2030 Average (2016 OPO)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'Electricity Sector Emissions'!$AE$465:$AR$465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'Electricity Sector Emissions'!$AE$469:$AR$469</c:f>
              <c:numCache>
                <c:formatCode>0.0</c:formatCode>
                <c:ptCount val="14"/>
                <c:pt idx="4">
                  <c:v>4.2</c:v>
                </c:pt>
                <c:pt idx="5">
                  <c:v>4.2</c:v>
                </c:pt>
                <c:pt idx="6">
                  <c:v>4.2</c:v>
                </c:pt>
                <c:pt idx="7">
                  <c:v>4.2</c:v>
                </c:pt>
                <c:pt idx="8">
                  <c:v>4.2</c:v>
                </c:pt>
                <c:pt idx="9">
                  <c:v>4.2</c:v>
                </c:pt>
                <c:pt idx="10">
                  <c:v>4.2</c:v>
                </c:pt>
                <c:pt idx="11">
                  <c:v>4.2</c:v>
                </c:pt>
                <c:pt idx="12">
                  <c:v>4.2</c:v>
                </c:pt>
                <c:pt idx="13">
                  <c:v>4.2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D09-40A1-8D5F-8A8C81603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643600"/>
        <c:axId val="438643992"/>
      </c:lineChart>
      <c:catAx>
        <c:axId val="43864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643992"/>
        <c:crossesAt val="0"/>
        <c:auto val="1"/>
        <c:lblAlgn val="ctr"/>
        <c:lblOffset val="100"/>
        <c:noMultiLvlLbl val="0"/>
      </c:catAx>
      <c:valAx>
        <c:axId val="438643992"/>
        <c:scaling>
          <c:orientation val="minMax"/>
          <c:max val="7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b="1">
                    <a:solidFill>
                      <a:sysClr val="windowText" lastClr="000000"/>
                    </a:solidFill>
                  </a:rPr>
                  <a:t>Mt CO2e</a:t>
                </a:r>
              </a:p>
            </c:rich>
          </c:tx>
          <c:layout>
            <c:manualLayout>
              <c:xMode val="edge"/>
              <c:yMode val="edge"/>
              <c:x val="0.15172566927971548"/>
              <c:y val="0.41547831585673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643600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 b="1">
                <a:solidFill>
                  <a:sysClr val="windowText" lastClr="000000"/>
                </a:solidFill>
              </a:rPr>
              <a:t>Forecasted Electricity Emissions </a:t>
            </a:r>
          </a:p>
        </c:rich>
      </c:tx>
      <c:layout>
        <c:manualLayout>
          <c:xMode val="edge"/>
          <c:yMode val="edge"/>
          <c:x val="0.34473992835746958"/>
          <c:y val="2.12400894894581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550532878066966"/>
          <c:y val="0.11385406398181738"/>
          <c:w val="0.710010501816708"/>
          <c:h val="0.69882538878501421"/>
        </c:manualLayout>
      </c:layout>
      <c:areaChart>
        <c:grouping val="stacked"/>
        <c:varyColors val="0"/>
        <c:ser>
          <c:idx val="0"/>
          <c:order val="0"/>
          <c:tx>
            <c:strRef>
              <c:f>'Electricity Sector Emissions'!$AD$502</c:f>
              <c:strCache>
                <c:ptCount val="1"/>
                <c:pt idx="0">
                  <c:v>Domestic Emissions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'Electricity Sector Emissions'!$AE$501:$AN$501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'Electricity Sector Emissions'!$AE$502:$AN$502</c:f>
              <c:numCache>
                <c:formatCode>0.0</c:formatCode>
                <c:ptCount val="10"/>
                <c:pt idx="0">
                  <c:v>3.6</c:v>
                </c:pt>
                <c:pt idx="1">
                  <c:v>3.7</c:v>
                </c:pt>
                <c:pt idx="2">
                  <c:v>4.2</c:v>
                </c:pt>
                <c:pt idx="3">
                  <c:v>3.4</c:v>
                </c:pt>
                <c:pt idx="4">
                  <c:v>4.7</c:v>
                </c:pt>
                <c:pt idx="5">
                  <c:v>3.8</c:v>
                </c:pt>
                <c:pt idx="6">
                  <c:v>3.9</c:v>
                </c:pt>
                <c:pt idx="7">
                  <c:v>3.7</c:v>
                </c:pt>
                <c:pt idx="8">
                  <c:v>3.9</c:v>
                </c:pt>
                <c:pt idx="9">
                  <c:v>3.8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52-4C33-8B4F-892EA7A429C2}"/>
            </c:ext>
          </c:extLst>
        </c:ser>
        <c:ser>
          <c:idx val="1"/>
          <c:order val="1"/>
          <c:tx>
            <c:strRef>
              <c:f>'Electricity Sector Emissions'!$AD$503</c:f>
              <c:strCache>
                <c:ptCount val="1"/>
                <c:pt idx="0">
                  <c:v>Imported Emissions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2">
                  <a:lumMod val="40000"/>
                  <a:lumOff val="60000"/>
                </a:schemeClr>
              </a:solidFill>
            </a:ln>
            <a:effectLst/>
          </c:spPr>
          <c:cat>
            <c:numRef>
              <c:f>'Electricity Sector Emissions'!$AE$501:$AN$501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'Electricity Sector Emissions'!$AE$503:$AN$503</c:f>
              <c:numCache>
                <c:formatCode>0.0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6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52-4C33-8B4F-892EA7A42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640072"/>
        <c:axId val="438640464"/>
      </c:areaChart>
      <c:catAx>
        <c:axId val="43864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640464"/>
        <c:crossesAt val="0"/>
        <c:auto val="1"/>
        <c:lblAlgn val="ctr"/>
        <c:lblOffset val="100"/>
        <c:noMultiLvlLbl val="0"/>
      </c:catAx>
      <c:valAx>
        <c:axId val="438640464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b="1">
                    <a:solidFill>
                      <a:sysClr val="windowText" lastClr="000000"/>
                    </a:solidFill>
                  </a:rPr>
                  <a:t>Mt CO2e</a:t>
                </a:r>
              </a:p>
            </c:rich>
          </c:tx>
          <c:layout>
            <c:manualLayout>
              <c:xMode val="edge"/>
              <c:yMode val="edge"/>
              <c:x val="0.15172566927971548"/>
              <c:y val="0.41547831585673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640072"/>
        <c:crosses val="autoZero"/>
        <c:crossBetween val="midCat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400" b="1"/>
              <a:t>Imported Electricity Emissions</a:t>
            </a:r>
          </a:p>
        </c:rich>
      </c:tx>
      <c:layout>
        <c:manualLayout>
          <c:xMode val="edge"/>
          <c:yMode val="edge"/>
          <c:x val="0.35861348294111617"/>
          <c:y val="3.5087719298245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329355254418595"/>
          <c:y val="0.16584795321637427"/>
          <c:w val="0.67852648940933746"/>
          <c:h val="0.62987406179490724"/>
        </c:manualLayout>
      </c:layout>
      <c:areaChart>
        <c:grouping val="standard"/>
        <c:varyColors val="0"/>
        <c:ser>
          <c:idx val="3"/>
          <c:order val="3"/>
          <c:tx>
            <c:strRef>
              <c:f>'Electricity Sector Emissions'!$AW$62</c:f>
              <c:strCache>
                <c:ptCount val="1"/>
                <c:pt idx="0">
                  <c:v>Impoted electricity emissions - 2016 OPO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'Electricity Sector Emissions'!$AX$58:$BK$58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'Electricity Sector Emissions'!$AX$62:$BK$62</c:f>
              <c:numCache>
                <c:formatCode>General</c:formatCode>
                <c:ptCount val="14"/>
                <c:pt idx="4" formatCode="0.0">
                  <c:v>3</c:v>
                </c:pt>
                <c:pt idx="5" formatCode="0.0">
                  <c:v>3</c:v>
                </c:pt>
                <c:pt idx="6" formatCode="0.0">
                  <c:v>4</c:v>
                </c:pt>
                <c:pt idx="7" formatCode="0.0">
                  <c:v>3</c:v>
                </c:pt>
                <c:pt idx="8" formatCode="0.0">
                  <c:v>6</c:v>
                </c:pt>
                <c:pt idx="9" formatCode="0.0">
                  <c:v>6</c:v>
                </c:pt>
                <c:pt idx="10" formatCode="0.0">
                  <c:v>5</c:v>
                </c:pt>
                <c:pt idx="11" formatCode="0.0">
                  <c:v>4</c:v>
                </c:pt>
                <c:pt idx="12" formatCode="0.0">
                  <c:v>4</c:v>
                </c:pt>
                <c:pt idx="13" formatCode="0.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6B-40BE-B80D-9CAE58F57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641640"/>
        <c:axId val="438637720"/>
      </c:areaChart>
      <c:lineChart>
        <c:grouping val="standard"/>
        <c:varyColors val="0"/>
        <c:ser>
          <c:idx val="0"/>
          <c:order val="0"/>
          <c:tx>
            <c:strRef>
              <c:f>'Electricity Sector Emissions'!$AW$59</c:f>
              <c:strCache>
                <c:ptCount val="1"/>
                <c:pt idx="0">
                  <c:v>2017-2020 Caps on Electricity Imports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'Electricity Sector Emissions'!$AX$58:$BK$58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'Electricity Sector Emissions'!$AX$59:$BK$59</c:f>
              <c:numCache>
                <c:formatCode>0.0</c:formatCode>
                <c:ptCount val="14"/>
                <c:pt idx="0">
                  <c:v>1.019077013427216</c:v>
                </c:pt>
                <c:pt idx="1">
                  <c:v>1.019077013427216</c:v>
                </c:pt>
                <c:pt idx="2">
                  <c:v>1.019077013427216</c:v>
                </c:pt>
                <c:pt idx="3">
                  <c:v>1.019077013427216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66B-40BE-B80D-9CAE58F573EC}"/>
            </c:ext>
          </c:extLst>
        </c:ser>
        <c:ser>
          <c:idx val="1"/>
          <c:order val="1"/>
          <c:tx>
            <c:strRef>
              <c:f>'Electricity Sector Emissions'!$AW$60</c:f>
              <c:strCache>
                <c:ptCount val="1"/>
                <c:pt idx="0">
                  <c:v>Caps on Electricity Imports - Option 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'Electricity Sector Emissions'!$AX$58:$BK$58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'Electricity Sector Emissions'!$AX$60:$BK$60</c:f>
              <c:numCache>
                <c:formatCode>0.0</c:formatCode>
                <c:ptCount val="14"/>
                <c:pt idx="4">
                  <c:v>4.2</c:v>
                </c:pt>
                <c:pt idx="5">
                  <c:v>4.2</c:v>
                </c:pt>
                <c:pt idx="6">
                  <c:v>4.2</c:v>
                </c:pt>
                <c:pt idx="7">
                  <c:v>4.2</c:v>
                </c:pt>
                <c:pt idx="8">
                  <c:v>4.2</c:v>
                </c:pt>
                <c:pt idx="9">
                  <c:v>4.2</c:v>
                </c:pt>
                <c:pt idx="10">
                  <c:v>4.2</c:v>
                </c:pt>
                <c:pt idx="11">
                  <c:v>4.2</c:v>
                </c:pt>
                <c:pt idx="12">
                  <c:v>4.2</c:v>
                </c:pt>
                <c:pt idx="13">
                  <c:v>4.2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66B-40BE-B80D-9CAE58F573EC}"/>
            </c:ext>
          </c:extLst>
        </c:ser>
        <c:ser>
          <c:idx val="2"/>
          <c:order val="2"/>
          <c:tx>
            <c:strRef>
              <c:f>'Electricity Sector Emissions'!$AW$61</c:f>
              <c:strCache>
                <c:ptCount val="1"/>
                <c:pt idx="0">
                  <c:v>Caps on Electricity Imports - Option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'Electricity Sector Emissions'!$AX$58:$BK$58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'Electricity Sector Emissions'!$AX$61:$BK$61</c:f>
              <c:numCache>
                <c:formatCode>0.0</c:formatCode>
                <c:ptCount val="14"/>
                <c:pt idx="4">
                  <c:v>4.2</c:v>
                </c:pt>
                <c:pt idx="5">
                  <c:v>4.0743252668827497</c:v>
                </c:pt>
                <c:pt idx="6">
                  <c:v>3.9486505337654987</c:v>
                </c:pt>
                <c:pt idx="7">
                  <c:v>3.8229758006482477</c:v>
                </c:pt>
                <c:pt idx="8">
                  <c:v>3.6973010675309972</c:v>
                </c:pt>
                <c:pt idx="9">
                  <c:v>3.5716263344137467</c:v>
                </c:pt>
                <c:pt idx="10">
                  <c:v>3.4459516012964961</c:v>
                </c:pt>
                <c:pt idx="11">
                  <c:v>3.3202768681792456</c:v>
                </c:pt>
                <c:pt idx="12">
                  <c:v>3.1946021350619946</c:v>
                </c:pt>
                <c:pt idx="13">
                  <c:v>3.0689274019447428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66B-40BE-B80D-9CAE58F57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641640"/>
        <c:axId val="438637720"/>
      </c:lineChart>
      <c:catAx>
        <c:axId val="43864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637720"/>
        <c:crosses val="autoZero"/>
        <c:auto val="1"/>
        <c:lblAlgn val="ctr"/>
        <c:lblOffset val="100"/>
        <c:noMultiLvlLbl val="0"/>
      </c:catAx>
      <c:valAx>
        <c:axId val="438637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000" b="1"/>
                  <a:t>Mt CO2e</a:t>
                </a:r>
              </a:p>
            </c:rich>
          </c:tx>
          <c:layout>
            <c:manualLayout>
              <c:xMode val="edge"/>
              <c:yMode val="edge"/>
              <c:x val="0.13251532035292074"/>
              <c:y val="0.37491020859234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641640"/>
        <c:crosses val="autoZero"/>
        <c:crossBetween val="between"/>
        <c:min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3202415136919"/>
          <c:y val="0.11371302166875154"/>
          <c:w val="0.8730568395549746"/>
          <c:h val="0.80770637682530311"/>
        </c:manualLayout>
      </c:layout>
      <c:areaChart>
        <c:grouping val="stacked"/>
        <c:varyColors val="0"/>
        <c:ser>
          <c:idx val="0"/>
          <c:order val="0"/>
          <c:tx>
            <c:strRef>
              <c:f>Charts!$D$171</c:f>
              <c:strCache>
                <c:ptCount val="1"/>
                <c:pt idx="0">
                  <c:v>Covered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Charts!$E$169:$R$169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Charts!$E$171:$R$171</c:f>
              <c:numCache>
                <c:formatCode>0</c:formatCode>
                <c:ptCount val="14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137.91874685341867</c:v>
                </c:pt>
                <c:pt idx="5">
                  <c:v>138.02136746464538</c:v>
                </c:pt>
                <c:pt idx="6">
                  <c:v>138.20178341527091</c:v>
                </c:pt>
                <c:pt idx="7">
                  <c:v>138.46155359312789</c:v>
                </c:pt>
                <c:pt idx="8">
                  <c:v>138.80245480313897</c:v>
                </c:pt>
                <c:pt idx="9">
                  <c:v>138.39255151993794</c:v>
                </c:pt>
                <c:pt idx="10">
                  <c:v>138.04421513089545</c:v>
                </c:pt>
                <c:pt idx="11">
                  <c:v>137.75580789186182</c:v>
                </c:pt>
                <c:pt idx="12">
                  <c:v>137.52576707766718</c:v>
                </c:pt>
                <c:pt idx="13">
                  <c:v>137.35260219499469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16-43DC-9B23-B9009AAE4869}"/>
            </c:ext>
          </c:extLst>
        </c:ser>
        <c:ser>
          <c:idx val="1"/>
          <c:order val="1"/>
          <c:tx>
            <c:strRef>
              <c:f>Charts!$D$170</c:f>
              <c:strCache>
                <c:ptCount val="1"/>
                <c:pt idx="0">
                  <c:v>Uncovered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cat>
            <c:numRef>
              <c:f>Charts!$E$169:$R$169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Charts!$E$170:$R$170</c:f>
              <c:numCache>
                <c:formatCode>0</c:formatCode>
                <c:ptCount val="14"/>
                <c:pt idx="0">
                  <c:v>31.142127090993245</c:v>
                </c:pt>
                <c:pt idx="1">
                  <c:v>31.125025345358726</c:v>
                </c:pt>
                <c:pt idx="2">
                  <c:v>31.108570521252112</c:v>
                </c:pt>
                <c:pt idx="3">
                  <c:v>31.092760223206675</c:v>
                </c:pt>
                <c:pt idx="4">
                  <c:v>25.544672505459509</c:v>
                </c:pt>
                <c:pt idx="5">
                  <c:v>25.620307445243249</c:v>
                </c:pt>
                <c:pt idx="6">
                  <c:v>25.698506788575827</c:v>
                </c:pt>
                <c:pt idx="7">
                  <c:v>25.779318709969907</c:v>
                </c:pt>
                <c:pt idx="8">
                  <c:v>25.862792551517487</c:v>
                </c:pt>
                <c:pt idx="9">
                  <c:v>25.946622000930486</c:v>
                </c:pt>
                <c:pt idx="10">
                  <c:v>26.032720100516929</c:v>
                </c:pt>
                <c:pt idx="11">
                  <c:v>26.121131752070614</c:v>
                </c:pt>
                <c:pt idx="12">
                  <c:v>26.21190296632134</c:v>
                </c:pt>
                <c:pt idx="13">
                  <c:v>26.305080890655518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16-43DC-9B23-B9009AAE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93272"/>
        <c:axId val="434787392"/>
      </c:areaChart>
      <c:lineChart>
        <c:grouping val="standard"/>
        <c:varyColors val="0"/>
        <c:ser>
          <c:idx val="2"/>
          <c:order val="2"/>
          <c:tx>
            <c:strRef>
              <c:f>Charts!$D$172</c:f>
              <c:strCache>
                <c:ptCount val="1"/>
                <c:pt idx="0">
                  <c:v>Total Reference Case Emissions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Charts!$E$169:$R$169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Charts!$E$172:$R$172</c:f>
              <c:numCache>
                <c:formatCode>0</c:formatCode>
                <c:ptCount val="14"/>
                <c:pt idx="0">
                  <c:v>172.45474199832333</c:v>
                </c:pt>
                <c:pt idx="1">
                  <c:v>169</c:v>
                </c:pt>
                <c:pt idx="2">
                  <c:v>165</c:v>
                </c:pt>
                <c:pt idx="3" formatCode="0.0">
                  <c:v>163.3641219586134</c:v>
                </c:pt>
                <c:pt idx="4" formatCode="0.0">
                  <c:v>163.46341935887818</c:v>
                </c:pt>
                <c:pt idx="5">
                  <c:v>163.64167490988865</c:v>
                </c:pt>
                <c:pt idx="6">
                  <c:v>163.90029020384674</c:v>
                </c:pt>
                <c:pt idx="7">
                  <c:v>164.2408723030978</c:v>
                </c:pt>
                <c:pt idx="8">
                  <c:v>164.66524735465646</c:v>
                </c:pt>
                <c:pt idx="9">
                  <c:v>164.33917352086846</c:v>
                </c:pt>
                <c:pt idx="10">
                  <c:v>164.07693523141242</c:v>
                </c:pt>
                <c:pt idx="11">
                  <c:v>163.87693964393245</c:v>
                </c:pt>
                <c:pt idx="12">
                  <c:v>163.73767004398849</c:v>
                </c:pt>
                <c:pt idx="13">
                  <c:v>163.65768308565021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8A-45AD-9022-9967CB65A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793272"/>
        <c:axId val="434787392"/>
      </c:lineChart>
      <c:catAx>
        <c:axId val="434793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787392"/>
        <c:crosses val="autoZero"/>
        <c:auto val="1"/>
        <c:lblAlgn val="ctr"/>
        <c:lblOffset val="100"/>
        <c:noMultiLvlLbl val="0"/>
      </c:catAx>
      <c:valAx>
        <c:axId val="43478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b="1">
                    <a:solidFill>
                      <a:sysClr val="windowText" lastClr="000000"/>
                    </a:solidFill>
                  </a:rPr>
                  <a:t>Mt</a:t>
                </a:r>
                <a:r>
                  <a:rPr lang="en-CA" b="1" baseline="0">
                    <a:solidFill>
                      <a:sysClr val="windowText" lastClr="000000"/>
                    </a:solidFill>
                  </a:rPr>
                  <a:t> CO2e</a:t>
                </a:r>
                <a:endParaRPr lang="en-CA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9.2848862642169738E-3"/>
              <c:y val="0.403440180675464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793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Projected</a:t>
            </a:r>
            <a:r>
              <a:rPr lang="en-CA" baseline="0"/>
              <a:t> Ontario GHG Emissions - BAU and Policy Case</a:t>
            </a:r>
            <a:endParaRPr lang="en-CA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894179001320356E-2"/>
          <c:y val="8.962206401516104E-2"/>
          <c:w val="0.90326693645846312"/>
          <c:h val="0.68397138856045547"/>
        </c:manualLayout>
      </c:layout>
      <c:areaChart>
        <c:grouping val="stack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0B8-4B64-9B7A-3A12BC483B12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3"/>
            </a:solidFill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0B8-4B64-9B7A-3A12BC483B12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spPr>
            <a:solidFill>
              <a:schemeClr val="accent1"/>
            </a:solidFill>
            <a:ln>
              <a:noFill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0B8-4B64-9B7A-3A12BC483B12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0B8-4B64-9B7A-3A12BC483B12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204936"/>
        <c:axId val="440200624"/>
      </c:areaChart>
      <c:lineChart>
        <c:grouping val="standard"/>
        <c:varyColors val="0"/>
        <c:ser>
          <c:idx val="8"/>
          <c:order val="4"/>
          <c:spPr>
            <a:ln w="25400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0B8-4B64-9B7A-3A12BC483B12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4"/>
          <c:order val="5"/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0B8-4B64-9B7A-3A12BC483B12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5"/>
          <c:order val="6"/>
          <c:spPr>
            <a:ln>
              <a:solidFill>
                <a:srgbClr val="C00000"/>
              </a:solidFill>
            </a:ln>
          </c:spPr>
          <c:marker>
            <c:symbol val="none"/>
          </c:marker>
          <c:dPt>
            <c:idx val="10"/>
            <c:marker>
              <c:symbol val="diamond"/>
              <c:size val="7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0B8-4B64-9B7A-3A12BC483B12}"/>
              </c:ext>
            </c:extLst>
          </c:dPt>
          <c:dPt>
            <c:idx val="20"/>
            <c:marker>
              <c:symbol val="diamond"/>
              <c:size val="7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0B8-4B64-9B7A-3A12BC483B12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F0B8-4B64-9B7A-3A12BC483B12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6"/>
          <c:order val="7"/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F0B8-4B64-9B7A-3A12BC483B12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04936"/>
        <c:axId val="440200624"/>
      </c:lineChart>
      <c:catAx>
        <c:axId val="440204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40200624"/>
        <c:crosses val="autoZero"/>
        <c:auto val="1"/>
        <c:lblAlgn val="ctr"/>
        <c:lblOffset val="100"/>
        <c:noMultiLvlLbl val="0"/>
      </c:catAx>
      <c:valAx>
        <c:axId val="4402006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Emissions (Mt CO2e)</a:t>
                </a:r>
                <a:r>
                  <a:rPr lang="en-CA" baseline="0"/>
                  <a:t> and Cap Allowance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1.1074197120708749E-2"/>
              <c:y val="0.1984908391305455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440204936"/>
        <c:crosses val="autoZero"/>
        <c:crossBetween val="between"/>
      </c:valAx>
      <c:spPr>
        <a:ln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</c:spPr>
    </c:plotArea>
    <c:legend>
      <c:legendPos val="b"/>
      <c:layout>
        <c:manualLayout>
          <c:xMode val="edge"/>
          <c:yMode val="edge"/>
          <c:x val="2.1765674566678977E-2"/>
          <c:y val="0.85783837723160006"/>
          <c:w val="0.89516834504675269"/>
          <c:h val="0.1123508842544841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Projected</a:t>
            </a:r>
            <a:r>
              <a:rPr lang="en-CA" baseline="0"/>
              <a:t> Ontario GHG Emissions - BAU and Policy Case</a:t>
            </a:r>
            <a:endParaRPr lang="en-CA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894179001320356E-2"/>
          <c:y val="8.962206401516104E-2"/>
          <c:w val="0.90326693645846312"/>
          <c:h val="0.68397138856045547"/>
        </c:manualLayout>
      </c:layout>
      <c:areaChart>
        <c:grouping val="stack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8C3-4195-AC3D-9025DBBD83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3"/>
            </a:solidFill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8C3-4195-AC3D-9025DBBD83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spPr>
            <a:solidFill>
              <a:schemeClr val="accent1"/>
            </a:solidFill>
            <a:ln>
              <a:noFill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8C3-4195-AC3D-9025DBBD83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8C3-4195-AC3D-9025DBBD83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204152"/>
        <c:axId val="440201016"/>
      </c:areaChart>
      <c:lineChart>
        <c:grouping val="standard"/>
        <c:varyColors val="0"/>
        <c:ser>
          <c:idx val="7"/>
          <c:order val="4"/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dPt>
            <c:idx val="1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C8C3-4195-AC3D-9025DBBD835C}"/>
              </c:ext>
            </c:extLst>
          </c:dPt>
          <c:dPt>
            <c:idx val="2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C8C3-4195-AC3D-9025DBBD835C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C8C3-4195-AC3D-9025DBBD83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8"/>
          <c:order val="5"/>
          <c:spPr>
            <a:ln>
              <a:solidFill>
                <a:schemeClr val="bg1">
                  <a:lumMod val="85000"/>
                </a:schemeClr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C8C3-4195-AC3D-9025DBBD83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4"/>
          <c:order val="6"/>
          <c:spPr>
            <a:ln>
              <a:solidFill>
                <a:srgbClr val="C00000"/>
              </a:solidFill>
            </a:ln>
          </c:spPr>
          <c:marker>
            <c:symbol val="none"/>
          </c:marker>
          <c:dPt>
            <c:idx val="10"/>
            <c:marker>
              <c:symbol val="diamond"/>
              <c:size val="7"/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8C3-4195-AC3D-9025DBBD835C}"/>
              </c:ext>
            </c:extLst>
          </c:dPt>
          <c:dPt>
            <c:idx val="20"/>
            <c:marker>
              <c:symbol val="diamond"/>
              <c:size val="7"/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C8C3-4195-AC3D-9025DBBD835C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C8C3-4195-AC3D-9025DBBD83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5"/>
          <c:order val="7"/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C8C3-4195-AC3D-9025DBBD83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04152"/>
        <c:axId val="440201016"/>
      </c:lineChart>
      <c:catAx>
        <c:axId val="44020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40201016"/>
        <c:crosses val="autoZero"/>
        <c:auto val="1"/>
        <c:lblAlgn val="ctr"/>
        <c:lblOffset val="100"/>
        <c:noMultiLvlLbl val="0"/>
      </c:catAx>
      <c:valAx>
        <c:axId val="44020101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Emissions (Mt CO2e)</a:t>
                </a:r>
                <a:r>
                  <a:rPr lang="en-CA" baseline="0"/>
                  <a:t> and Cap Allowance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1.1074197120708749E-2"/>
              <c:y val="0.1984908391305455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440204152"/>
        <c:crosses val="autoZero"/>
        <c:crossBetween val="between"/>
      </c:valAx>
      <c:spPr>
        <a:ln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</c:spPr>
    </c:plotArea>
    <c:legend>
      <c:legendPos val="b"/>
      <c:layout>
        <c:manualLayout>
          <c:xMode val="edge"/>
          <c:yMode val="edge"/>
          <c:x val="2.1765674566678977E-2"/>
          <c:y val="0.85783837723160006"/>
          <c:w val="0.63312773403324585"/>
          <c:h val="0.1421616227683999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Illustrative</a:t>
            </a:r>
            <a:r>
              <a:rPr lang="en-CA" baseline="0"/>
              <a:t> Cap</a:t>
            </a:r>
            <a:endParaRPr lang="en-CA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8363371315846128E-2"/>
          <c:y val="9.3881914920379367E-2"/>
          <c:w val="0.90326693645846312"/>
          <c:h val="0.78760077043601484"/>
        </c:manualLayout>
      </c:layout>
      <c:areaChart>
        <c:grouping val="standard"/>
        <c:varyColors val="0"/>
        <c:ser>
          <c:idx val="1"/>
          <c:order val="1"/>
          <c:spPr>
            <a:solidFill>
              <a:schemeClr val="bg1">
                <a:lumMod val="85000"/>
              </a:schemeClr>
            </a:solidFill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6D8-4B44-AC3F-656F86D2EE66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199056"/>
        <c:axId val="440198664"/>
      </c:areaChart>
      <c:lineChart>
        <c:grouping val="standard"/>
        <c:varyColors val="0"/>
        <c:ser>
          <c:idx val="0"/>
          <c:order val="0"/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6D8-4B44-AC3F-656F86D2EE66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6D8-4B44-AC3F-656F86D2EE66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marker>
            <c:symbol val="none"/>
          </c:marker>
          <c:dPt>
            <c:idx val="10"/>
            <c:marker>
              <c:symbol val="diamond"/>
              <c:size val="7"/>
              <c:spPr>
                <a:solidFill>
                  <a:srgbClr val="C00000"/>
                </a:solidFill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C6D8-4B44-AC3F-656F86D2EE66}"/>
              </c:ext>
            </c:extLst>
          </c:dPt>
          <c:dPt>
            <c:idx val="20"/>
            <c:marker>
              <c:symbol val="diamond"/>
              <c:size val="7"/>
              <c:spPr>
                <a:solidFill>
                  <a:srgbClr val="C00000"/>
                </a:solidFill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C6D8-4B44-AC3F-656F86D2EE66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6D8-4B44-AC3F-656F86D2EE66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199056"/>
        <c:axId val="440198664"/>
      </c:lineChart>
      <c:catAx>
        <c:axId val="44019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40198664"/>
        <c:crosses val="autoZero"/>
        <c:auto val="1"/>
        <c:lblAlgn val="ctr"/>
        <c:lblOffset val="100"/>
        <c:noMultiLvlLbl val="0"/>
      </c:catAx>
      <c:valAx>
        <c:axId val="44019866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Emissions (Mt CO2e)</a:t>
                </a:r>
                <a:r>
                  <a:rPr lang="en-CA" baseline="0"/>
                  <a:t> and Cap Allowance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1.1074197120708749E-2"/>
              <c:y val="0.1984908391305455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440199056"/>
        <c:crosses val="autoZero"/>
        <c:crossBetween val="between"/>
      </c:valAx>
      <c:spPr>
        <a:ln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</c:spPr>
    </c:plotArea>
    <c:legend>
      <c:legendPos val="b"/>
      <c:layout>
        <c:manualLayout>
          <c:xMode val="edge"/>
          <c:yMode val="edge"/>
          <c:x val="6.1696194225721784E-2"/>
          <c:y val="0.9429544025627975"/>
          <c:w val="0.9"/>
          <c:h val="4.5837549773958861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Projected</a:t>
            </a:r>
            <a:r>
              <a:rPr lang="en-CA" baseline="0"/>
              <a:t> Ontario GHG Emissions - BAU and Policy Case</a:t>
            </a:r>
            <a:endParaRPr lang="en-CA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894179001320356E-2"/>
          <c:y val="8.962206401516104E-2"/>
          <c:w val="0.90326693645846312"/>
          <c:h val="0.68397138856045547"/>
        </c:manualLayout>
      </c:layout>
      <c:areaChart>
        <c:grouping val="stack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90C-4F6E-9892-F949435BA9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3"/>
            </a:solidFill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90C-4F6E-9892-F949435BA9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spPr>
            <a:solidFill>
              <a:schemeClr val="accent1"/>
            </a:solidFill>
            <a:ln>
              <a:noFill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90C-4F6E-9892-F949435BA9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90C-4F6E-9892-F949435BA9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201408"/>
        <c:axId val="440202192"/>
      </c:areaChart>
      <c:lineChart>
        <c:grouping val="standard"/>
        <c:varyColors val="0"/>
        <c:ser>
          <c:idx val="7"/>
          <c:order val="4"/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dPt>
            <c:idx val="1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B90C-4F6E-9892-F949435BA95C}"/>
              </c:ext>
            </c:extLst>
          </c:dPt>
          <c:dPt>
            <c:idx val="2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B90C-4F6E-9892-F949435BA95C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B90C-4F6E-9892-F949435BA9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8"/>
          <c:order val="5"/>
          <c:spPr>
            <a:ln>
              <a:solidFill>
                <a:schemeClr val="bg1">
                  <a:lumMod val="85000"/>
                </a:schemeClr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B90C-4F6E-9892-F949435BA9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4"/>
          <c:order val="6"/>
          <c:spPr>
            <a:ln>
              <a:solidFill>
                <a:srgbClr val="C00000"/>
              </a:solidFill>
            </a:ln>
          </c:spPr>
          <c:marker>
            <c:symbol val="none"/>
          </c:marker>
          <c:dPt>
            <c:idx val="10"/>
            <c:marker>
              <c:symbol val="diamond"/>
              <c:size val="7"/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B90C-4F6E-9892-F949435BA95C}"/>
              </c:ext>
            </c:extLst>
          </c:dPt>
          <c:dPt>
            <c:idx val="20"/>
            <c:marker>
              <c:symbol val="diamond"/>
              <c:size val="7"/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B90C-4F6E-9892-F949435BA95C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B90C-4F6E-9892-F949435BA9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5"/>
          <c:order val="7"/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B90C-4F6E-9892-F949435BA95C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01408"/>
        <c:axId val="440202192"/>
      </c:lineChart>
      <c:catAx>
        <c:axId val="4402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40202192"/>
        <c:crosses val="autoZero"/>
        <c:auto val="1"/>
        <c:lblAlgn val="ctr"/>
        <c:lblOffset val="100"/>
        <c:noMultiLvlLbl val="0"/>
      </c:catAx>
      <c:valAx>
        <c:axId val="44020219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Emissions (Mt CO2e)</a:t>
                </a:r>
                <a:r>
                  <a:rPr lang="en-CA" baseline="0"/>
                  <a:t> and Cap Allowance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1.1074197120708749E-2"/>
              <c:y val="0.1984908391305455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440201408"/>
        <c:crosses val="autoZero"/>
        <c:crossBetween val="between"/>
      </c:valAx>
      <c:spPr>
        <a:ln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</c:spPr>
    </c:plotArea>
    <c:legend>
      <c:legendPos val="b"/>
      <c:layout>
        <c:manualLayout>
          <c:xMode val="edge"/>
          <c:yMode val="edge"/>
          <c:x val="2.1765674566678977E-2"/>
          <c:y val="0.85783837723160006"/>
          <c:w val="0.94389162292213469"/>
          <c:h val="0.1421616227683999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Projected</a:t>
            </a:r>
            <a:r>
              <a:rPr lang="en-CA" baseline="0"/>
              <a:t> Ontario GHG Emissions - BAU and Policy Case</a:t>
            </a:r>
            <a:endParaRPr lang="en-CA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894179001320356E-2"/>
          <c:y val="8.962206401516104E-2"/>
          <c:w val="0.90326693645846312"/>
          <c:h val="0.68397138856045547"/>
        </c:manualLayout>
      </c:layout>
      <c:areaChart>
        <c:grouping val="stack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C3-4346-8E36-4B07063F915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3"/>
            </a:solidFill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CC3-4346-8E36-4B07063F915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spPr>
            <a:solidFill>
              <a:schemeClr val="accent1"/>
            </a:solidFill>
            <a:ln>
              <a:noFill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CC3-4346-8E36-4B07063F915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CC3-4346-8E36-4B07063F915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204544"/>
        <c:axId val="440203368"/>
      </c:areaChart>
      <c:lineChart>
        <c:grouping val="standard"/>
        <c:varyColors val="0"/>
        <c:ser>
          <c:idx val="8"/>
          <c:order val="4"/>
          <c:spPr>
            <a:ln w="25400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CC3-4346-8E36-4B07063F915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4"/>
          <c:order val="5"/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CC3-4346-8E36-4B07063F915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5"/>
          <c:order val="6"/>
          <c:spPr>
            <a:ln>
              <a:solidFill>
                <a:srgbClr val="C00000"/>
              </a:solidFill>
            </a:ln>
          </c:spPr>
          <c:marker>
            <c:symbol val="none"/>
          </c:marker>
          <c:dPt>
            <c:idx val="10"/>
            <c:marker>
              <c:symbol val="diamond"/>
              <c:size val="7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BCC3-4346-8E36-4B07063F915F}"/>
              </c:ext>
            </c:extLst>
          </c:dPt>
          <c:dPt>
            <c:idx val="20"/>
            <c:marker>
              <c:symbol val="diamond"/>
              <c:size val="7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BCC3-4346-8E36-4B07063F915F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BCC3-4346-8E36-4B07063F915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6"/>
          <c:order val="7"/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BCC3-4346-8E36-4B07063F915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04544"/>
        <c:axId val="440203368"/>
      </c:lineChart>
      <c:catAx>
        <c:axId val="4402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40203368"/>
        <c:crosses val="autoZero"/>
        <c:auto val="1"/>
        <c:lblAlgn val="ctr"/>
        <c:lblOffset val="100"/>
        <c:noMultiLvlLbl val="0"/>
      </c:catAx>
      <c:valAx>
        <c:axId val="44020336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Emissions (Mt CO2e)</a:t>
                </a:r>
                <a:r>
                  <a:rPr lang="en-CA" baseline="0"/>
                  <a:t> and Cap Allowance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1.1074197120708749E-2"/>
              <c:y val="0.1984908391305455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440204544"/>
        <c:crosses val="autoZero"/>
        <c:crossBetween val="between"/>
      </c:valAx>
      <c:spPr>
        <a:ln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</c:spPr>
    </c:plotArea>
    <c:legend>
      <c:legendPos val="b"/>
      <c:layout>
        <c:manualLayout>
          <c:xMode val="edge"/>
          <c:yMode val="edge"/>
          <c:x val="2.1765674566678977E-2"/>
          <c:y val="0.85783837723160006"/>
          <c:w val="0.89516834504675269"/>
          <c:h val="0.1123508842544841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Illustrative</a:t>
            </a:r>
            <a:r>
              <a:rPr lang="en-CA" baseline="0"/>
              <a:t> Cap</a:t>
            </a:r>
            <a:endParaRPr lang="en-CA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8363371315846128E-2"/>
          <c:y val="9.3881914920379367E-2"/>
          <c:w val="0.90326693645846312"/>
          <c:h val="0.69888086672871952"/>
        </c:manualLayout>
      </c:layout>
      <c:areaChart>
        <c:grouping val="stack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9F-4D62-9A21-7BB2BA76B18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3"/>
            </a:solidFill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69F-4D62-9A21-7BB2BA76B18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spPr>
            <a:solidFill>
              <a:schemeClr val="accent1"/>
            </a:solidFill>
            <a:ln>
              <a:noFill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69F-4D62-9A21-7BB2BA76B18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69F-4D62-9A21-7BB2BA76B18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199448"/>
        <c:axId val="440201800"/>
      </c:areaChart>
      <c:lineChart>
        <c:grouping val="standard"/>
        <c:varyColors val="0"/>
        <c:ser>
          <c:idx val="4"/>
          <c:order val="4"/>
          <c:spPr>
            <a:ln w="28575">
              <a:solidFill>
                <a:srgbClr val="C00000"/>
              </a:solidFill>
              <a:prstDash val="sysDash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69F-4D62-9A21-7BB2BA76B18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5"/>
          <c:order val="5"/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69F-4D62-9A21-7BB2BA76B18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6"/>
          <c:order val="6"/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69F-4D62-9A21-7BB2BA76B18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7"/>
          <c:order val="7"/>
          <c:spPr>
            <a:ln>
              <a:solidFill>
                <a:srgbClr val="FF0000"/>
              </a:solidFill>
            </a:ln>
          </c:spPr>
          <c:dPt>
            <c:idx val="10"/>
            <c:marker>
              <c:symbol val="diamond"/>
              <c:size val="7"/>
              <c:spPr>
                <a:solidFill>
                  <a:srgbClr val="FF0000"/>
                </a:solidFill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469F-4D62-9A21-7BB2BA76B18F}"/>
              </c:ext>
            </c:extLst>
          </c:dPt>
          <c:dPt>
            <c:idx val="20"/>
            <c:marker>
              <c:symbol val="diamond"/>
              <c:size val="7"/>
              <c:spPr>
                <a:solidFill>
                  <a:srgbClr val="C00000"/>
                </a:solidFill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469F-4D62-9A21-7BB2BA76B18F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469F-4D62-9A21-7BB2BA76B18F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199448"/>
        <c:axId val="440201800"/>
      </c:lineChart>
      <c:catAx>
        <c:axId val="44019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40201800"/>
        <c:crosses val="autoZero"/>
        <c:auto val="1"/>
        <c:lblAlgn val="ctr"/>
        <c:lblOffset val="100"/>
        <c:noMultiLvlLbl val="0"/>
      </c:catAx>
      <c:valAx>
        <c:axId val="44020180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Emissions (Mt CO2e)</a:t>
                </a:r>
                <a:r>
                  <a:rPr lang="en-CA" baseline="0"/>
                  <a:t> and Cap Allowance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1.1074197120708749E-2"/>
              <c:y val="0.1984908391305455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440199448"/>
        <c:crosses val="autoZero"/>
        <c:crossBetween val="between"/>
      </c:valAx>
      <c:spPr>
        <a:ln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</c:spPr>
    </c:plotArea>
    <c:legend>
      <c:legendPos val="b"/>
      <c:layout>
        <c:manualLayout>
          <c:xMode val="edge"/>
          <c:yMode val="edge"/>
          <c:x val="2.1765674566678977E-2"/>
          <c:y val="0.84931867542116346"/>
          <c:w val="0.95067978709478496"/>
          <c:h val="0.150681324578836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Proposed</a:t>
            </a:r>
            <a:r>
              <a:rPr lang="en-CA" baseline="0"/>
              <a:t> Cap</a:t>
            </a:r>
            <a:endParaRPr lang="en-CA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8363371315846128E-2"/>
          <c:y val="9.3881914920379367E-2"/>
          <c:w val="0.90326693645846312"/>
          <c:h val="0.69888086672871952"/>
        </c:manualLayout>
      </c:layout>
      <c:areaChart>
        <c:grouping val="stacked"/>
        <c:varyColors val="0"/>
        <c:ser>
          <c:idx val="0"/>
          <c:order val="0"/>
          <c:spPr>
            <a:solidFill>
              <a:schemeClr val="accent2">
                <a:lumMod val="20000"/>
                <a:lumOff val="80000"/>
              </a:schemeClr>
            </a:solidFill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6CD-4B2C-9B48-25FF574900D3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spPr>
            <a:solidFill>
              <a:srgbClr val="92D050"/>
            </a:solidFill>
            <a:ln>
              <a:noFill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6CD-4B2C-9B48-25FF574900D3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4"/>
          <c:order val="4"/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  <a:prstDash val="sysDash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6CD-4B2C-9B48-25FF574900D3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6"/>
          <c:order val="6"/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6CD-4B2C-9B48-25FF574900D3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203760"/>
        <c:axId val="440199840"/>
      </c:areaChart>
      <c:lineChart>
        <c:grouping val="standard"/>
        <c:varyColors val="0"/>
        <c:ser>
          <c:idx val="1"/>
          <c:order val="1"/>
          <c:spPr>
            <a:ln>
              <a:solidFill>
                <a:schemeClr val="accent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6CD-4B2C-9B48-25FF574900D3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spPr>
            <a:ln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6CD-4B2C-9B48-25FF574900D3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5"/>
          <c:order val="5"/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C6CD-4B2C-9B48-25FF574900D3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7"/>
          <c:order val="7"/>
          <c:spPr>
            <a:ln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dPt>
            <c:idx val="1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6CD-4B2C-9B48-25FF574900D3}"/>
              </c:ext>
            </c:extLst>
          </c:dPt>
          <c:dPt>
            <c:idx val="2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6CD-4B2C-9B48-25FF574900D3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C6CD-4B2C-9B48-25FF574900D3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8"/>
          <c:order val="8"/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C6CD-4B2C-9B48-25FF574900D3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9"/>
          <c:order val="9"/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dPt>
            <c:idx val="1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C6CD-4B2C-9B48-25FF574900D3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C6CD-4B2C-9B48-25FF574900D3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0"/>
          <c:order val="10"/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C6CD-4B2C-9B48-25FF574900D3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1"/>
          <c:order val="11"/>
          <c:marker>
            <c:symbol val="none"/>
          </c:marker>
          <c:dPt>
            <c:idx val="10"/>
            <c:marker>
              <c:symbol val="diamond"/>
              <c:size val="7"/>
              <c:spPr>
                <a:solidFill>
                  <a:srgbClr val="C00000"/>
                </a:solidFill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C6CD-4B2C-9B48-25FF574900D3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C6CD-4B2C-9B48-25FF574900D3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03760"/>
        <c:axId val="440199840"/>
      </c:lineChart>
      <c:catAx>
        <c:axId val="44020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40199840"/>
        <c:crosses val="autoZero"/>
        <c:auto val="1"/>
        <c:lblAlgn val="ctr"/>
        <c:lblOffset val="100"/>
        <c:noMultiLvlLbl val="0"/>
      </c:catAx>
      <c:valAx>
        <c:axId val="4401998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Emissions (Mt CO2e)</a:t>
                </a:r>
                <a:r>
                  <a:rPr lang="en-CA" baseline="0"/>
                  <a:t> and Cap Allowance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1.1074197120708749E-2"/>
              <c:y val="0.1984908391305455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440203760"/>
        <c:crosses val="autoZero"/>
        <c:crossBetween val="between"/>
      </c:valAx>
      <c:spPr>
        <a:ln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</c:spPr>
    </c:plotArea>
    <c:legend>
      <c:legendPos val="b"/>
      <c:layout>
        <c:manualLayout>
          <c:xMode val="edge"/>
          <c:yMode val="edge"/>
          <c:x val="7.5585083114610679E-2"/>
          <c:y val="0.84176377215794795"/>
          <c:w val="0.84599286417322839"/>
          <c:h val="0.1506812898387701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Proposed</a:t>
            </a:r>
            <a:r>
              <a:rPr lang="en-CA" baseline="0"/>
              <a:t> Cap</a:t>
            </a:r>
            <a:endParaRPr lang="en-CA"/>
          </a:p>
        </c:rich>
      </c:tx>
      <c:layout>
        <c:manualLayout>
          <c:xMode val="edge"/>
          <c:yMode val="edge"/>
          <c:x val="0.34651902887139108"/>
          <c:y val="3.67647058823529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252296587926511E-2"/>
          <c:y val="9.6400297042169875E-2"/>
          <c:w val="0.76611411854768141"/>
          <c:h val="0.69636262146655148"/>
        </c:manualLayout>
      </c:layout>
      <c:areaChart>
        <c:grouping val="stacked"/>
        <c:varyColors val="0"/>
        <c:ser>
          <c:idx val="2"/>
          <c:order val="1"/>
          <c:spPr>
            <a:solidFill>
              <a:schemeClr val="bg1">
                <a:lumMod val="65000"/>
              </a:schemeClr>
            </a:solidFill>
            <a:ln>
              <a:noFill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060-47E7-94C7-54CB755F2C2B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0"/>
          <c:order val="2"/>
          <c:spPr>
            <a:solidFill>
              <a:schemeClr val="tx1">
                <a:lumMod val="75000"/>
                <a:lumOff val="25000"/>
              </a:schemeClr>
            </a:solidFill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060-47E7-94C7-54CB755F2C2B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752840"/>
        <c:axId val="440749312"/>
      </c:areaChart>
      <c:lineChart>
        <c:grouping val="standard"/>
        <c:varyColors val="0"/>
        <c:ser>
          <c:idx val="1"/>
          <c:order val="0"/>
          <c:spPr>
            <a:ln>
              <a:noFill/>
              <a:prstDash val="sysDash"/>
            </a:ln>
          </c:spPr>
          <c:marker>
            <c:symbol val="diamond"/>
            <c:size val="7"/>
            <c:spPr>
              <a:solidFill>
                <a:srgbClr val="C00000"/>
              </a:solidFill>
              <a:ln>
                <a:noFill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60-47E7-94C7-54CB755F2C2B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spPr>
            <a:ln>
              <a:solidFill>
                <a:srgbClr val="FFFF00"/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060-47E7-94C7-54CB755F2C2B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752840"/>
        <c:axId val="440749312"/>
      </c:lineChart>
      <c:catAx>
        <c:axId val="440752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440749312"/>
        <c:crosses val="autoZero"/>
        <c:auto val="1"/>
        <c:lblAlgn val="ctr"/>
        <c:lblOffset val="100"/>
        <c:noMultiLvlLbl val="0"/>
      </c:catAx>
      <c:valAx>
        <c:axId val="44074931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1100"/>
                </a:pPr>
                <a:r>
                  <a:rPr lang="en-CA" sz="1100"/>
                  <a:t>GHG Emissions (Mt CO</a:t>
                </a:r>
                <a:r>
                  <a:rPr lang="en-CA" sz="1100" baseline="-25000"/>
                  <a:t>2</a:t>
                </a:r>
                <a:r>
                  <a:rPr lang="en-CA" sz="1100"/>
                  <a:t>e)</a:t>
                </a:r>
                <a:r>
                  <a:rPr lang="en-CA" sz="1100" baseline="0"/>
                  <a:t> and Cap Allowance</a:t>
                </a:r>
                <a:endParaRPr lang="en-CA" sz="1100"/>
              </a:p>
            </c:rich>
          </c:tx>
          <c:layout>
            <c:manualLayout>
              <c:xMode val="edge"/>
              <c:yMode val="edge"/>
              <c:x val="1.1074197120708749E-2"/>
              <c:y val="0.1984908391305455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440752840"/>
        <c:crosses val="autoZero"/>
        <c:crossBetween val="midCat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6.5168416447944008E-2"/>
          <c:y val="0.88306681333950898"/>
          <c:w val="0.9"/>
          <c:h val="5.1869085809728023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 b="1">
                <a:solidFill>
                  <a:sysClr val="windowText" lastClr="000000"/>
                </a:solidFill>
              </a:rPr>
              <a:t>Proposed Caps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n-CA" sz="1000" b="1">
                <a:solidFill>
                  <a:sysClr val="windowText" lastClr="000000"/>
                </a:solidFill>
              </a:rPr>
              <a:t>(Flat</a:t>
            </a:r>
            <a:r>
              <a:rPr lang="en-CA" sz="1000" b="1" baseline="0">
                <a:solidFill>
                  <a:sysClr val="windowText" lastClr="000000"/>
                </a:solidFill>
              </a:rPr>
              <a:t> cap on imports)</a:t>
            </a:r>
            <a:endParaRPr lang="en-CA" sz="1000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Charts!$D$260</c:f>
              <c:strCache>
                <c:ptCount val="1"/>
                <c:pt idx="0">
                  <c:v>Domestic Caps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Charts!$E$259:$R$259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Charts!$E$260:$R$260</c:f>
              <c:numCache>
                <c:formatCode>0.0</c:formatCode>
                <c:ptCount val="14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120.05649271004843</c:v>
                </c:pt>
                <c:pt idx="5">
                  <c:v>116.46409564330355</c:v>
                </c:pt>
                <c:pt idx="6">
                  <c:v>112.87169857655867</c:v>
                </c:pt>
                <c:pt idx="7">
                  <c:v>109.27930150981379</c:v>
                </c:pt>
                <c:pt idx="8">
                  <c:v>105.68690444306891</c:v>
                </c:pt>
                <c:pt idx="9">
                  <c:v>102.09450737632403</c:v>
                </c:pt>
                <c:pt idx="10">
                  <c:v>98.502110309579152</c:v>
                </c:pt>
                <c:pt idx="11">
                  <c:v>94.909713242834272</c:v>
                </c:pt>
                <c:pt idx="12">
                  <c:v>91.317316176089392</c:v>
                </c:pt>
                <c:pt idx="13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E21-4724-86E8-36B1D4096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90136"/>
        <c:axId val="434793664"/>
      </c:areaChart>
      <c:lineChart>
        <c:grouping val="stacked"/>
        <c:varyColors val="0"/>
        <c:ser>
          <c:idx val="2"/>
          <c:order val="1"/>
          <c:tx>
            <c:strRef>
              <c:f>Charts!$D$261</c:f>
              <c:strCache>
                <c:ptCount val="1"/>
                <c:pt idx="0">
                  <c:v>Imports - flat cap*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numRef>
              <c:f>Charts!$E$259:$R$259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Charts!$E$261:$R$261</c:f>
              <c:numCache>
                <c:formatCode>0.0</c:formatCode>
                <c:ptCount val="14"/>
                <c:pt idx="0">
                  <c:v>1.019077013427216</c:v>
                </c:pt>
                <c:pt idx="1">
                  <c:v>1.019077013427216</c:v>
                </c:pt>
                <c:pt idx="2">
                  <c:v>1.019077013427216</c:v>
                </c:pt>
                <c:pt idx="3">
                  <c:v>1.019077013427216</c:v>
                </c:pt>
                <c:pt idx="4">
                  <c:v>4.2</c:v>
                </c:pt>
                <c:pt idx="5">
                  <c:v>4.2</c:v>
                </c:pt>
                <c:pt idx="6">
                  <c:v>4.2</c:v>
                </c:pt>
                <c:pt idx="7">
                  <c:v>4.2</c:v>
                </c:pt>
                <c:pt idx="8">
                  <c:v>4.2</c:v>
                </c:pt>
                <c:pt idx="9">
                  <c:v>4.2</c:v>
                </c:pt>
                <c:pt idx="10">
                  <c:v>4.2</c:v>
                </c:pt>
                <c:pt idx="11">
                  <c:v>4.2</c:v>
                </c:pt>
                <c:pt idx="12">
                  <c:v>4.2</c:v>
                </c:pt>
                <c:pt idx="13">
                  <c:v>4.2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E21-4724-86E8-36B1D40963E8}"/>
            </c:ext>
          </c:extLst>
        </c:ser>
        <c:ser>
          <c:idx val="0"/>
          <c:order val="2"/>
          <c:tx>
            <c:strRef>
              <c:f>Charts!$D$262</c:f>
              <c:strCache>
                <c:ptCount val="1"/>
                <c:pt idx="0">
                  <c:v>Total Caps with imports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Charts!$E$259:$R$259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Charts!$E$262:$R$262</c:f>
              <c:numCache>
                <c:formatCode>0.0</c:formatCode>
                <c:ptCount val="14"/>
                <c:pt idx="0">
                  <c:v>142.33169192075729</c:v>
                </c:pt>
                <c:pt idx="1">
                  <c:v>136.44378354391171</c:v>
                </c:pt>
                <c:pt idx="2">
                  <c:v>130.55587516706612</c:v>
                </c:pt>
                <c:pt idx="3">
                  <c:v>124.66796679022053</c:v>
                </c:pt>
                <c:pt idx="4">
                  <c:v>124.25649271004843</c:v>
                </c:pt>
                <c:pt idx="5">
                  <c:v>120.66409564330355</c:v>
                </c:pt>
                <c:pt idx="6">
                  <c:v>117.07169857655867</c:v>
                </c:pt>
                <c:pt idx="7">
                  <c:v>113.47930150981379</c:v>
                </c:pt>
                <c:pt idx="8">
                  <c:v>109.88690444306891</c:v>
                </c:pt>
                <c:pt idx="9">
                  <c:v>106.29450737632403</c:v>
                </c:pt>
                <c:pt idx="10">
                  <c:v>102.70211030957915</c:v>
                </c:pt>
                <c:pt idx="11">
                  <c:v>99.109713242834275</c:v>
                </c:pt>
                <c:pt idx="12">
                  <c:v>95.517316176089395</c:v>
                </c:pt>
                <c:pt idx="13">
                  <c:v>91.924919109344486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790136"/>
        <c:axId val="434793664"/>
      </c:lineChart>
      <c:catAx>
        <c:axId val="434790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793664"/>
        <c:crosses val="autoZero"/>
        <c:auto val="1"/>
        <c:lblAlgn val="ctr"/>
        <c:lblOffset val="100"/>
        <c:noMultiLvlLbl val="0"/>
      </c:catAx>
      <c:valAx>
        <c:axId val="434793664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Mt</a:t>
                </a:r>
                <a:r>
                  <a:rPr lang="en-CA" baseline="0"/>
                  <a:t> CO2e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8.3044967614823925E-2"/>
              <c:y val="0.374916731008288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790136"/>
        <c:crosses val="autoZero"/>
        <c:crossBetween val="between"/>
        <c:majorUnit val="2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Proposed Caps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Charts!$D$252</c:f>
              <c:strCache>
                <c:ptCount val="1"/>
                <c:pt idx="0">
                  <c:v>Domestic Caps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Charts!$E$251:$R$251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Charts!$E$252:$R$252</c:f>
              <c:numCache>
                <c:formatCode>0.0</c:formatCode>
                <c:ptCount val="14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120.05649271004843</c:v>
                </c:pt>
                <c:pt idx="5">
                  <c:v>116.46409564330355</c:v>
                </c:pt>
                <c:pt idx="6">
                  <c:v>112.87169857655867</c:v>
                </c:pt>
                <c:pt idx="7">
                  <c:v>109.27930150981379</c:v>
                </c:pt>
                <c:pt idx="8">
                  <c:v>105.68690444306891</c:v>
                </c:pt>
                <c:pt idx="9">
                  <c:v>102.09450737632403</c:v>
                </c:pt>
                <c:pt idx="10">
                  <c:v>98.502110309579152</c:v>
                </c:pt>
                <c:pt idx="11">
                  <c:v>94.909713242834272</c:v>
                </c:pt>
                <c:pt idx="12">
                  <c:v>91.317316176089392</c:v>
                </c:pt>
                <c:pt idx="13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81-4B34-87FD-24E6F3997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88960"/>
        <c:axId val="434790920"/>
      </c:areaChart>
      <c:lineChart>
        <c:grouping val="standard"/>
        <c:varyColors val="0"/>
        <c:ser>
          <c:idx val="1"/>
          <c:order val="1"/>
          <c:tx>
            <c:strRef>
              <c:f>Charts!$D$253</c:f>
              <c:strCache>
                <c:ptCount val="1"/>
                <c:pt idx="0">
                  <c:v>Total Caps with imports (flat cap on imports*)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Charts!$E$251:$R$251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Charts!$E$253:$R$253</c:f>
              <c:numCache>
                <c:formatCode>0.0</c:formatCode>
                <c:ptCount val="14"/>
                <c:pt idx="0">
                  <c:v>142.33169192075729</c:v>
                </c:pt>
                <c:pt idx="1">
                  <c:v>136.44378354391171</c:v>
                </c:pt>
                <c:pt idx="2">
                  <c:v>130.55587516706612</c:v>
                </c:pt>
                <c:pt idx="3">
                  <c:v>124.66796679022053</c:v>
                </c:pt>
                <c:pt idx="4">
                  <c:v>124.25649271004843</c:v>
                </c:pt>
                <c:pt idx="5">
                  <c:v>120.66409564330355</c:v>
                </c:pt>
                <c:pt idx="6">
                  <c:v>117.07169857655867</c:v>
                </c:pt>
                <c:pt idx="7">
                  <c:v>113.47930150981379</c:v>
                </c:pt>
                <c:pt idx="8">
                  <c:v>109.88690444306891</c:v>
                </c:pt>
                <c:pt idx="9">
                  <c:v>106.29450737632403</c:v>
                </c:pt>
                <c:pt idx="10">
                  <c:v>102.70211030957915</c:v>
                </c:pt>
                <c:pt idx="11">
                  <c:v>99.109713242834275</c:v>
                </c:pt>
                <c:pt idx="12">
                  <c:v>95.517316176089395</c:v>
                </c:pt>
                <c:pt idx="13">
                  <c:v>91.924919109344486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E81-4B34-87FD-24E6F3997B0B}"/>
            </c:ext>
          </c:extLst>
        </c:ser>
        <c:ser>
          <c:idx val="2"/>
          <c:order val="2"/>
          <c:tx>
            <c:strRef>
              <c:f>Charts!$D$254</c:f>
              <c:strCache>
                <c:ptCount val="1"/>
                <c:pt idx="0">
                  <c:v>Total Caps with imports (declining cap on imports**)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Charts!$E$251:$R$251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Charts!$E$254:$R$254</c:f>
              <c:numCache>
                <c:formatCode>0.0</c:formatCode>
                <c:ptCount val="14"/>
                <c:pt idx="0">
                  <c:v>142.33169192075729</c:v>
                </c:pt>
                <c:pt idx="1">
                  <c:v>136.44378354391171</c:v>
                </c:pt>
                <c:pt idx="2">
                  <c:v>130.55587516706612</c:v>
                </c:pt>
                <c:pt idx="3">
                  <c:v>124.66796679022053</c:v>
                </c:pt>
                <c:pt idx="4">
                  <c:v>124.25649271004843</c:v>
                </c:pt>
                <c:pt idx="5">
                  <c:v>120.5384209101863</c:v>
                </c:pt>
                <c:pt idx="6">
                  <c:v>116.82034911032417</c:v>
                </c:pt>
                <c:pt idx="7">
                  <c:v>113.10227731046204</c:v>
                </c:pt>
                <c:pt idx="8">
                  <c:v>109.38420551059991</c:v>
                </c:pt>
                <c:pt idx="9">
                  <c:v>105.66613371073778</c:v>
                </c:pt>
                <c:pt idx="10">
                  <c:v>101.94806191087565</c:v>
                </c:pt>
                <c:pt idx="11">
                  <c:v>98.229990111013521</c:v>
                </c:pt>
                <c:pt idx="12">
                  <c:v>94.511918311151391</c:v>
                </c:pt>
                <c:pt idx="13">
                  <c:v>90.793846511289232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E81-4B34-87FD-24E6F3997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788960"/>
        <c:axId val="434790920"/>
      </c:lineChart>
      <c:catAx>
        <c:axId val="43478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790920"/>
        <c:crosses val="autoZero"/>
        <c:auto val="1"/>
        <c:lblAlgn val="ctr"/>
        <c:lblOffset val="100"/>
        <c:noMultiLvlLbl val="0"/>
      </c:catAx>
      <c:valAx>
        <c:axId val="434790920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78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 b="1">
                <a:solidFill>
                  <a:sysClr val="windowText" lastClr="000000"/>
                </a:solidFill>
              </a:rPr>
              <a:t>Proposed Caps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n-CA" sz="1000" b="1">
                <a:solidFill>
                  <a:sysClr val="windowText" lastClr="000000"/>
                </a:solidFill>
              </a:rPr>
              <a:t>(Declining</a:t>
            </a:r>
            <a:r>
              <a:rPr lang="en-CA" sz="1000" b="1" baseline="0">
                <a:solidFill>
                  <a:sysClr val="windowText" lastClr="000000"/>
                </a:solidFill>
              </a:rPr>
              <a:t> cap on imports)</a:t>
            </a:r>
            <a:endParaRPr lang="en-CA" sz="1000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Charts!$D$270</c:f>
              <c:strCache>
                <c:ptCount val="1"/>
                <c:pt idx="0">
                  <c:v>Domestic Caps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Charts!$E$269:$R$269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Charts!$E$270:$R$270</c:f>
              <c:numCache>
                <c:formatCode>0.0</c:formatCode>
                <c:ptCount val="14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120.05649271004843</c:v>
                </c:pt>
                <c:pt idx="5">
                  <c:v>116.46409564330355</c:v>
                </c:pt>
                <c:pt idx="6">
                  <c:v>112.87169857655867</c:v>
                </c:pt>
                <c:pt idx="7">
                  <c:v>109.27930150981379</c:v>
                </c:pt>
                <c:pt idx="8">
                  <c:v>105.68690444306891</c:v>
                </c:pt>
                <c:pt idx="9">
                  <c:v>102.09450737632403</c:v>
                </c:pt>
                <c:pt idx="10">
                  <c:v>98.502110309579152</c:v>
                </c:pt>
                <c:pt idx="11">
                  <c:v>94.909713242834272</c:v>
                </c:pt>
                <c:pt idx="12">
                  <c:v>91.317316176089392</c:v>
                </c:pt>
                <c:pt idx="13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5A-4A66-AA68-18FC86BDEFB3}"/>
            </c:ext>
          </c:extLst>
        </c:ser>
        <c:ser>
          <c:idx val="1"/>
          <c:order val="1"/>
          <c:tx>
            <c:strRef>
              <c:f>Charts!$D$271</c:f>
              <c:strCache>
                <c:ptCount val="1"/>
                <c:pt idx="0">
                  <c:v>Imports - Declining cap**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Charts!$E$269:$R$269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Charts!$E$271:$R$271</c:f>
              <c:numCache>
                <c:formatCode>0.0</c:formatCode>
                <c:ptCount val="14"/>
                <c:pt idx="0">
                  <c:v>1.019077013427216</c:v>
                </c:pt>
                <c:pt idx="1">
                  <c:v>1.019077013427216</c:v>
                </c:pt>
                <c:pt idx="2">
                  <c:v>1.019077013427216</c:v>
                </c:pt>
                <c:pt idx="3">
                  <c:v>1.019077013427216</c:v>
                </c:pt>
                <c:pt idx="4">
                  <c:v>4.2</c:v>
                </c:pt>
                <c:pt idx="5">
                  <c:v>4.0743252668827497</c:v>
                </c:pt>
                <c:pt idx="6">
                  <c:v>3.9486505337654987</c:v>
                </c:pt>
                <c:pt idx="7">
                  <c:v>3.8229758006482477</c:v>
                </c:pt>
                <c:pt idx="8">
                  <c:v>3.6973010675309972</c:v>
                </c:pt>
                <c:pt idx="9">
                  <c:v>3.5716263344137467</c:v>
                </c:pt>
                <c:pt idx="10">
                  <c:v>3.4459516012964961</c:v>
                </c:pt>
                <c:pt idx="11">
                  <c:v>3.3202768681792456</c:v>
                </c:pt>
                <c:pt idx="12">
                  <c:v>3.1946021350619946</c:v>
                </c:pt>
                <c:pt idx="13">
                  <c:v>3.0689274019447428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45A-4A66-AA68-18FC86BDE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88568"/>
        <c:axId val="434792880"/>
      </c:areaChart>
      <c:lineChart>
        <c:grouping val="stacked"/>
        <c:varyColors val="0"/>
        <c:ser>
          <c:idx val="2"/>
          <c:order val="2"/>
          <c:tx>
            <c:strRef>
              <c:f>Charts!$D$272</c:f>
              <c:strCache>
                <c:ptCount val="1"/>
                <c:pt idx="0">
                  <c:v>Total Caps with imports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numRef>
              <c:f>Charts!$E$269:$R$269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Charts!$E$272:$R$272</c:f>
              <c:numCache>
                <c:formatCode>0.0</c:formatCode>
                <c:ptCount val="14"/>
                <c:pt idx="0">
                  <c:v>142.33169192075729</c:v>
                </c:pt>
                <c:pt idx="1">
                  <c:v>136.44378354391171</c:v>
                </c:pt>
                <c:pt idx="2">
                  <c:v>130.55587516706612</c:v>
                </c:pt>
                <c:pt idx="3">
                  <c:v>124.66796679022053</c:v>
                </c:pt>
                <c:pt idx="4">
                  <c:v>124.25649271004843</c:v>
                </c:pt>
                <c:pt idx="5">
                  <c:v>120.5384209101863</c:v>
                </c:pt>
                <c:pt idx="6">
                  <c:v>116.82034911032417</c:v>
                </c:pt>
                <c:pt idx="7">
                  <c:v>113.10227731046204</c:v>
                </c:pt>
                <c:pt idx="8">
                  <c:v>109.38420551059991</c:v>
                </c:pt>
                <c:pt idx="9">
                  <c:v>105.66613371073778</c:v>
                </c:pt>
                <c:pt idx="10">
                  <c:v>101.94806191087565</c:v>
                </c:pt>
                <c:pt idx="11">
                  <c:v>98.229990111013521</c:v>
                </c:pt>
                <c:pt idx="12">
                  <c:v>94.511918311151391</c:v>
                </c:pt>
                <c:pt idx="13">
                  <c:v>90.793846511289232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45A-4A66-AA68-18FC86BDE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788568"/>
        <c:axId val="434792880"/>
      </c:lineChart>
      <c:catAx>
        <c:axId val="434788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792880"/>
        <c:crosses val="autoZero"/>
        <c:auto val="1"/>
        <c:lblAlgn val="ctr"/>
        <c:lblOffset val="100"/>
        <c:noMultiLvlLbl val="0"/>
      </c:catAx>
      <c:valAx>
        <c:axId val="434792880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Mt</a:t>
                </a:r>
                <a:r>
                  <a:rPr lang="en-CA" baseline="0"/>
                  <a:t> CO2e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8.3044967614823925E-2"/>
              <c:y val="0.374916731008288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788568"/>
        <c:crosses val="autoZero"/>
        <c:crossBetween val="between"/>
        <c:majorUnit val="2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3202415136919"/>
          <c:y val="0.11371302166875154"/>
          <c:w val="0.8730568395549746"/>
          <c:h val="0.80770637682530311"/>
        </c:manualLayout>
      </c:layout>
      <c:areaChart>
        <c:grouping val="stacked"/>
        <c:varyColors val="0"/>
        <c:ser>
          <c:idx val="0"/>
          <c:order val="0"/>
          <c:tx>
            <c:strRef>
              <c:f>Charts!$D$170</c:f>
              <c:strCache>
                <c:ptCount val="1"/>
                <c:pt idx="0">
                  <c:v>Uncovered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cat>
            <c:numRef>
              <c:f>Charts!$E$169:$R$169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Charts!$E$170:$R$170</c:f>
              <c:numCache>
                <c:formatCode>0</c:formatCode>
                <c:ptCount val="14"/>
                <c:pt idx="0">
                  <c:v>31.142127090993245</c:v>
                </c:pt>
                <c:pt idx="1">
                  <c:v>31.125025345358726</c:v>
                </c:pt>
                <c:pt idx="2">
                  <c:v>31.108570521252112</c:v>
                </c:pt>
                <c:pt idx="3">
                  <c:v>31.092760223206675</c:v>
                </c:pt>
                <c:pt idx="4">
                  <c:v>25.544672505459509</c:v>
                </c:pt>
                <c:pt idx="5">
                  <c:v>25.620307445243249</c:v>
                </c:pt>
                <c:pt idx="6">
                  <c:v>25.698506788575827</c:v>
                </c:pt>
                <c:pt idx="7">
                  <c:v>25.779318709969907</c:v>
                </c:pt>
                <c:pt idx="8">
                  <c:v>25.862792551517487</c:v>
                </c:pt>
                <c:pt idx="9">
                  <c:v>25.946622000930486</c:v>
                </c:pt>
                <c:pt idx="10">
                  <c:v>26.032720100516929</c:v>
                </c:pt>
                <c:pt idx="11">
                  <c:v>26.121131752070614</c:v>
                </c:pt>
                <c:pt idx="12">
                  <c:v>26.21190296632134</c:v>
                </c:pt>
                <c:pt idx="13">
                  <c:v>26.305080890655518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16-43DC-9B23-B9009AAE4869}"/>
            </c:ext>
          </c:extLst>
        </c:ser>
        <c:ser>
          <c:idx val="1"/>
          <c:order val="1"/>
          <c:tx>
            <c:strRef>
              <c:f>Charts!$D$171</c:f>
              <c:strCache>
                <c:ptCount val="1"/>
                <c:pt idx="0">
                  <c:v>Covered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cat>
            <c:numRef>
              <c:f>Charts!$E$169:$R$169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Charts!$E$171:$R$171</c:f>
              <c:numCache>
                <c:formatCode>0</c:formatCode>
                <c:ptCount val="14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137.91874685341867</c:v>
                </c:pt>
                <c:pt idx="5">
                  <c:v>138.02136746464538</c:v>
                </c:pt>
                <c:pt idx="6">
                  <c:v>138.20178341527091</c:v>
                </c:pt>
                <c:pt idx="7">
                  <c:v>138.46155359312789</c:v>
                </c:pt>
                <c:pt idx="8">
                  <c:v>138.80245480313897</c:v>
                </c:pt>
                <c:pt idx="9">
                  <c:v>138.39255151993794</c:v>
                </c:pt>
                <c:pt idx="10">
                  <c:v>138.04421513089545</c:v>
                </c:pt>
                <c:pt idx="11">
                  <c:v>137.75580789186182</c:v>
                </c:pt>
                <c:pt idx="12">
                  <c:v>137.52576707766718</c:v>
                </c:pt>
                <c:pt idx="13">
                  <c:v>137.35260219499469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16-43DC-9B23-B9009AAE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471392"/>
        <c:axId val="435472960"/>
      </c:areaChart>
      <c:catAx>
        <c:axId val="43547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472960"/>
        <c:crosses val="autoZero"/>
        <c:auto val="1"/>
        <c:lblAlgn val="ctr"/>
        <c:lblOffset val="100"/>
        <c:noMultiLvlLbl val="0"/>
      </c:catAx>
      <c:valAx>
        <c:axId val="43547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b="1">
                    <a:solidFill>
                      <a:sysClr val="windowText" lastClr="000000"/>
                    </a:solidFill>
                  </a:rPr>
                  <a:t>Mt</a:t>
                </a:r>
                <a:r>
                  <a:rPr lang="en-CA" b="1" baseline="0">
                    <a:solidFill>
                      <a:sysClr val="windowText" lastClr="000000"/>
                    </a:solidFill>
                  </a:rPr>
                  <a:t> CO2e</a:t>
                </a:r>
                <a:endParaRPr lang="en-CA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9.2848862642169738E-3"/>
              <c:y val="0.403440180675464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47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249015748031493E-2"/>
          <c:y val="5.992676331104016E-2"/>
          <c:w val="0.92163987314085738"/>
          <c:h val="0.80770637682530311"/>
        </c:manualLayout>
      </c:layout>
      <c:areaChart>
        <c:grouping val="stacked"/>
        <c:varyColors val="0"/>
        <c:ser>
          <c:idx val="0"/>
          <c:order val="0"/>
          <c:tx>
            <c:strRef>
              <c:f>Charts!$D$62</c:f>
              <c:strCache>
                <c:ptCount val="1"/>
                <c:pt idx="0">
                  <c:v>Uncovered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Charts!$E$61:$R$61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Charts!$E$62:$R$62</c:f>
              <c:numCache>
                <c:formatCode>0</c:formatCode>
                <c:ptCount val="14"/>
                <c:pt idx="0">
                  <c:v>31.142127090993245</c:v>
                </c:pt>
                <c:pt idx="1">
                  <c:v>31.125025345358726</c:v>
                </c:pt>
                <c:pt idx="2">
                  <c:v>31.108570521252112</c:v>
                </c:pt>
                <c:pt idx="3">
                  <c:v>31.092760223206675</c:v>
                </c:pt>
                <c:pt idx="4">
                  <c:v>30.613992289951558</c:v>
                </c:pt>
                <c:pt idx="5">
                  <c:v>30.13522435669644</c:v>
                </c:pt>
                <c:pt idx="6">
                  <c:v>29.656456423441323</c:v>
                </c:pt>
                <c:pt idx="7">
                  <c:v>29.177688490186206</c:v>
                </c:pt>
                <c:pt idx="8">
                  <c:v>28.698920556931089</c:v>
                </c:pt>
                <c:pt idx="9">
                  <c:v>28.220152623675972</c:v>
                </c:pt>
                <c:pt idx="10">
                  <c:v>27.741384690420855</c:v>
                </c:pt>
                <c:pt idx="11">
                  <c:v>27.262616757165738</c:v>
                </c:pt>
                <c:pt idx="12">
                  <c:v>26.78384882391062</c:v>
                </c:pt>
                <c:pt idx="13">
                  <c:v>26.305080890655518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40-4566-85E1-7D37F4BF543C}"/>
            </c:ext>
          </c:extLst>
        </c:ser>
        <c:ser>
          <c:idx val="1"/>
          <c:order val="1"/>
          <c:tx>
            <c:strRef>
              <c:f>Charts!$D$63</c:f>
              <c:strCache>
                <c:ptCount val="1"/>
                <c:pt idx="0">
                  <c:v>Covered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Charts!$E$61:$R$61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Charts!$E$63:$R$63</c:f>
              <c:numCache>
                <c:formatCode>0</c:formatCode>
                <c:ptCount val="14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120.05649271004843</c:v>
                </c:pt>
                <c:pt idx="5">
                  <c:v>116.46409564330355</c:v>
                </c:pt>
                <c:pt idx="6">
                  <c:v>112.87169857655867</c:v>
                </c:pt>
                <c:pt idx="7">
                  <c:v>109.27930150981379</c:v>
                </c:pt>
                <c:pt idx="8">
                  <c:v>105.68690444306891</c:v>
                </c:pt>
                <c:pt idx="9">
                  <c:v>102.09450737632403</c:v>
                </c:pt>
                <c:pt idx="10">
                  <c:v>98.502110309579152</c:v>
                </c:pt>
                <c:pt idx="11">
                  <c:v>94.909713242834272</c:v>
                </c:pt>
                <c:pt idx="12">
                  <c:v>91.317316176089392</c:v>
                </c:pt>
                <c:pt idx="13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C40-4566-85E1-7D37F4BF5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474528"/>
        <c:axId val="435473352"/>
      </c:areaChart>
      <c:lineChart>
        <c:grouping val="standard"/>
        <c:varyColors val="0"/>
        <c:ser>
          <c:idx val="2"/>
          <c:order val="2"/>
          <c:tx>
            <c:strRef>
              <c:f>Charts!$D$64</c:f>
              <c:strCache>
                <c:ptCount val="1"/>
                <c:pt idx="0">
                  <c:v>Reference case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Charts!$E$61:$R$61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Charts!$E$64:$R$64</c:f>
              <c:numCache>
                <c:formatCode>0.0</c:formatCode>
                <c:ptCount val="14"/>
                <c:pt idx="0">
                  <c:v>172.45474199832333</c:v>
                </c:pt>
                <c:pt idx="1">
                  <c:v>169</c:v>
                </c:pt>
                <c:pt idx="2">
                  <c:v>165</c:v>
                </c:pt>
                <c:pt idx="3">
                  <c:v>163.3641219586134</c:v>
                </c:pt>
                <c:pt idx="4" formatCode="0">
                  <c:v>163.39347807131708</c:v>
                </c:pt>
                <c:pt idx="5" formatCode="0">
                  <c:v>163.42283418402076</c:v>
                </c:pt>
                <c:pt idx="6" formatCode="0">
                  <c:v>163.45219029672444</c:v>
                </c:pt>
                <c:pt idx="7" formatCode="0">
                  <c:v>163.48154640942812</c:v>
                </c:pt>
                <c:pt idx="8" formatCode="0">
                  <c:v>163.5109025221318</c:v>
                </c:pt>
                <c:pt idx="9" formatCode="0">
                  <c:v>163.54025863483548</c:v>
                </c:pt>
                <c:pt idx="10" formatCode="0">
                  <c:v>163.56961474753916</c:v>
                </c:pt>
                <c:pt idx="11" formatCode="0">
                  <c:v>163.59897086024284</c:v>
                </c:pt>
                <c:pt idx="12" formatCode="0">
                  <c:v>163.62832697294652</c:v>
                </c:pt>
                <c:pt idx="13">
                  <c:v>163.65768308565021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C40-4566-85E1-7D37F4BF5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474528"/>
        <c:axId val="435473352"/>
      </c:lineChart>
      <c:catAx>
        <c:axId val="43547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473352"/>
        <c:crosses val="autoZero"/>
        <c:auto val="1"/>
        <c:lblAlgn val="ctr"/>
        <c:lblOffset val="100"/>
        <c:noMultiLvlLbl val="0"/>
      </c:catAx>
      <c:valAx>
        <c:axId val="43547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b="1">
                    <a:solidFill>
                      <a:sysClr val="windowText" lastClr="000000"/>
                    </a:solidFill>
                  </a:rPr>
                  <a:t>Mt</a:t>
                </a:r>
                <a:r>
                  <a:rPr lang="en-CA" b="1" baseline="0">
                    <a:solidFill>
                      <a:sysClr val="windowText" lastClr="000000"/>
                    </a:solidFill>
                  </a:rPr>
                  <a:t> CO2e</a:t>
                </a:r>
                <a:endParaRPr lang="en-CA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9.2848862642169738E-3"/>
              <c:y val="0.403440180675464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47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991765091863517"/>
          <c:y val="0.92958213003390788"/>
          <c:w val="0.32960903324584429"/>
          <c:h val="4.77710243417926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3202415136919"/>
          <c:y val="0.11371302166875154"/>
          <c:w val="0.8730568395549746"/>
          <c:h val="0.80770637682530311"/>
        </c:manualLayout>
      </c:layout>
      <c:areaChart>
        <c:grouping val="stacked"/>
        <c:varyColors val="0"/>
        <c:ser>
          <c:idx val="0"/>
          <c:order val="0"/>
          <c:tx>
            <c:strRef>
              <c:f>Charts!$D$62</c:f>
              <c:strCache>
                <c:ptCount val="1"/>
                <c:pt idx="0">
                  <c:v>Uncovered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Charts!$E$61:$R$61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Charts!$E$62:$R$62</c:f>
              <c:numCache>
                <c:formatCode>0</c:formatCode>
                <c:ptCount val="14"/>
                <c:pt idx="0">
                  <c:v>31.142127090993245</c:v>
                </c:pt>
                <c:pt idx="1">
                  <c:v>31.125025345358726</c:v>
                </c:pt>
                <c:pt idx="2">
                  <c:v>31.108570521252112</c:v>
                </c:pt>
                <c:pt idx="3">
                  <c:v>31.092760223206675</c:v>
                </c:pt>
                <c:pt idx="4">
                  <c:v>30.613992289951558</c:v>
                </c:pt>
                <c:pt idx="5">
                  <c:v>30.13522435669644</c:v>
                </c:pt>
                <c:pt idx="6">
                  <c:v>29.656456423441323</c:v>
                </c:pt>
                <c:pt idx="7">
                  <c:v>29.177688490186206</c:v>
                </c:pt>
                <c:pt idx="8">
                  <c:v>28.698920556931089</c:v>
                </c:pt>
                <c:pt idx="9">
                  <c:v>28.220152623675972</c:v>
                </c:pt>
                <c:pt idx="10">
                  <c:v>27.741384690420855</c:v>
                </c:pt>
                <c:pt idx="11">
                  <c:v>27.262616757165738</c:v>
                </c:pt>
                <c:pt idx="12">
                  <c:v>26.78384882391062</c:v>
                </c:pt>
                <c:pt idx="13">
                  <c:v>26.305080890655518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16-43DC-9B23-B9009AAE4869}"/>
            </c:ext>
          </c:extLst>
        </c:ser>
        <c:ser>
          <c:idx val="1"/>
          <c:order val="1"/>
          <c:tx>
            <c:strRef>
              <c:f>Charts!$D$63</c:f>
              <c:strCache>
                <c:ptCount val="1"/>
                <c:pt idx="0">
                  <c:v>Covered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Charts!$E$61:$R$61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Charts!$E$63:$R$63</c:f>
              <c:numCache>
                <c:formatCode>0</c:formatCode>
                <c:ptCount val="14"/>
                <c:pt idx="0">
                  <c:v>141.31261490733007</c:v>
                </c:pt>
                <c:pt idx="1">
                  <c:v>135.42470653048449</c:v>
                </c:pt>
                <c:pt idx="2">
                  <c:v>129.5367981536389</c:v>
                </c:pt>
                <c:pt idx="3">
                  <c:v>123.64888977679331</c:v>
                </c:pt>
                <c:pt idx="4">
                  <c:v>120.05649271004843</c:v>
                </c:pt>
                <c:pt idx="5">
                  <c:v>116.46409564330355</c:v>
                </c:pt>
                <c:pt idx="6">
                  <c:v>112.87169857655867</c:v>
                </c:pt>
                <c:pt idx="7">
                  <c:v>109.27930150981379</c:v>
                </c:pt>
                <c:pt idx="8">
                  <c:v>105.68690444306891</c:v>
                </c:pt>
                <c:pt idx="9">
                  <c:v>102.09450737632403</c:v>
                </c:pt>
                <c:pt idx="10">
                  <c:v>98.502110309579152</c:v>
                </c:pt>
                <c:pt idx="11">
                  <c:v>94.909713242834272</c:v>
                </c:pt>
                <c:pt idx="12">
                  <c:v>91.317316176089392</c:v>
                </c:pt>
                <c:pt idx="13">
                  <c:v>87.724919109344484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16-43DC-9B23-B9009AAE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475312"/>
        <c:axId val="435469824"/>
      </c:areaChart>
      <c:lineChart>
        <c:grouping val="standard"/>
        <c:varyColors val="0"/>
        <c:ser>
          <c:idx val="2"/>
          <c:order val="2"/>
          <c:tx>
            <c:strRef>
              <c:f>Charts!$D$64</c:f>
              <c:strCache>
                <c:ptCount val="1"/>
                <c:pt idx="0">
                  <c:v>Reference case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Charts!$E$61:$R$61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cat>
          <c:val>
            <c:numRef>
              <c:f>Charts!$E$64:$R$64</c:f>
              <c:numCache>
                <c:formatCode>0.0</c:formatCode>
                <c:ptCount val="14"/>
                <c:pt idx="0">
                  <c:v>172.45474199832333</c:v>
                </c:pt>
                <c:pt idx="1">
                  <c:v>169</c:v>
                </c:pt>
                <c:pt idx="2">
                  <c:v>165</c:v>
                </c:pt>
                <c:pt idx="3">
                  <c:v>163.3641219586134</c:v>
                </c:pt>
                <c:pt idx="4" formatCode="0">
                  <c:v>163.39347807131708</c:v>
                </c:pt>
                <c:pt idx="5" formatCode="0">
                  <c:v>163.42283418402076</c:v>
                </c:pt>
                <c:pt idx="6" formatCode="0">
                  <c:v>163.45219029672444</c:v>
                </c:pt>
                <c:pt idx="7" formatCode="0">
                  <c:v>163.48154640942812</c:v>
                </c:pt>
                <c:pt idx="8" formatCode="0">
                  <c:v>163.5109025221318</c:v>
                </c:pt>
                <c:pt idx="9" formatCode="0">
                  <c:v>163.54025863483548</c:v>
                </c:pt>
                <c:pt idx="10" formatCode="0">
                  <c:v>163.56961474753916</c:v>
                </c:pt>
                <c:pt idx="11" formatCode="0">
                  <c:v>163.59897086024284</c:v>
                </c:pt>
                <c:pt idx="12" formatCode="0">
                  <c:v>163.62832697294652</c:v>
                </c:pt>
                <c:pt idx="13">
                  <c:v>163.65768308565021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016-43DC-9B23-B9009AAE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475312"/>
        <c:axId val="435469824"/>
      </c:lineChart>
      <c:catAx>
        <c:axId val="43547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469824"/>
        <c:crosses val="autoZero"/>
        <c:auto val="1"/>
        <c:lblAlgn val="ctr"/>
        <c:lblOffset val="100"/>
        <c:noMultiLvlLbl val="0"/>
      </c:catAx>
      <c:valAx>
        <c:axId val="43546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b="1">
                    <a:solidFill>
                      <a:sysClr val="windowText" lastClr="000000"/>
                    </a:solidFill>
                  </a:rPr>
                  <a:t>Mt</a:t>
                </a:r>
                <a:r>
                  <a:rPr lang="en-CA" b="1" baseline="0">
                    <a:solidFill>
                      <a:sysClr val="windowText" lastClr="000000"/>
                    </a:solidFill>
                  </a:rPr>
                  <a:t> CO2e</a:t>
                </a:r>
                <a:endParaRPr lang="en-CA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9.2848862642169738E-3"/>
              <c:y val="0.403440180675464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47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13" Type="http://schemas.openxmlformats.org/officeDocument/2006/relationships/chart" Target="../charts/chart11.xml"/><Relationship Id="rId3" Type="http://schemas.openxmlformats.org/officeDocument/2006/relationships/chart" Target="../charts/chart2.xml"/><Relationship Id="rId7" Type="http://schemas.openxmlformats.org/officeDocument/2006/relationships/chart" Target="../charts/chart5.xml"/><Relationship Id="rId12" Type="http://schemas.openxmlformats.org/officeDocument/2006/relationships/chart" Target="../charts/chart10.xml"/><Relationship Id="rId17" Type="http://schemas.openxmlformats.org/officeDocument/2006/relationships/chart" Target="../charts/chart15.xml"/><Relationship Id="rId2" Type="http://schemas.openxmlformats.org/officeDocument/2006/relationships/chart" Target="../charts/chart1.xml"/><Relationship Id="rId16" Type="http://schemas.openxmlformats.org/officeDocument/2006/relationships/chart" Target="../charts/chart14.xml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11" Type="http://schemas.openxmlformats.org/officeDocument/2006/relationships/chart" Target="../charts/chart9.xml"/><Relationship Id="rId5" Type="http://schemas.openxmlformats.org/officeDocument/2006/relationships/chart" Target="../charts/chart3.xml"/><Relationship Id="rId15" Type="http://schemas.openxmlformats.org/officeDocument/2006/relationships/chart" Target="../charts/chart13.xml"/><Relationship Id="rId10" Type="http://schemas.openxmlformats.org/officeDocument/2006/relationships/chart" Target="../charts/chart8.xml"/><Relationship Id="rId4" Type="http://schemas.openxmlformats.org/officeDocument/2006/relationships/image" Target="../media/image2.png"/><Relationship Id="rId9" Type="http://schemas.openxmlformats.org/officeDocument/2006/relationships/chart" Target="../charts/chart7.xml"/><Relationship Id="rId14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3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3.gi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120</xdr:row>
      <xdr:rowOff>85725</xdr:rowOff>
    </xdr:from>
    <xdr:to>
      <xdr:col>13</xdr:col>
      <xdr:colOff>476414</xdr:colOff>
      <xdr:row>147</xdr:row>
      <xdr:rowOff>20633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" y="11896725"/>
          <a:ext cx="10687214" cy="5078408"/>
        </a:xfrm>
        <a:prstGeom prst="rect">
          <a:avLst/>
        </a:prstGeom>
      </xdr:spPr>
    </xdr:pic>
    <xdr:clientData/>
  </xdr:twoCellAnchor>
  <xdr:twoCellAnchor>
    <xdr:from>
      <xdr:col>3</xdr:col>
      <xdr:colOff>1000126</xdr:colOff>
      <xdr:row>11</xdr:row>
      <xdr:rowOff>0</xdr:rowOff>
    </xdr:from>
    <xdr:to>
      <xdr:col>18</xdr:col>
      <xdr:colOff>171451</xdr:colOff>
      <xdr:row>34</xdr:row>
      <xdr:rowOff>104776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495300</xdr:colOff>
      <xdr:row>12</xdr:row>
      <xdr:rowOff>76200</xdr:rowOff>
    </xdr:from>
    <xdr:to>
      <xdr:col>7</xdr:col>
      <xdr:colOff>438150</xdr:colOff>
      <xdr:row>31</xdr:row>
      <xdr:rowOff>57149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762375" y="1981200"/>
          <a:ext cx="1771650" cy="3600449"/>
        </a:xfrm>
        <a:prstGeom prst="rect">
          <a:avLst/>
        </a:prstGeom>
        <a:solidFill>
          <a:schemeClr val="bg1">
            <a:lumMod val="75000"/>
            <a:alpha val="39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800"/>
            <a:t>First Compliance Period</a:t>
          </a:r>
        </a:p>
        <a:p>
          <a:pPr algn="ctr"/>
          <a:r>
            <a:rPr lang="en-CA" sz="800"/>
            <a:t>(2017-2020)</a:t>
          </a:r>
        </a:p>
      </xdr:txBody>
    </xdr:sp>
    <xdr:clientData/>
  </xdr:twoCellAnchor>
  <xdr:twoCellAnchor>
    <xdr:from>
      <xdr:col>17</xdr:col>
      <xdr:colOff>323850</xdr:colOff>
      <xdr:row>20</xdr:row>
      <xdr:rowOff>57151</xdr:rowOff>
    </xdr:from>
    <xdr:to>
      <xdr:col>17</xdr:col>
      <xdr:colOff>390525</xdr:colOff>
      <xdr:row>20</xdr:row>
      <xdr:rowOff>133351</xdr:rowOff>
    </xdr:to>
    <xdr:sp macro="" textlink="">
      <xdr:nvSpPr>
        <xdr:cNvPr id="6" name="5-Point Star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/>
      </xdr:nvSpPr>
      <xdr:spPr>
        <a:xfrm>
          <a:off x="11515725" y="3486151"/>
          <a:ext cx="66675" cy="76200"/>
        </a:xfrm>
        <a:prstGeom prst="star5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800"/>
        </a:p>
      </xdr:txBody>
    </xdr:sp>
    <xdr:clientData/>
  </xdr:twoCellAnchor>
  <xdr:twoCellAnchor>
    <xdr:from>
      <xdr:col>7</xdr:col>
      <xdr:colOff>428625</xdr:colOff>
      <xdr:row>12</xdr:row>
      <xdr:rowOff>0</xdr:rowOff>
    </xdr:from>
    <xdr:to>
      <xdr:col>7</xdr:col>
      <xdr:colOff>438150</xdr:colOff>
      <xdr:row>31</xdr:row>
      <xdr:rowOff>76200</xdr:rowOff>
    </xdr:to>
    <xdr:cxnSp macro="">
      <xdr:nvCxnSpPr>
        <xdr:cNvPr id="11" name="Straight Arrow Connector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CxnSpPr/>
      </xdr:nvCxnSpPr>
      <xdr:spPr>
        <a:xfrm flipH="1" flipV="1">
          <a:off x="5524500" y="1905000"/>
          <a:ext cx="9525" cy="3695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</xdr:row>
      <xdr:rowOff>85725</xdr:rowOff>
    </xdr:from>
    <xdr:to>
      <xdr:col>4</xdr:col>
      <xdr:colOff>504825</xdr:colOff>
      <xdr:row>31</xdr:row>
      <xdr:rowOff>85726</xdr:rowOff>
    </xdr:to>
    <xdr:cxnSp macro="">
      <xdr:nvCxnSpPr>
        <xdr:cNvPr id="12" name="Straight Arrow Connector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CxnSpPr/>
      </xdr:nvCxnSpPr>
      <xdr:spPr>
        <a:xfrm flipV="1">
          <a:off x="3752850" y="1609725"/>
          <a:ext cx="19050" cy="400050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285595</xdr:colOff>
      <xdr:row>15</xdr:row>
      <xdr:rowOff>161099</xdr:rowOff>
    </xdr:from>
    <xdr:to>
      <xdr:col>7</xdr:col>
      <xdr:colOff>466149</xdr:colOff>
      <xdr:row>16</xdr:row>
      <xdr:rowOff>78196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 rot="401135">
          <a:off x="4771870" y="2828099"/>
          <a:ext cx="790154" cy="107597"/>
        </a:xfrm>
        <a:prstGeom prst="rect">
          <a:avLst/>
        </a:prstGeom>
        <a:solidFill>
          <a:schemeClr val="bg1">
            <a:lumMod val="85000"/>
            <a:alpha val="23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CA" sz="600"/>
            <a:t>Est. WCI Purchase</a:t>
          </a:r>
        </a:p>
      </xdr:txBody>
    </xdr:sp>
    <xdr:clientData/>
  </xdr:twoCellAnchor>
  <xdr:twoCellAnchor>
    <xdr:from>
      <xdr:col>10</xdr:col>
      <xdr:colOff>542925</xdr:colOff>
      <xdr:row>12</xdr:row>
      <xdr:rowOff>95250</xdr:rowOff>
    </xdr:from>
    <xdr:to>
      <xdr:col>15</xdr:col>
      <xdr:colOff>171450</xdr:colOff>
      <xdr:row>14</xdr:row>
      <xdr:rowOff>104775</xdr:rowOff>
    </xdr:to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7467600" y="2000250"/>
          <a:ext cx="2676525" cy="3905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800" b="1"/>
            <a:t>Future</a:t>
          </a:r>
          <a:r>
            <a:rPr lang="en-CA" sz="800" b="1" baseline="0"/>
            <a:t> Compliance Period</a:t>
          </a:r>
        </a:p>
        <a:p>
          <a:pPr algn="ctr"/>
          <a:r>
            <a:rPr lang="en-CA" sz="800" b="1" baseline="0"/>
            <a:t>(2021-2030)</a:t>
          </a:r>
          <a:endParaRPr lang="en-CA" sz="800" b="1"/>
        </a:p>
      </xdr:txBody>
    </xdr:sp>
    <xdr:clientData/>
  </xdr:twoCellAnchor>
  <xdr:twoCellAnchor>
    <xdr:from>
      <xdr:col>7</xdr:col>
      <xdr:colOff>390525</xdr:colOff>
      <xdr:row>16</xdr:row>
      <xdr:rowOff>76200</xdr:rowOff>
    </xdr:from>
    <xdr:to>
      <xdr:col>7</xdr:col>
      <xdr:colOff>457200</xdr:colOff>
      <xdr:row>16</xdr:row>
      <xdr:rowOff>152400</xdr:rowOff>
    </xdr:to>
    <xdr:sp macro="" textlink="">
      <xdr:nvSpPr>
        <xdr:cNvPr id="16" name="5-Point Star 15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/>
      </xdr:nvSpPr>
      <xdr:spPr>
        <a:xfrm>
          <a:off x="5486400" y="2743200"/>
          <a:ext cx="66675" cy="76200"/>
        </a:xfrm>
        <a:prstGeom prst="star5">
          <a:avLst/>
        </a:prstGeom>
        <a:solidFill>
          <a:srgbClr val="BD031E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800"/>
        </a:p>
      </xdr:txBody>
    </xdr:sp>
    <xdr:clientData/>
  </xdr:twoCellAnchor>
  <xdr:twoCellAnchor>
    <xdr:from>
      <xdr:col>17</xdr:col>
      <xdr:colOff>381000</xdr:colOff>
      <xdr:row>20</xdr:row>
      <xdr:rowOff>85725</xdr:rowOff>
    </xdr:from>
    <xdr:to>
      <xdr:col>19</xdr:col>
      <xdr:colOff>466725</xdr:colOff>
      <xdr:row>23</xdr:row>
      <xdr:rowOff>114300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1572875" y="3514725"/>
          <a:ext cx="1304925" cy="60007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466725</xdr:colOff>
      <xdr:row>22</xdr:row>
      <xdr:rowOff>104775</xdr:rowOff>
    </xdr:from>
    <xdr:to>
      <xdr:col>22</xdr:col>
      <xdr:colOff>352425</xdr:colOff>
      <xdr:row>24</xdr:row>
      <xdr:rowOff>161925</xdr:rowOff>
    </xdr:to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2877800" y="3914775"/>
          <a:ext cx="1714500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rgbClr val="C00000"/>
              </a:solidFill>
            </a:rPr>
            <a:t>2030 Ontario Economy Wide target = 114 Mt</a:t>
          </a:r>
        </a:p>
      </xdr:txBody>
    </xdr:sp>
    <xdr:clientData/>
  </xdr:twoCellAnchor>
  <xdr:twoCellAnchor>
    <xdr:from>
      <xdr:col>17</xdr:col>
      <xdr:colOff>400050</xdr:colOff>
      <xdr:row>15</xdr:row>
      <xdr:rowOff>152400</xdr:rowOff>
    </xdr:from>
    <xdr:to>
      <xdr:col>17</xdr:col>
      <xdr:colOff>485775</xdr:colOff>
      <xdr:row>20</xdr:row>
      <xdr:rowOff>123824</xdr:rowOff>
    </xdr:to>
    <xdr:sp macro="" textlink="">
      <xdr:nvSpPr>
        <xdr:cNvPr id="21" name="Right Brace 20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/>
      </xdr:nvSpPr>
      <xdr:spPr>
        <a:xfrm>
          <a:off x="11591925" y="2628900"/>
          <a:ext cx="85725" cy="923924"/>
        </a:xfrm>
        <a:prstGeom prst="rightBrace">
          <a:avLst/>
        </a:prstGeom>
        <a:ln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18</xdr:col>
      <xdr:colOff>9525</xdr:colOff>
      <xdr:row>18</xdr:row>
      <xdr:rowOff>9525</xdr:rowOff>
    </xdr:from>
    <xdr:to>
      <xdr:col>19</xdr:col>
      <xdr:colOff>390525</xdr:colOff>
      <xdr:row>18</xdr:row>
      <xdr:rowOff>180975</xdr:rowOff>
    </xdr:to>
    <xdr:cxnSp macro="">
      <xdr:nvCxnSpPr>
        <xdr:cNvPr id="23" name="Straight Connector 22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CxnSpPr/>
      </xdr:nvCxnSpPr>
      <xdr:spPr>
        <a:xfrm>
          <a:off x="11811000" y="3057525"/>
          <a:ext cx="990600" cy="171450"/>
        </a:xfrm>
        <a:prstGeom prst="line">
          <a:avLst/>
        </a:prstGeom>
        <a:ln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381000</xdr:colOff>
      <xdr:row>18</xdr:row>
      <xdr:rowOff>47625</xdr:rowOff>
    </xdr:from>
    <xdr:to>
      <xdr:col>22</xdr:col>
      <xdr:colOff>266700</xdr:colOff>
      <xdr:row>20</xdr:row>
      <xdr:rowOff>104775</xdr:rowOff>
    </xdr:to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2792075" y="3095625"/>
          <a:ext cx="1714500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chemeClr val="tx2"/>
              </a:solidFill>
            </a:rPr>
            <a:t>Compliance from covered sectors = 49.6 Mt in 2030</a:t>
          </a:r>
        </a:p>
      </xdr:txBody>
    </xdr:sp>
    <xdr:clientData/>
  </xdr:twoCellAnchor>
  <xdr:twoCellAnchor>
    <xdr:from>
      <xdr:col>15</xdr:col>
      <xdr:colOff>19050</xdr:colOff>
      <xdr:row>23</xdr:row>
      <xdr:rowOff>180975</xdr:rowOff>
    </xdr:from>
    <xdr:to>
      <xdr:col>16</xdr:col>
      <xdr:colOff>228600</xdr:colOff>
      <xdr:row>25</xdr:row>
      <xdr:rowOff>57150</xdr:rowOff>
    </xdr:to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9991725" y="4181475"/>
          <a:ext cx="819150" cy="2571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solidFill>
                <a:schemeClr val="tx2"/>
              </a:solidFill>
            </a:rPr>
            <a:t>Covered</a:t>
          </a:r>
        </a:p>
      </xdr:txBody>
    </xdr:sp>
    <xdr:clientData/>
  </xdr:twoCellAnchor>
  <xdr:twoCellAnchor>
    <xdr:from>
      <xdr:col>15</xdr:col>
      <xdr:colOff>9525</xdr:colOff>
      <xdr:row>29</xdr:row>
      <xdr:rowOff>9525</xdr:rowOff>
    </xdr:from>
    <xdr:to>
      <xdr:col>16</xdr:col>
      <xdr:colOff>219075</xdr:colOff>
      <xdr:row>30</xdr:row>
      <xdr:rowOff>76200</xdr:rowOff>
    </xdr:to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9982200" y="5153025"/>
          <a:ext cx="819150" cy="2571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solidFill>
                <a:schemeClr val="tx2"/>
              </a:solidFill>
            </a:rPr>
            <a:t>Uncovered</a:t>
          </a:r>
        </a:p>
      </xdr:txBody>
    </xdr:sp>
    <xdr:clientData/>
  </xdr:twoCellAnchor>
  <xdr:twoCellAnchor>
    <xdr:from>
      <xdr:col>17</xdr:col>
      <xdr:colOff>400050</xdr:colOff>
      <xdr:row>20</xdr:row>
      <xdr:rowOff>142875</xdr:rowOff>
    </xdr:from>
    <xdr:to>
      <xdr:col>17</xdr:col>
      <xdr:colOff>561975</xdr:colOff>
      <xdr:row>28</xdr:row>
      <xdr:rowOff>47625</xdr:rowOff>
    </xdr:to>
    <xdr:sp macro="" textlink="">
      <xdr:nvSpPr>
        <xdr:cNvPr id="29" name="Right Brace 28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/>
      </xdr:nvSpPr>
      <xdr:spPr>
        <a:xfrm>
          <a:off x="11591925" y="3571875"/>
          <a:ext cx="161925" cy="1428750"/>
        </a:xfrm>
        <a:prstGeom prst="rightBrace">
          <a:avLst/>
        </a:prstGeom>
        <a:ln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18</xdr:col>
      <xdr:colOff>419100</xdr:colOff>
      <xdr:row>25</xdr:row>
      <xdr:rowOff>114300</xdr:rowOff>
    </xdr:from>
    <xdr:to>
      <xdr:col>21</xdr:col>
      <xdr:colOff>304800</xdr:colOff>
      <xdr:row>27</xdr:row>
      <xdr:rowOff>171450</xdr:rowOff>
    </xdr:to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12220575" y="4495800"/>
          <a:ext cx="1714500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chemeClr val="tx2"/>
              </a:solidFill>
            </a:rPr>
            <a:t>Remaining Covered GHGs ~ 87.7 Mt</a:t>
          </a:r>
          <a:r>
            <a:rPr lang="en-CA" sz="1100" baseline="0">
              <a:solidFill>
                <a:schemeClr val="tx2"/>
              </a:solidFill>
            </a:rPr>
            <a:t> in 2030</a:t>
          </a:r>
          <a:endParaRPr lang="en-CA" sz="1100">
            <a:solidFill>
              <a:schemeClr val="tx2"/>
            </a:solidFill>
          </a:endParaRPr>
        </a:p>
      </xdr:txBody>
    </xdr:sp>
    <xdr:clientData/>
  </xdr:twoCellAnchor>
  <xdr:twoCellAnchor>
    <xdr:from>
      <xdr:col>17</xdr:col>
      <xdr:colOff>590550</xdr:colOff>
      <xdr:row>24</xdr:row>
      <xdr:rowOff>104775</xdr:rowOff>
    </xdr:from>
    <xdr:to>
      <xdr:col>18</xdr:col>
      <xdr:colOff>504825</xdr:colOff>
      <xdr:row>26</xdr:row>
      <xdr:rowOff>38100</xdr:rowOff>
    </xdr:to>
    <xdr:cxnSp macro="">
      <xdr:nvCxnSpPr>
        <xdr:cNvPr id="32" name="Straight Connector 31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CxnSpPr/>
      </xdr:nvCxnSpPr>
      <xdr:spPr>
        <a:xfrm>
          <a:off x="11782425" y="4295775"/>
          <a:ext cx="523875" cy="314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409575</xdr:colOff>
      <xdr:row>28</xdr:row>
      <xdr:rowOff>57150</xdr:rowOff>
    </xdr:from>
    <xdr:to>
      <xdr:col>17</xdr:col>
      <xdr:colOff>581025</xdr:colOff>
      <xdr:row>31</xdr:row>
      <xdr:rowOff>95250</xdr:rowOff>
    </xdr:to>
    <xdr:sp macro="" textlink="">
      <xdr:nvSpPr>
        <xdr:cNvPr id="36" name="Right Brace 35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/>
      </xdr:nvSpPr>
      <xdr:spPr>
        <a:xfrm>
          <a:off x="11601450" y="5010150"/>
          <a:ext cx="171450" cy="609600"/>
        </a:xfrm>
        <a:prstGeom prst="rightBrace">
          <a:avLst/>
        </a:prstGeom>
        <a:ln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18</xdr:col>
      <xdr:colOff>133350</xdr:colOff>
      <xdr:row>29</xdr:row>
      <xdr:rowOff>57150</xdr:rowOff>
    </xdr:from>
    <xdr:to>
      <xdr:col>20</xdr:col>
      <xdr:colOff>161925</xdr:colOff>
      <xdr:row>31</xdr:row>
      <xdr:rowOff>114300</xdr:rowOff>
    </xdr:to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11934825" y="5200650"/>
          <a:ext cx="1247775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chemeClr val="tx2"/>
              </a:solidFill>
            </a:rPr>
            <a:t>Uncovered</a:t>
          </a:r>
          <a:r>
            <a:rPr lang="en-CA" sz="1100" baseline="0">
              <a:solidFill>
                <a:schemeClr val="tx2"/>
              </a:solidFill>
            </a:rPr>
            <a:t> </a:t>
          </a:r>
          <a:r>
            <a:rPr lang="en-CA" sz="1100">
              <a:solidFill>
                <a:schemeClr val="tx2"/>
              </a:solidFill>
            </a:rPr>
            <a:t>GHGs</a:t>
          </a:r>
        </a:p>
        <a:p>
          <a:r>
            <a:rPr lang="en-CA" sz="1100">
              <a:solidFill>
                <a:schemeClr val="tx2"/>
              </a:solidFill>
            </a:rPr>
            <a:t> ~ 26 Mt</a:t>
          </a:r>
          <a:r>
            <a:rPr lang="en-CA" sz="1100" baseline="0">
              <a:solidFill>
                <a:schemeClr val="tx2"/>
              </a:solidFill>
            </a:rPr>
            <a:t> in 2030</a:t>
          </a:r>
          <a:endParaRPr lang="en-CA" sz="1100">
            <a:solidFill>
              <a:schemeClr val="tx2"/>
            </a:solidFill>
          </a:endParaRPr>
        </a:p>
      </xdr:txBody>
    </xdr:sp>
    <xdr:clientData/>
  </xdr:twoCellAnchor>
  <xdr:twoCellAnchor>
    <xdr:from>
      <xdr:col>7</xdr:col>
      <xdr:colOff>333375</xdr:colOff>
      <xdr:row>15</xdr:row>
      <xdr:rowOff>171450</xdr:rowOff>
    </xdr:from>
    <xdr:to>
      <xdr:col>7</xdr:col>
      <xdr:colOff>447675</xdr:colOff>
      <xdr:row>16</xdr:row>
      <xdr:rowOff>104775</xdr:rowOff>
    </xdr:to>
    <xdr:sp macro="" textlink="">
      <xdr:nvSpPr>
        <xdr:cNvPr id="42" name="Left Brace 41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/>
      </xdr:nvSpPr>
      <xdr:spPr>
        <a:xfrm>
          <a:off x="5429250" y="2838450"/>
          <a:ext cx="114300" cy="12382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7</xdr:col>
      <xdr:colOff>247650</xdr:colOff>
      <xdr:row>16</xdr:row>
      <xdr:rowOff>123825</xdr:rowOff>
    </xdr:from>
    <xdr:to>
      <xdr:col>7</xdr:col>
      <xdr:colOff>438150</xdr:colOff>
      <xdr:row>28</xdr:row>
      <xdr:rowOff>104775</xdr:rowOff>
    </xdr:to>
    <xdr:sp macro="" textlink="">
      <xdr:nvSpPr>
        <xdr:cNvPr id="43" name="Left Brace 42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/>
      </xdr:nvSpPr>
      <xdr:spPr>
        <a:xfrm>
          <a:off x="5343525" y="2790825"/>
          <a:ext cx="190500" cy="226695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7</xdr:col>
      <xdr:colOff>257175</xdr:colOff>
      <xdr:row>28</xdr:row>
      <xdr:rowOff>133350</xdr:rowOff>
    </xdr:from>
    <xdr:to>
      <xdr:col>7</xdr:col>
      <xdr:colOff>419100</xdr:colOff>
      <xdr:row>31</xdr:row>
      <xdr:rowOff>47625</xdr:rowOff>
    </xdr:to>
    <xdr:sp macro="" textlink="">
      <xdr:nvSpPr>
        <xdr:cNvPr id="44" name="Left Brace 43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/>
      </xdr:nvSpPr>
      <xdr:spPr>
        <a:xfrm>
          <a:off x="5353050" y="5086350"/>
          <a:ext cx="161925" cy="48577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5</xdr:col>
      <xdr:colOff>266700</xdr:colOff>
      <xdr:row>21</xdr:row>
      <xdr:rowOff>152400</xdr:rowOff>
    </xdr:from>
    <xdr:to>
      <xdr:col>7</xdr:col>
      <xdr:colOff>228600</xdr:colOff>
      <xdr:row>24</xdr:row>
      <xdr:rowOff>19050</xdr:rowOff>
    </xdr:to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4143375" y="3771900"/>
          <a:ext cx="1181100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chemeClr val="tx2"/>
              </a:solidFill>
            </a:rPr>
            <a:t>Covered GHGs </a:t>
          </a:r>
        </a:p>
        <a:p>
          <a:r>
            <a:rPr lang="en-CA" sz="1100">
              <a:solidFill>
                <a:schemeClr val="tx2"/>
              </a:solidFill>
            </a:rPr>
            <a:t>~ 124 Mt</a:t>
          </a:r>
          <a:r>
            <a:rPr lang="en-CA" sz="1100" baseline="0">
              <a:solidFill>
                <a:schemeClr val="tx2"/>
              </a:solidFill>
            </a:rPr>
            <a:t> in 2020</a:t>
          </a:r>
          <a:endParaRPr lang="en-CA" sz="1100">
            <a:solidFill>
              <a:schemeClr val="tx2"/>
            </a:solidFill>
          </a:endParaRPr>
        </a:p>
      </xdr:txBody>
    </xdr:sp>
    <xdr:clientData/>
  </xdr:twoCellAnchor>
  <xdr:twoCellAnchor>
    <xdr:from>
      <xdr:col>5</xdr:col>
      <xdr:colOff>257175</xdr:colOff>
      <xdr:row>28</xdr:row>
      <xdr:rowOff>152400</xdr:rowOff>
    </xdr:from>
    <xdr:to>
      <xdr:col>7</xdr:col>
      <xdr:colOff>285750</xdr:colOff>
      <xdr:row>31</xdr:row>
      <xdr:rowOff>19050</xdr:rowOff>
    </xdr:to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4133850" y="5105400"/>
          <a:ext cx="1247775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chemeClr val="tx2"/>
              </a:solidFill>
            </a:rPr>
            <a:t>Uncovered</a:t>
          </a:r>
          <a:r>
            <a:rPr lang="en-CA" sz="1100" baseline="0">
              <a:solidFill>
                <a:schemeClr val="tx2"/>
              </a:solidFill>
            </a:rPr>
            <a:t> </a:t>
          </a:r>
          <a:r>
            <a:rPr lang="en-CA" sz="1100">
              <a:solidFill>
                <a:schemeClr val="tx2"/>
              </a:solidFill>
            </a:rPr>
            <a:t>GHGs</a:t>
          </a:r>
        </a:p>
        <a:p>
          <a:r>
            <a:rPr lang="en-CA" sz="1100">
              <a:solidFill>
                <a:schemeClr val="tx2"/>
              </a:solidFill>
            </a:rPr>
            <a:t> ~ 31 Mt</a:t>
          </a:r>
          <a:r>
            <a:rPr lang="en-CA" sz="1100" baseline="0">
              <a:solidFill>
                <a:schemeClr val="tx2"/>
              </a:solidFill>
            </a:rPr>
            <a:t> in 2020</a:t>
          </a:r>
          <a:endParaRPr lang="en-CA" sz="1100">
            <a:solidFill>
              <a:schemeClr val="tx2"/>
            </a:solidFill>
          </a:endParaRPr>
        </a:p>
      </xdr:txBody>
    </xdr:sp>
    <xdr:clientData/>
  </xdr:twoCellAnchor>
  <xdr:twoCellAnchor>
    <xdr:from>
      <xdr:col>16</xdr:col>
      <xdr:colOff>400050</xdr:colOff>
      <xdr:row>14</xdr:row>
      <xdr:rowOff>38100</xdr:rowOff>
    </xdr:from>
    <xdr:to>
      <xdr:col>19</xdr:col>
      <xdr:colOff>190500</xdr:colOff>
      <xdr:row>15</xdr:row>
      <xdr:rowOff>95250</xdr:rowOff>
    </xdr:to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10982325" y="2514600"/>
          <a:ext cx="1619250" cy="2476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solidFill>
                <a:schemeClr val="tx2"/>
              </a:solidFill>
            </a:rPr>
            <a:t>163.7 Mt GHG Forecast</a:t>
          </a:r>
        </a:p>
      </xdr:txBody>
    </xdr:sp>
    <xdr:clientData/>
  </xdr:twoCellAnchor>
  <xdr:twoCellAnchor>
    <xdr:from>
      <xdr:col>7</xdr:col>
      <xdr:colOff>266700</xdr:colOff>
      <xdr:row>14</xdr:row>
      <xdr:rowOff>114300</xdr:rowOff>
    </xdr:from>
    <xdr:to>
      <xdr:col>8</xdr:col>
      <xdr:colOff>390525</xdr:colOff>
      <xdr:row>15</xdr:row>
      <xdr:rowOff>171450</xdr:rowOff>
    </xdr:to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5362575" y="2590800"/>
          <a:ext cx="733425" cy="2476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solidFill>
                <a:schemeClr val="tx2"/>
              </a:solidFill>
            </a:rPr>
            <a:t>163.4 Mt</a:t>
          </a:r>
        </a:p>
      </xdr:txBody>
    </xdr:sp>
    <xdr:clientData/>
  </xdr:twoCellAnchor>
  <xdr:twoCellAnchor>
    <xdr:from>
      <xdr:col>3</xdr:col>
      <xdr:colOff>1362074</xdr:colOff>
      <xdr:row>9</xdr:row>
      <xdr:rowOff>19050</xdr:rowOff>
    </xdr:from>
    <xdr:to>
      <xdr:col>6</xdr:col>
      <xdr:colOff>295274</xdr:colOff>
      <xdr:row>10</xdr:row>
      <xdr:rowOff>95250</xdr:rowOff>
    </xdr:to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3190874" y="1352550"/>
          <a:ext cx="1590675" cy="2667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000" b="1">
              <a:solidFill>
                <a:schemeClr val="tx1">
                  <a:lumMod val="50000"/>
                  <a:lumOff val="50000"/>
                </a:schemeClr>
              </a:solidFill>
            </a:rPr>
            <a:t>Start of Ontario's Program</a:t>
          </a:r>
        </a:p>
      </xdr:txBody>
    </xdr:sp>
    <xdr:clientData/>
  </xdr:twoCellAnchor>
  <xdr:twoCellAnchor>
    <xdr:from>
      <xdr:col>7</xdr:col>
      <xdr:colOff>9525</xdr:colOff>
      <xdr:row>10</xdr:row>
      <xdr:rowOff>114300</xdr:rowOff>
    </xdr:from>
    <xdr:to>
      <xdr:col>9</xdr:col>
      <xdr:colOff>38100</xdr:colOff>
      <xdr:row>12</xdr:row>
      <xdr:rowOff>0</xdr:rowOff>
    </xdr:to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5105400" y="1638300"/>
          <a:ext cx="1247775" cy="2667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000">
              <a:solidFill>
                <a:schemeClr val="tx2"/>
              </a:solidFill>
            </a:rPr>
            <a:t>Program</a:t>
          </a:r>
          <a:r>
            <a:rPr lang="en-CA" sz="1000" baseline="0">
              <a:solidFill>
                <a:schemeClr val="tx2"/>
              </a:solidFill>
            </a:rPr>
            <a:t> extends</a:t>
          </a:r>
          <a:endParaRPr lang="en-CA" sz="1000">
            <a:solidFill>
              <a:schemeClr val="tx2"/>
            </a:solidFill>
          </a:endParaRPr>
        </a:p>
      </xdr:txBody>
    </xdr:sp>
    <xdr:clientData/>
  </xdr:twoCellAnchor>
  <xdr:twoCellAnchor>
    <xdr:from>
      <xdr:col>5</xdr:col>
      <xdr:colOff>485775</xdr:colOff>
      <xdr:row>11</xdr:row>
      <xdr:rowOff>85725</xdr:rowOff>
    </xdr:from>
    <xdr:to>
      <xdr:col>5</xdr:col>
      <xdr:colOff>495301</xdr:colOff>
      <xdr:row>31</xdr:row>
      <xdr:rowOff>76201</xdr:rowOff>
    </xdr:to>
    <xdr:cxnSp macro="">
      <xdr:nvCxnSpPr>
        <xdr:cNvPr id="35" name="Straight Arrow Connector 34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CxnSpPr/>
      </xdr:nvCxnSpPr>
      <xdr:spPr>
        <a:xfrm flipH="1" flipV="1">
          <a:off x="4362450" y="1800225"/>
          <a:ext cx="9526" cy="3800476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142876</xdr:colOff>
      <xdr:row>10</xdr:row>
      <xdr:rowOff>38099</xdr:rowOff>
    </xdr:from>
    <xdr:to>
      <xdr:col>6</xdr:col>
      <xdr:colOff>561976</xdr:colOff>
      <xdr:row>11</xdr:row>
      <xdr:rowOff>104774</xdr:rowOff>
    </xdr:to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4019551" y="1562099"/>
          <a:ext cx="1028700" cy="2571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000" b="1">
              <a:solidFill>
                <a:schemeClr val="tx2"/>
              </a:solidFill>
            </a:rPr>
            <a:t>Linking to WCI</a:t>
          </a:r>
        </a:p>
      </xdr:txBody>
    </xdr:sp>
    <xdr:clientData/>
  </xdr:twoCellAnchor>
  <xdr:twoCellAnchor>
    <xdr:from>
      <xdr:col>5</xdr:col>
      <xdr:colOff>571501</xdr:colOff>
      <xdr:row>37</xdr:row>
      <xdr:rowOff>123825</xdr:rowOff>
    </xdr:from>
    <xdr:to>
      <xdr:col>14</xdr:col>
      <xdr:colOff>104775</xdr:colOff>
      <xdr:row>56</xdr:row>
      <xdr:rowOff>57151</xdr:rowOff>
    </xdr:to>
    <xdr:graphicFrame macro="">
      <xdr:nvGraphicFramePr>
        <xdr:cNvPr id="39" name="Chart 38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0</xdr:colOff>
      <xdr:row>150</xdr:row>
      <xdr:rowOff>0</xdr:rowOff>
    </xdr:from>
    <xdr:to>
      <xdr:col>8</xdr:col>
      <xdr:colOff>352580</xdr:colOff>
      <xdr:row>163</xdr:row>
      <xdr:rowOff>138911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800" y="17526000"/>
          <a:ext cx="6181880" cy="261541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175</xdr:row>
      <xdr:rowOff>0</xdr:rowOff>
    </xdr:from>
    <xdr:to>
      <xdr:col>14</xdr:col>
      <xdr:colOff>209550</xdr:colOff>
      <xdr:row>193</xdr:row>
      <xdr:rowOff>123826</xdr:rowOff>
    </xdr:to>
    <xdr:graphicFrame macro="">
      <xdr:nvGraphicFramePr>
        <xdr:cNvPr id="50" name="Chart 49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533400</xdr:colOff>
      <xdr:row>181</xdr:row>
      <xdr:rowOff>95250</xdr:rowOff>
    </xdr:from>
    <xdr:to>
      <xdr:col>8</xdr:col>
      <xdr:colOff>142875</xdr:colOff>
      <xdr:row>183</xdr:row>
      <xdr:rowOff>9525</xdr:rowOff>
    </xdr:to>
    <xdr:cxnSp macro="">
      <xdr:nvCxnSpPr>
        <xdr:cNvPr id="9" name="Straight Connector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6362700" y="23717250"/>
          <a:ext cx="1438275" cy="295275"/>
        </a:xfrm>
        <a:prstGeom prst="line">
          <a:avLst/>
        </a:prstGeom>
        <a:ln w="1905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177</xdr:row>
      <xdr:rowOff>47625</xdr:rowOff>
    </xdr:from>
    <xdr:to>
      <xdr:col>8</xdr:col>
      <xdr:colOff>180975</xdr:colOff>
      <xdr:row>192</xdr:row>
      <xdr:rowOff>28576</xdr:rowOff>
    </xdr:to>
    <xdr:cxnSp macro="">
      <xdr:nvCxnSpPr>
        <xdr:cNvPr id="14" name="Straight Connector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CxnSpPr/>
      </xdr:nvCxnSpPr>
      <xdr:spPr>
        <a:xfrm flipV="1">
          <a:off x="7810500" y="22907625"/>
          <a:ext cx="28575" cy="2838451"/>
        </a:xfrm>
        <a:prstGeom prst="line">
          <a:avLst/>
        </a:prstGeom>
        <a:ln>
          <a:solidFill>
            <a:schemeClr val="tx2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609600</xdr:colOff>
      <xdr:row>179</xdr:row>
      <xdr:rowOff>180976</xdr:rowOff>
    </xdr:from>
    <xdr:to>
      <xdr:col>14</xdr:col>
      <xdr:colOff>200025</xdr:colOff>
      <xdr:row>181</xdr:row>
      <xdr:rowOff>47626</xdr:rowOff>
    </xdr:to>
    <xdr:sp macro="" textlink="">
      <xdr:nvSpPr>
        <xdr:cNvPr id="51" name="TextBox 50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10782300" y="23421976"/>
          <a:ext cx="2105025" cy="2476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>
              <a:solidFill>
                <a:schemeClr val="tx1">
                  <a:lumMod val="50000"/>
                  <a:lumOff val="50000"/>
                </a:schemeClr>
              </a:solidFill>
            </a:rPr>
            <a:t>Uncovered Emissions</a:t>
          </a:r>
        </a:p>
      </xdr:txBody>
    </xdr:sp>
    <xdr:clientData/>
  </xdr:twoCellAnchor>
  <xdr:twoCellAnchor>
    <xdr:from>
      <xdr:col>12</xdr:col>
      <xdr:colOff>104775</xdr:colOff>
      <xdr:row>188</xdr:row>
      <xdr:rowOff>114300</xdr:rowOff>
    </xdr:from>
    <xdr:to>
      <xdr:col>13</xdr:col>
      <xdr:colOff>676275</xdr:colOff>
      <xdr:row>189</xdr:row>
      <xdr:rowOff>171450</xdr:rowOff>
    </xdr:to>
    <xdr:sp macro="" textlink="">
      <xdr:nvSpPr>
        <xdr:cNvPr id="52" name="TextBox 51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11115675" y="25069800"/>
          <a:ext cx="1409700" cy="2476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>
              <a:solidFill>
                <a:schemeClr val="tx2"/>
              </a:solidFill>
            </a:rPr>
            <a:t>Covered Emissions</a:t>
          </a:r>
        </a:p>
      </xdr:txBody>
    </xdr:sp>
    <xdr:clientData/>
  </xdr:twoCellAnchor>
  <xdr:twoCellAnchor>
    <xdr:from>
      <xdr:col>8</xdr:col>
      <xdr:colOff>180975</xdr:colOff>
      <xdr:row>183</xdr:row>
      <xdr:rowOff>19050</xdr:rowOff>
    </xdr:from>
    <xdr:to>
      <xdr:col>13</xdr:col>
      <xdr:colOff>733425</xdr:colOff>
      <xdr:row>185</xdr:row>
      <xdr:rowOff>142875</xdr:rowOff>
    </xdr:to>
    <xdr:cxnSp macro="">
      <xdr:nvCxnSpPr>
        <xdr:cNvPr id="53" name="Straight Connector 52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CxnSpPr/>
      </xdr:nvCxnSpPr>
      <xdr:spPr>
        <a:xfrm>
          <a:off x="7839075" y="24022050"/>
          <a:ext cx="4743450" cy="504825"/>
        </a:xfrm>
        <a:prstGeom prst="line">
          <a:avLst/>
        </a:prstGeom>
        <a:ln w="19050">
          <a:solidFill>
            <a:srgbClr val="FFFF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314325</xdr:colOff>
      <xdr:row>178</xdr:row>
      <xdr:rowOff>19050</xdr:rowOff>
    </xdr:from>
    <xdr:to>
      <xdr:col>14</xdr:col>
      <xdr:colOff>0</xdr:colOff>
      <xdr:row>179</xdr:row>
      <xdr:rowOff>76200</xdr:rowOff>
    </xdr:to>
    <xdr:sp macro="" textlink="">
      <xdr:nvSpPr>
        <xdr:cNvPr id="55" name="TextBox 54"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11325225" y="23069550"/>
          <a:ext cx="1362075" cy="247650"/>
        </a:xfrm>
        <a:prstGeom prst="rect">
          <a:avLst/>
        </a:prstGeom>
        <a:solidFill>
          <a:schemeClr val="tx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000" b="1">
              <a:solidFill>
                <a:sysClr val="windowText" lastClr="000000"/>
              </a:solidFill>
            </a:rPr>
            <a:t>Total</a:t>
          </a:r>
          <a:r>
            <a:rPr lang="en-CA" sz="1000" b="1" baseline="0">
              <a:solidFill>
                <a:sysClr val="windowText" lastClr="000000"/>
              </a:solidFill>
            </a:rPr>
            <a:t> </a:t>
          </a:r>
          <a:r>
            <a:rPr lang="en-CA" sz="1000" b="1">
              <a:solidFill>
                <a:sysClr val="windowText" lastClr="000000"/>
              </a:solidFill>
            </a:rPr>
            <a:t>BAU</a:t>
          </a:r>
          <a:r>
            <a:rPr lang="en-CA" sz="1000" b="1" baseline="0">
              <a:solidFill>
                <a:sysClr val="windowText" lastClr="000000"/>
              </a:solidFill>
            </a:rPr>
            <a:t> Emissions</a:t>
          </a:r>
          <a:endParaRPr lang="en-CA" sz="1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8427</xdr:colOff>
      <xdr:row>184</xdr:row>
      <xdr:rowOff>64039</xdr:rowOff>
    </xdr:from>
    <xdr:to>
      <xdr:col>11</xdr:col>
      <xdr:colOff>783989</xdr:colOff>
      <xdr:row>187</xdr:row>
      <xdr:rowOff>8603</xdr:rowOff>
    </xdr:to>
    <xdr:sp macro="" textlink="">
      <xdr:nvSpPr>
        <xdr:cNvPr id="56" name="TextBox 55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 txBox="1"/>
      </xdr:nvSpPr>
      <xdr:spPr>
        <a:xfrm rot="287169">
          <a:off x="8504727" y="24257539"/>
          <a:ext cx="2451962" cy="51606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0">
              <a:solidFill>
                <a:srgbClr val="FFFF00"/>
              </a:solidFill>
            </a:rPr>
            <a:t>Proposed cap</a:t>
          </a:r>
          <a:r>
            <a:rPr lang="en-CA" sz="1000" b="0" baseline="0">
              <a:solidFill>
                <a:srgbClr val="FFFF00"/>
              </a:solidFill>
            </a:rPr>
            <a:t> declines at 2.9% annually during 2020-2030</a:t>
          </a:r>
          <a:endParaRPr lang="en-CA" sz="1000" b="0">
            <a:solidFill>
              <a:srgbClr val="FFFF00"/>
            </a:solidFill>
          </a:endParaRPr>
        </a:p>
      </xdr:txBody>
    </xdr:sp>
    <xdr:clientData/>
  </xdr:twoCellAnchor>
  <xdr:twoCellAnchor>
    <xdr:from>
      <xdr:col>8</xdr:col>
      <xdr:colOff>171450</xdr:colOff>
      <xdr:row>180</xdr:row>
      <xdr:rowOff>76200</xdr:rowOff>
    </xdr:from>
    <xdr:to>
      <xdr:col>8</xdr:col>
      <xdr:colOff>217169</xdr:colOff>
      <xdr:row>180</xdr:row>
      <xdr:rowOff>133349</xdr:rowOff>
    </xdr:to>
    <xdr:sp macro="" textlink="">
      <xdr:nvSpPr>
        <xdr:cNvPr id="60" name="5-Point Star 59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/>
      </xdr:nvSpPr>
      <xdr:spPr>
        <a:xfrm>
          <a:off x="7829550" y="23507700"/>
          <a:ext cx="45719" cy="57149"/>
        </a:xfrm>
        <a:prstGeom prst="star5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800"/>
        </a:p>
      </xdr:txBody>
    </xdr:sp>
    <xdr:clientData/>
  </xdr:twoCellAnchor>
  <xdr:twoCellAnchor>
    <xdr:from>
      <xdr:col>13</xdr:col>
      <xdr:colOff>685800</xdr:colOff>
      <xdr:row>183</xdr:row>
      <xdr:rowOff>57150</xdr:rowOff>
    </xdr:from>
    <xdr:to>
      <xdr:col>13</xdr:col>
      <xdr:colOff>742950</xdr:colOff>
      <xdr:row>183</xdr:row>
      <xdr:rowOff>104775</xdr:rowOff>
    </xdr:to>
    <xdr:sp macro="" textlink="">
      <xdr:nvSpPr>
        <xdr:cNvPr id="79" name="Diamond 78"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/>
      </xdr:nvSpPr>
      <xdr:spPr>
        <a:xfrm>
          <a:off x="12534900" y="24060150"/>
          <a:ext cx="57150" cy="47625"/>
        </a:xfrm>
        <a:prstGeom prst="diamond">
          <a:avLst/>
        </a:prstGeom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3</xdr:col>
      <xdr:colOff>28574</xdr:colOff>
      <xdr:row>276</xdr:row>
      <xdr:rowOff>33336</xdr:rowOff>
    </xdr:from>
    <xdr:to>
      <xdr:col>9</xdr:col>
      <xdr:colOff>457200</xdr:colOff>
      <xdr:row>296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457200</xdr:colOff>
      <xdr:row>305</xdr:row>
      <xdr:rowOff>28575</xdr:rowOff>
    </xdr:from>
    <xdr:to>
      <xdr:col>24</xdr:col>
      <xdr:colOff>323850</xdr:colOff>
      <xdr:row>324</xdr:row>
      <xdr:rowOff>52388</xdr:rowOff>
    </xdr:to>
    <xdr:graphicFrame macro="">
      <xdr:nvGraphicFramePr>
        <xdr:cNvPr id="48" name="Chart 47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1876425</xdr:colOff>
      <xdr:row>279</xdr:row>
      <xdr:rowOff>95250</xdr:rowOff>
    </xdr:from>
    <xdr:to>
      <xdr:col>3</xdr:col>
      <xdr:colOff>3219450</xdr:colOff>
      <xdr:row>292</xdr:row>
      <xdr:rowOff>28575</xdr:rowOff>
    </xdr:to>
    <xdr:sp macro="" textlink="">
      <xdr:nvSpPr>
        <xdr:cNvPr id="59" name="TextBox 58"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3705225" y="32480250"/>
          <a:ext cx="1343025" cy="2409825"/>
        </a:xfrm>
        <a:prstGeom prst="rect">
          <a:avLst/>
        </a:prstGeom>
        <a:solidFill>
          <a:schemeClr val="bg1">
            <a:lumMod val="75000"/>
            <a:alpha val="39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800"/>
            <a:t>First Compliance Period</a:t>
          </a:r>
        </a:p>
        <a:p>
          <a:pPr algn="ctr"/>
          <a:r>
            <a:rPr lang="en-CA" sz="800"/>
            <a:t>(2017-2020)</a:t>
          </a:r>
        </a:p>
      </xdr:txBody>
    </xdr:sp>
    <xdr:clientData/>
  </xdr:twoCellAnchor>
  <xdr:twoCellAnchor>
    <xdr:from>
      <xdr:col>6</xdr:col>
      <xdr:colOff>0</xdr:colOff>
      <xdr:row>279</xdr:row>
      <xdr:rowOff>142875</xdr:rowOff>
    </xdr:from>
    <xdr:to>
      <xdr:col>8</xdr:col>
      <xdr:colOff>295275</xdr:colOff>
      <xdr:row>281</xdr:row>
      <xdr:rowOff>152400</xdr:rowOff>
    </xdr:to>
    <xdr:sp macro="" textlink="">
      <xdr:nvSpPr>
        <xdr:cNvPr id="61" name="TextBox 60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6438900" y="32527875"/>
          <a:ext cx="1514475" cy="3905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800" b="1"/>
            <a:t>Future</a:t>
          </a:r>
          <a:r>
            <a:rPr lang="en-CA" sz="800" b="1" baseline="0"/>
            <a:t> Compliance Period</a:t>
          </a:r>
        </a:p>
        <a:p>
          <a:pPr algn="ctr"/>
          <a:r>
            <a:rPr lang="en-CA" sz="800" b="1" baseline="0"/>
            <a:t>(2021-2030)</a:t>
          </a:r>
          <a:endParaRPr lang="en-CA" sz="800" b="1"/>
        </a:p>
      </xdr:txBody>
    </xdr:sp>
    <xdr:clientData/>
  </xdr:twoCellAnchor>
  <xdr:twoCellAnchor>
    <xdr:from>
      <xdr:col>3</xdr:col>
      <xdr:colOff>3209925</xdr:colOff>
      <xdr:row>279</xdr:row>
      <xdr:rowOff>95250</xdr:rowOff>
    </xdr:from>
    <xdr:to>
      <xdr:col>3</xdr:col>
      <xdr:colOff>3219450</xdr:colOff>
      <xdr:row>292</xdr:row>
      <xdr:rowOff>47627</xdr:rowOff>
    </xdr:to>
    <xdr:cxnSp macro="">
      <xdr:nvCxnSpPr>
        <xdr:cNvPr id="62" name="Straight Arrow Connector 61"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CxnSpPr/>
      </xdr:nvCxnSpPr>
      <xdr:spPr>
        <a:xfrm flipH="1" flipV="1">
          <a:off x="5038725" y="32480250"/>
          <a:ext cx="9525" cy="242887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1876425</xdr:colOff>
      <xdr:row>279</xdr:row>
      <xdr:rowOff>66675</xdr:rowOff>
    </xdr:from>
    <xdr:to>
      <xdr:col>3</xdr:col>
      <xdr:colOff>1895475</xdr:colOff>
      <xdr:row>292</xdr:row>
      <xdr:rowOff>76201</xdr:rowOff>
    </xdr:to>
    <xdr:cxnSp macro="">
      <xdr:nvCxnSpPr>
        <xdr:cNvPr id="63" name="Straight Arrow Connector 62"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CxnSpPr/>
      </xdr:nvCxnSpPr>
      <xdr:spPr>
        <a:xfrm flipV="1">
          <a:off x="3705225" y="32451675"/>
          <a:ext cx="19050" cy="248602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2457450</xdr:colOff>
      <xdr:row>282</xdr:row>
      <xdr:rowOff>95250</xdr:rowOff>
    </xdr:from>
    <xdr:to>
      <xdr:col>3</xdr:col>
      <xdr:colOff>2457451</xdr:colOff>
      <xdr:row>292</xdr:row>
      <xdr:rowOff>57150</xdr:rowOff>
    </xdr:to>
    <xdr:cxnSp macro="">
      <xdr:nvCxnSpPr>
        <xdr:cNvPr id="66" name="Straight Arrow Connector 65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CxnSpPr/>
      </xdr:nvCxnSpPr>
      <xdr:spPr>
        <a:xfrm flipV="1">
          <a:off x="4286250" y="33051750"/>
          <a:ext cx="1" cy="186690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2181227</xdr:colOff>
      <xdr:row>281</xdr:row>
      <xdr:rowOff>66674</xdr:rowOff>
    </xdr:from>
    <xdr:to>
      <xdr:col>3</xdr:col>
      <xdr:colOff>3019425</xdr:colOff>
      <xdr:row>282</xdr:row>
      <xdr:rowOff>133349</xdr:rowOff>
    </xdr:to>
    <xdr:sp macro="" textlink="">
      <xdr:nvSpPr>
        <xdr:cNvPr id="67" name="TextBox 66"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4010027" y="32832674"/>
          <a:ext cx="838198" cy="2571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800" b="1">
              <a:solidFill>
                <a:schemeClr val="tx2"/>
              </a:solidFill>
            </a:rPr>
            <a:t>Linking to WCI</a:t>
          </a:r>
        </a:p>
      </xdr:txBody>
    </xdr:sp>
    <xdr:clientData/>
  </xdr:twoCellAnchor>
  <xdr:twoCellAnchor>
    <xdr:from>
      <xdr:col>3</xdr:col>
      <xdr:colOff>3209926</xdr:colOff>
      <xdr:row>279</xdr:row>
      <xdr:rowOff>66675</xdr:rowOff>
    </xdr:from>
    <xdr:to>
      <xdr:col>5</xdr:col>
      <xdr:colOff>333376</xdr:colOff>
      <xdr:row>280</xdr:row>
      <xdr:rowOff>142875</xdr:rowOff>
    </xdr:to>
    <xdr:sp macro="" textlink="">
      <xdr:nvSpPr>
        <xdr:cNvPr id="69" name="TextBox 68"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5038726" y="32451675"/>
          <a:ext cx="1123950" cy="2667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000">
              <a:solidFill>
                <a:schemeClr val="tx2"/>
              </a:solidFill>
            </a:rPr>
            <a:t>Program</a:t>
          </a:r>
          <a:r>
            <a:rPr lang="en-CA" sz="1000" baseline="0">
              <a:solidFill>
                <a:schemeClr val="tx2"/>
              </a:solidFill>
            </a:rPr>
            <a:t> extends</a:t>
          </a:r>
          <a:endParaRPr lang="en-CA" sz="1000">
            <a:solidFill>
              <a:schemeClr val="tx2"/>
            </a:solidFill>
          </a:endParaRPr>
        </a:p>
      </xdr:txBody>
    </xdr:sp>
    <xdr:clientData/>
  </xdr:twoCellAnchor>
  <xdr:twoCellAnchor>
    <xdr:from>
      <xdr:col>12</xdr:col>
      <xdr:colOff>1876425</xdr:colOff>
      <xdr:row>279</xdr:row>
      <xdr:rowOff>95250</xdr:rowOff>
    </xdr:from>
    <xdr:to>
      <xdr:col>12</xdr:col>
      <xdr:colOff>3219450</xdr:colOff>
      <xdr:row>292</xdr:row>
      <xdr:rowOff>28575</xdr:rowOff>
    </xdr:to>
    <xdr:sp macro="" textlink="">
      <xdr:nvSpPr>
        <xdr:cNvPr id="71" name="TextBox 70"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05225" y="32480250"/>
          <a:ext cx="1343025" cy="2409825"/>
        </a:xfrm>
        <a:prstGeom prst="rect">
          <a:avLst/>
        </a:prstGeom>
        <a:solidFill>
          <a:schemeClr val="bg1">
            <a:lumMod val="75000"/>
            <a:alpha val="39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800"/>
            <a:t>First Compliance Period</a:t>
          </a:r>
        </a:p>
        <a:p>
          <a:pPr algn="ctr"/>
          <a:r>
            <a:rPr lang="en-CA" sz="800"/>
            <a:t>(2017-2020)</a:t>
          </a:r>
        </a:p>
      </xdr:txBody>
    </xdr:sp>
    <xdr:clientData/>
  </xdr:twoCellAnchor>
  <xdr:twoCellAnchor>
    <xdr:from>
      <xdr:col>18</xdr:col>
      <xdr:colOff>304800</xdr:colOff>
      <xdr:row>279</xdr:row>
      <xdr:rowOff>123825</xdr:rowOff>
    </xdr:from>
    <xdr:to>
      <xdr:col>21</xdr:col>
      <xdr:colOff>447675</xdr:colOff>
      <xdr:row>281</xdr:row>
      <xdr:rowOff>133350</xdr:rowOff>
    </xdr:to>
    <xdr:sp macro="" textlink="">
      <xdr:nvSpPr>
        <xdr:cNvPr id="72" name="TextBox 71"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16344900" y="32508825"/>
          <a:ext cx="1971675" cy="3905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800" b="1"/>
            <a:t>Future</a:t>
          </a:r>
          <a:r>
            <a:rPr lang="en-CA" sz="800" b="1" baseline="0"/>
            <a:t> Compliance Period</a:t>
          </a:r>
        </a:p>
        <a:p>
          <a:pPr algn="ctr"/>
          <a:r>
            <a:rPr lang="en-CA" sz="800" b="1" baseline="0"/>
            <a:t>(2021-2030)</a:t>
          </a:r>
          <a:endParaRPr lang="en-CA" sz="800" b="1"/>
        </a:p>
      </xdr:txBody>
    </xdr:sp>
    <xdr:clientData/>
  </xdr:twoCellAnchor>
  <xdr:twoCellAnchor>
    <xdr:from>
      <xdr:col>12</xdr:col>
      <xdr:colOff>2181227</xdr:colOff>
      <xdr:row>281</xdr:row>
      <xdr:rowOff>66674</xdr:rowOff>
    </xdr:from>
    <xdr:to>
      <xdr:col>12</xdr:col>
      <xdr:colOff>3019425</xdr:colOff>
      <xdr:row>282</xdr:row>
      <xdr:rowOff>133349</xdr:rowOff>
    </xdr:to>
    <xdr:sp macro="" textlink="">
      <xdr:nvSpPr>
        <xdr:cNvPr id="76" name="TextBox 75"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4010027" y="32832674"/>
          <a:ext cx="838198" cy="2571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800" b="1">
              <a:solidFill>
                <a:schemeClr val="tx2"/>
              </a:solidFill>
            </a:rPr>
            <a:t>Linking to WCI</a:t>
          </a:r>
        </a:p>
      </xdr:txBody>
    </xdr:sp>
    <xdr:clientData/>
  </xdr:twoCellAnchor>
  <xdr:twoCellAnchor>
    <xdr:from>
      <xdr:col>11</xdr:col>
      <xdr:colOff>0</xdr:colOff>
      <xdr:row>276</xdr:row>
      <xdr:rowOff>0</xdr:rowOff>
    </xdr:from>
    <xdr:to>
      <xdr:col>20</xdr:col>
      <xdr:colOff>9526</xdr:colOff>
      <xdr:row>296</xdr:row>
      <xdr:rowOff>42864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0</xdr:colOff>
      <xdr:row>175</xdr:row>
      <xdr:rowOff>0</xdr:rowOff>
    </xdr:from>
    <xdr:to>
      <xdr:col>28</xdr:col>
      <xdr:colOff>209550</xdr:colOff>
      <xdr:row>193</xdr:row>
      <xdr:rowOff>123826</xdr:rowOff>
    </xdr:to>
    <xdr:graphicFrame macro="">
      <xdr:nvGraphicFramePr>
        <xdr:cNvPr id="68" name="Chart 67"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323850</xdr:colOff>
      <xdr:row>179</xdr:row>
      <xdr:rowOff>38100</xdr:rowOff>
    </xdr:from>
    <xdr:to>
      <xdr:col>21</xdr:col>
      <xdr:colOff>280035</xdr:colOff>
      <xdr:row>180</xdr:row>
      <xdr:rowOff>104775</xdr:rowOff>
    </xdr:to>
    <xdr:cxnSp macro="">
      <xdr:nvCxnSpPr>
        <xdr:cNvPr id="70" name="Straight Connector 69"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CxnSpPr/>
      </xdr:nvCxnSpPr>
      <xdr:spPr>
        <a:xfrm>
          <a:off x="6153150" y="23279100"/>
          <a:ext cx="1175385" cy="257175"/>
        </a:xfrm>
        <a:prstGeom prst="line">
          <a:avLst/>
        </a:prstGeom>
        <a:ln w="1905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266700</xdr:colOff>
      <xdr:row>177</xdr:row>
      <xdr:rowOff>47625</xdr:rowOff>
    </xdr:from>
    <xdr:to>
      <xdr:col>21</xdr:col>
      <xdr:colOff>295275</xdr:colOff>
      <xdr:row>192</xdr:row>
      <xdr:rowOff>28576</xdr:rowOff>
    </xdr:to>
    <xdr:cxnSp macro="">
      <xdr:nvCxnSpPr>
        <xdr:cNvPr id="73" name="Straight Connector 72"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CxnSpPr/>
      </xdr:nvCxnSpPr>
      <xdr:spPr>
        <a:xfrm flipV="1">
          <a:off x="7315200" y="22907625"/>
          <a:ext cx="28575" cy="2838451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409575</xdr:colOff>
      <xdr:row>190</xdr:row>
      <xdr:rowOff>104776</xdr:rowOff>
    </xdr:from>
    <xdr:to>
      <xdr:col>25</xdr:col>
      <xdr:colOff>0</xdr:colOff>
      <xdr:row>191</xdr:row>
      <xdr:rowOff>161926</xdr:rowOff>
    </xdr:to>
    <xdr:sp macro="" textlink="">
      <xdr:nvSpPr>
        <xdr:cNvPr id="74" name="TextBox 73"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8067675" y="25441276"/>
          <a:ext cx="2105025" cy="2476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1">
              <a:solidFill>
                <a:schemeClr val="bg1"/>
              </a:solidFill>
            </a:rPr>
            <a:t>Uncovered Emissions</a:t>
          </a:r>
        </a:p>
      </xdr:txBody>
    </xdr:sp>
    <xdr:clientData/>
  </xdr:twoCellAnchor>
  <xdr:twoCellAnchor>
    <xdr:from>
      <xdr:col>22</xdr:col>
      <xdr:colOff>419100</xdr:colOff>
      <xdr:row>186</xdr:row>
      <xdr:rowOff>142875</xdr:rowOff>
    </xdr:from>
    <xdr:to>
      <xdr:col>25</xdr:col>
      <xdr:colOff>9525</xdr:colOff>
      <xdr:row>188</xdr:row>
      <xdr:rowOff>9525</xdr:rowOff>
    </xdr:to>
    <xdr:sp macro="" textlink="">
      <xdr:nvSpPr>
        <xdr:cNvPr id="75" name="TextBox 74"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8077200" y="24717375"/>
          <a:ext cx="2105025" cy="2476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1">
              <a:solidFill>
                <a:schemeClr val="bg1"/>
              </a:solidFill>
            </a:rPr>
            <a:t>Covered Emissions</a:t>
          </a:r>
        </a:p>
      </xdr:txBody>
    </xdr:sp>
    <xdr:clientData/>
  </xdr:twoCellAnchor>
  <xdr:twoCellAnchor>
    <xdr:from>
      <xdr:col>21</xdr:col>
      <xdr:colOff>265907</xdr:colOff>
      <xdr:row>180</xdr:row>
      <xdr:rowOff>104774</xdr:rowOff>
    </xdr:from>
    <xdr:to>
      <xdr:col>27</xdr:col>
      <xdr:colOff>523875</xdr:colOff>
      <xdr:row>183</xdr:row>
      <xdr:rowOff>85725</xdr:rowOff>
    </xdr:to>
    <xdr:cxnSp macro="">
      <xdr:nvCxnSpPr>
        <xdr:cNvPr id="77" name="Straight Connector 76"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CxnSpPr/>
      </xdr:nvCxnSpPr>
      <xdr:spPr>
        <a:xfrm>
          <a:off x="7314407" y="23536274"/>
          <a:ext cx="5058568" cy="552451"/>
        </a:xfrm>
        <a:prstGeom prst="line">
          <a:avLst/>
        </a:prstGeom>
        <a:ln w="19050">
          <a:solidFill>
            <a:srgbClr val="FFFF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409575</xdr:colOff>
      <xdr:row>178</xdr:row>
      <xdr:rowOff>76200</xdr:rowOff>
    </xdr:from>
    <xdr:to>
      <xdr:col>28</xdr:col>
      <xdr:colOff>285750</xdr:colOff>
      <xdr:row>179</xdr:row>
      <xdr:rowOff>133350</xdr:rowOff>
    </xdr:to>
    <xdr:sp macro="" textlink="">
      <xdr:nvSpPr>
        <xdr:cNvPr id="80" name="TextBox 79"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11420475" y="23126700"/>
          <a:ext cx="1552575" cy="247650"/>
        </a:xfrm>
        <a:prstGeom prst="rect">
          <a:avLst/>
        </a:prstGeom>
        <a:solidFill>
          <a:schemeClr val="tx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solidFill>
                <a:sysClr val="windowText" lastClr="000000"/>
              </a:solidFill>
            </a:rPr>
            <a:t>BAU</a:t>
          </a:r>
          <a:r>
            <a:rPr lang="en-CA" sz="1100" b="1" baseline="0">
              <a:solidFill>
                <a:sysClr val="windowText" lastClr="000000"/>
              </a:solidFill>
            </a:rPr>
            <a:t> Emissions</a:t>
          </a:r>
          <a:endParaRPr lang="en-CA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81130</xdr:colOff>
      <xdr:row>182</xdr:row>
      <xdr:rowOff>78215</xdr:rowOff>
    </xdr:from>
    <xdr:to>
      <xdr:col>26</xdr:col>
      <xdr:colOff>33552</xdr:colOff>
      <xdr:row>184</xdr:row>
      <xdr:rowOff>171472</xdr:rowOff>
    </xdr:to>
    <xdr:sp macro="" textlink="">
      <xdr:nvSpPr>
        <xdr:cNvPr id="81" name="TextBox 80"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 txBox="1"/>
      </xdr:nvSpPr>
      <xdr:spPr>
        <a:xfrm rot="561154">
          <a:off x="8577430" y="23890715"/>
          <a:ext cx="2467022" cy="47425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0">
              <a:solidFill>
                <a:srgbClr val="FFFF00"/>
              </a:solidFill>
            </a:rPr>
            <a:t>Proposed cap</a:t>
          </a:r>
          <a:r>
            <a:rPr lang="en-CA" sz="1000" b="0" baseline="0">
              <a:solidFill>
                <a:srgbClr val="FFFF00"/>
              </a:solidFill>
            </a:rPr>
            <a:t> declines at 2.9% annually during 2020-2030</a:t>
          </a:r>
          <a:endParaRPr lang="en-CA" sz="1000" b="0">
            <a:solidFill>
              <a:srgbClr val="FFFF00"/>
            </a:solidFill>
          </a:endParaRPr>
        </a:p>
      </xdr:txBody>
    </xdr:sp>
    <xdr:clientData/>
  </xdr:twoCellAnchor>
  <xdr:twoCellAnchor>
    <xdr:from>
      <xdr:col>21</xdr:col>
      <xdr:colOff>257175</xdr:colOff>
      <xdr:row>180</xdr:row>
      <xdr:rowOff>76200</xdr:rowOff>
    </xdr:from>
    <xdr:to>
      <xdr:col>21</xdr:col>
      <xdr:colOff>302894</xdr:colOff>
      <xdr:row>180</xdr:row>
      <xdr:rowOff>133349</xdr:rowOff>
    </xdr:to>
    <xdr:sp macro="" textlink="">
      <xdr:nvSpPr>
        <xdr:cNvPr id="82" name="5-Point Star 81"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/>
      </xdr:nvSpPr>
      <xdr:spPr>
        <a:xfrm>
          <a:off x="7305675" y="23507700"/>
          <a:ext cx="45719" cy="57149"/>
        </a:xfrm>
        <a:prstGeom prst="star5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800"/>
        </a:p>
      </xdr:txBody>
    </xdr:sp>
    <xdr:clientData/>
  </xdr:twoCellAnchor>
  <xdr:twoCellAnchor>
    <xdr:from>
      <xdr:col>27</xdr:col>
      <xdr:colOff>504825</xdr:colOff>
      <xdr:row>183</xdr:row>
      <xdr:rowOff>57150</xdr:rowOff>
    </xdr:from>
    <xdr:to>
      <xdr:col>27</xdr:col>
      <xdr:colOff>561975</xdr:colOff>
      <xdr:row>183</xdr:row>
      <xdr:rowOff>104775</xdr:rowOff>
    </xdr:to>
    <xdr:sp macro="" textlink="">
      <xdr:nvSpPr>
        <xdr:cNvPr id="83" name="Diamond 82">
          <a:extLst>
            <a:ext uri="{FF2B5EF4-FFF2-40B4-BE49-F238E27FC236}">
              <a16:creationId xmlns="" xmlns:a16="http://schemas.microsoft.com/office/drawing/2014/main" id="{00000000-0008-0000-0100-000053000000}"/>
            </a:ext>
          </a:extLst>
        </xdr:cNvPr>
        <xdr:cNvSpPr/>
      </xdr:nvSpPr>
      <xdr:spPr>
        <a:xfrm>
          <a:off x="12353925" y="24060150"/>
          <a:ext cx="57150" cy="47625"/>
        </a:xfrm>
        <a:prstGeom prst="diamond">
          <a:avLst/>
        </a:prstGeom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5</xdr:col>
      <xdr:colOff>295274</xdr:colOff>
      <xdr:row>180</xdr:row>
      <xdr:rowOff>38100</xdr:rowOff>
    </xdr:from>
    <xdr:to>
      <xdr:col>6</xdr:col>
      <xdr:colOff>400049</xdr:colOff>
      <xdr:row>181</xdr:row>
      <xdr:rowOff>95250</xdr:rowOff>
    </xdr:to>
    <xdr:sp macro="" textlink="">
      <xdr:nvSpPr>
        <xdr:cNvPr id="84" name="TextBox 83">
          <a:extLst>
            <a:ext uri="{FF2B5EF4-FFF2-40B4-BE49-F238E27FC236}">
              <a16:creationId xmlns=""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6124574" y="23469600"/>
          <a:ext cx="714375" cy="2476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>
              <a:solidFill>
                <a:schemeClr val="tx2"/>
              </a:solidFill>
            </a:rPr>
            <a:t>141.3</a:t>
          </a:r>
          <a:r>
            <a:rPr lang="en-CA" sz="1000" b="1" baseline="0">
              <a:solidFill>
                <a:schemeClr val="tx2"/>
              </a:solidFill>
            </a:rPr>
            <a:t> Mt</a:t>
          </a:r>
          <a:endParaRPr lang="en-CA" sz="1000" b="1">
            <a:solidFill>
              <a:schemeClr val="tx2"/>
            </a:solidFill>
          </a:endParaRPr>
        </a:p>
      </xdr:txBody>
    </xdr:sp>
    <xdr:clientData/>
  </xdr:twoCellAnchor>
  <xdr:twoCellAnchor>
    <xdr:from>
      <xdr:col>6</xdr:col>
      <xdr:colOff>590549</xdr:colOff>
      <xdr:row>183</xdr:row>
      <xdr:rowOff>180975</xdr:rowOff>
    </xdr:from>
    <xdr:to>
      <xdr:col>8</xdr:col>
      <xdr:colOff>66674</xdr:colOff>
      <xdr:row>185</xdr:row>
      <xdr:rowOff>47625</xdr:rowOff>
    </xdr:to>
    <xdr:sp macro="" textlink="">
      <xdr:nvSpPr>
        <xdr:cNvPr id="85" name="TextBox 84">
          <a:extLst>
            <a:ext uri="{FF2B5EF4-FFF2-40B4-BE49-F238E27FC236}">
              <a16:creationId xmlns=""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7029449" y="24183975"/>
          <a:ext cx="695325" cy="2476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>
              <a:solidFill>
                <a:schemeClr val="tx2"/>
              </a:solidFill>
            </a:rPr>
            <a:t>123.6</a:t>
          </a:r>
          <a:r>
            <a:rPr lang="en-CA" sz="1000" b="1" baseline="0">
              <a:solidFill>
                <a:schemeClr val="tx2"/>
              </a:solidFill>
            </a:rPr>
            <a:t> Mt</a:t>
          </a:r>
          <a:endParaRPr lang="en-CA" sz="1000" b="1">
            <a:solidFill>
              <a:schemeClr val="tx2"/>
            </a:solidFill>
          </a:endParaRPr>
        </a:p>
      </xdr:txBody>
    </xdr:sp>
    <xdr:clientData/>
  </xdr:twoCellAnchor>
  <xdr:twoCellAnchor>
    <xdr:from>
      <xdr:col>13</xdr:col>
      <xdr:colOff>304800</xdr:colOff>
      <xdr:row>185</xdr:row>
      <xdr:rowOff>38099</xdr:rowOff>
    </xdr:from>
    <xdr:to>
      <xdr:col>14</xdr:col>
      <xdr:colOff>219075</xdr:colOff>
      <xdr:row>186</xdr:row>
      <xdr:rowOff>76200</xdr:rowOff>
    </xdr:to>
    <xdr:sp macro="" textlink="">
      <xdr:nvSpPr>
        <xdr:cNvPr id="86" name="TextBox 85">
          <a:extLst>
            <a:ext uri="{FF2B5EF4-FFF2-40B4-BE49-F238E27FC236}">
              <a16:creationId xmlns=""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12153900" y="24422099"/>
          <a:ext cx="752475" cy="22860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>
              <a:solidFill>
                <a:schemeClr val="tx2"/>
              </a:solidFill>
            </a:rPr>
            <a:t>87.7</a:t>
          </a:r>
          <a:r>
            <a:rPr lang="en-CA" sz="1000" b="1" baseline="0">
              <a:solidFill>
                <a:schemeClr val="tx2"/>
              </a:solidFill>
            </a:rPr>
            <a:t> Mt </a:t>
          </a:r>
          <a:endParaRPr lang="en-CA" sz="1000" b="1">
            <a:solidFill>
              <a:schemeClr val="tx2"/>
            </a:solidFill>
          </a:endParaRPr>
        </a:p>
      </xdr:txBody>
    </xdr:sp>
    <xdr:clientData/>
  </xdr:twoCellAnchor>
  <xdr:twoCellAnchor>
    <xdr:from>
      <xdr:col>12</xdr:col>
      <xdr:colOff>676274</xdr:colOff>
      <xdr:row>182</xdr:row>
      <xdr:rowOff>28575</xdr:rowOff>
    </xdr:from>
    <xdr:to>
      <xdr:col>13</xdr:col>
      <xdr:colOff>800099</xdr:colOff>
      <xdr:row>184</xdr:row>
      <xdr:rowOff>85725</xdr:rowOff>
    </xdr:to>
    <xdr:sp macro="" textlink="">
      <xdr:nvSpPr>
        <xdr:cNvPr id="87" name="TextBox 86">
          <a:extLst>
            <a:ext uri="{FF2B5EF4-FFF2-40B4-BE49-F238E27FC236}">
              <a16:creationId xmlns=""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11687174" y="23841075"/>
          <a:ext cx="962025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0">
              <a:solidFill>
                <a:srgbClr val="C00000"/>
              </a:solidFill>
            </a:rPr>
            <a:t>2030 Target: 114 Mt</a:t>
          </a:r>
        </a:p>
      </xdr:txBody>
    </xdr:sp>
    <xdr:clientData/>
  </xdr:twoCellAnchor>
  <xdr:twoCellAnchor>
    <xdr:from>
      <xdr:col>8</xdr:col>
      <xdr:colOff>209551</xdr:colOff>
      <xdr:row>180</xdr:row>
      <xdr:rowOff>9525</xdr:rowOff>
    </xdr:from>
    <xdr:to>
      <xdr:col>9</xdr:col>
      <xdr:colOff>209551</xdr:colOff>
      <xdr:row>181</xdr:row>
      <xdr:rowOff>47624</xdr:rowOff>
    </xdr:to>
    <xdr:sp macro="" textlink="">
      <xdr:nvSpPr>
        <xdr:cNvPr id="88" name="TextBox 87">
          <a:extLst>
            <a:ext uri="{FF2B5EF4-FFF2-40B4-BE49-F238E27FC236}">
              <a16:creationId xmlns=""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7867651" y="23441025"/>
          <a:ext cx="838200" cy="228599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000" b="0">
              <a:solidFill>
                <a:srgbClr val="C00000"/>
              </a:solidFill>
            </a:rPr>
            <a:t>2020 Target</a:t>
          </a:r>
        </a:p>
      </xdr:txBody>
    </xdr:sp>
    <xdr:clientData/>
  </xdr:twoCellAnchor>
  <xdr:twoCellAnchor>
    <xdr:from>
      <xdr:col>8</xdr:col>
      <xdr:colOff>47625</xdr:colOff>
      <xdr:row>179</xdr:row>
      <xdr:rowOff>152401</xdr:rowOff>
    </xdr:from>
    <xdr:to>
      <xdr:col>8</xdr:col>
      <xdr:colOff>190500</xdr:colOff>
      <xdr:row>180</xdr:row>
      <xdr:rowOff>95251</xdr:rowOff>
    </xdr:to>
    <xdr:sp macro="" textlink="">
      <xdr:nvSpPr>
        <xdr:cNvPr id="17" name="Left Brace 16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/>
      </xdr:nvSpPr>
      <xdr:spPr>
        <a:xfrm>
          <a:off x="7705725" y="23393401"/>
          <a:ext cx="142875" cy="13335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7</xdr:col>
      <xdr:colOff>57150</xdr:colOff>
      <xdr:row>179</xdr:row>
      <xdr:rowOff>161925</xdr:rowOff>
    </xdr:from>
    <xdr:to>
      <xdr:col>8</xdr:col>
      <xdr:colOff>171450</xdr:colOff>
      <xdr:row>180</xdr:row>
      <xdr:rowOff>152401</xdr:rowOff>
    </xdr:to>
    <xdr:sp macro="" textlink="">
      <xdr:nvSpPr>
        <xdr:cNvPr id="89" name="TextBox 88">
          <a:extLst>
            <a:ext uri="{FF2B5EF4-FFF2-40B4-BE49-F238E27FC236}">
              <a16:creationId xmlns=""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7105650" y="23402925"/>
          <a:ext cx="723900" cy="180976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600" b="1">
              <a:solidFill>
                <a:schemeClr val="tx2"/>
              </a:solidFill>
            </a:rPr>
            <a:t>WCI</a:t>
          </a:r>
          <a:r>
            <a:rPr lang="en-CA" sz="600" b="1" baseline="0">
              <a:solidFill>
                <a:schemeClr val="tx2"/>
              </a:solidFill>
            </a:rPr>
            <a:t> Purchase</a:t>
          </a:r>
          <a:endParaRPr lang="en-CA" sz="600" b="1">
            <a:solidFill>
              <a:schemeClr val="tx2"/>
            </a:solidFill>
          </a:endParaRPr>
        </a:p>
      </xdr:txBody>
    </xdr:sp>
    <xdr:clientData/>
  </xdr:twoCellAnchor>
  <xdr:twoCellAnchor>
    <xdr:from>
      <xdr:col>13</xdr:col>
      <xdr:colOff>742950</xdr:colOff>
      <xdr:row>179</xdr:row>
      <xdr:rowOff>123825</xdr:rowOff>
    </xdr:from>
    <xdr:to>
      <xdr:col>14</xdr:col>
      <xdr:colOff>47625</xdr:colOff>
      <xdr:row>183</xdr:row>
      <xdr:rowOff>85725</xdr:rowOff>
    </xdr:to>
    <xdr:sp macro="" textlink="">
      <xdr:nvSpPr>
        <xdr:cNvPr id="20" name="Right Brace 19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/>
      </xdr:nvSpPr>
      <xdr:spPr>
        <a:xfrm>
          <a:off x="12592050" y="23364825"/>
          <a:ext cx="142875" cy="723900"/>
        </a:xfrm>
        <a:prstGeom prst="rightBrace">
          <a:avLst/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13</xdr:col>
      <xdr:colOff>819150</xdr:colOff>
      <xdr:row>180</xdr:row>
      <xdr:rowOff>85725</xdr:rowOff>
    </xdr:from>
    <xdr:to>
      <xdr:col>15</xdr:col>
      <xdr:colOff>209550</xdr:colOff>
      <xdr:row>182</xdr:row>
      <xdr:rowOff>142875</xdr:rowOff>
    </xdr:to>
    <xdr:sp macro="" textlink="">
      <xdr:nvSpPr>
        <xdr:cNvPr id="90" name="TextBox 89">
          <a:extLst>
            <a:ext uri="{FF2B5EF4-FFF2-40B4-BE49-F238E27FC236}">
              <a16:creationId xmlns=""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12668250" y="23517225"/>
          <a:ext cx="1066800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0">
              <a:solidFill>
                <a:srgbClr val="C00000"/>
              </a:solidFill>
            </a:rPr>
            <a:t>Estimated Gap</a:t>
          </a:r>
          <a:r>
            <a:rPr lang="en-CA" sz="1000" b="0" baseline="0">
              <a:solidFill>
                <a:srgbClr val="C00000"/>
              </a:solidFill>
            </a:rPr>
            <a:t>: 49.6 Mt</a:t>
          </a:r>
          <a:endParaRPr lang="en-CA" sz="1000" b="0">
            <a:solidFill>
              <a:srgbClr val="C00000"/>
            </a:solidFill>
          </a:endParaRPr>
        </a:p>
      </xdr:txBody>
    </xdr:sp>
    <xdr:clientData/>
  </xdr:twoCellAnchor>
  <xdr:twoCellAnchor>
    <xdr:from>
      <xdr:col>13</xdr:col>
      <xdr:colOff>733425</xdr:colOff>
      <xdr:row>181</xdr:row>
      <xdr:rowOff>114300</xdr:rowOff>
    </xdr:from>
    <xdr:to>
      <xdr:col>14</xdr:col>
      <xdr:colOff>247650</xdr:colOff>
      <xdr:row>185</xdr:row>
      <xdr:rowOff>76200</xdr:rowOff>
    </xdr:to>
    <xdr:sp macro="" textlink="">
      <xdr:nvSpPr>
        <xdr:cNvPr id="91" name="Right Brace 90">
          <a:extLst>
            <a:ext uri="{FF2B5EF4-FFF2-40B4-BE49-F238E27FC236}">
              <a16:creationId xmlns="" xmlns:a16="http://schemas.microsoft.com/office/drawing/2014/main" id="{00000000-0008-0000-0100-00005B000000}"/>
            </a:ext>
          </a:extLst>
        </xdr:cNvPr>
        <xdr:cNvSpPr/>
      </xdr:nvSpPr>
      <xdr:spPr>
        <a:xfrm>
          <a:off x="12582525" y="23736300"/>
          <a:ext cx="352425" cy="723900"/>
        </a:xfrm>
        <a:prstGeom prst="rightBrace">
          <a:avLst/>
        </a:prstGeom>
        <a:ln w="127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13</xdr:col>
      <xdr:colOff>666750</xdr:colOff>
      <xdr:row>178</xdr:row>
      <xdr:rowOff>142875</xdr:rowOff>
    </xdr:from>
    <xdr:to>
      <xdr:col>14</xdr:col>
      <xdr:colOff>590550</xdr:colOff>
      <xdr:row>180</xdr:row>
      <xdr:rowOff>9525</xdr:rowOff>
    </xdr:to>
    <xdr:sp macro="" textlink="">
      <xdr:nvSpPr>
        <xdr:cNvPr id="92" name="TextBox 91">
          <a:extLst>
            <a:ext uri="{FF2B5EF4-FFF2-40B4-BE49-F238E27FC236}">
              <a16:creationId xmlns="" xmlns:a16="http://schemas.microsoft.com/office/drawing/2014/main" id="{00000000-0008-0000-0100-00005C000000}"/>
            </a:ext>
          </a:extLst>
        </xdr:cNvPr>
        <xdr:cNvSpPr txBox="1"/>
      </xdr:nvSpPr>
      <xdr:spPr>
        <a:xfrm>
          <a:off x="12515850" y="23193375"/>
          <a:ext cx="762000" cy="2476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>
              <a:solidFill>
                <a:schemeClr val="tx2"/>
              </a:solidFill>
            </a:rPr>
            <a:t>163.7</a:t>
          </a:r>
          <a:r>
            <a:rPr lang="en-CA" sz="1000" b="1" baseline="0">
              <a:solidFill>
                <a:schemeClr val="tx2"/>
              </a:solidFill>
            </a:rPr>
            <a:t> Mt</a:t>
          </a:r>
          <a:endParaRPr lang="en-CA" sz="1000" b="1">
            <a:solidFill>
              <a:schemeClr val="tx2"/>
            </a:solidFill>
          </a:endParaRPr>
        </a:p>
      </xdr:txBody>
    </xdr:sp>
    <xdr:clientData/>
  </xdr:twoCellAnchor>
  <xdr:twoCellAnchor>
    <xdr:from>
      <xdr:col>14</xdr:col>
      <xdr:colOff>190499</xdr:colOff>
      <xdr:row>182</xdr:row>
      <xdr:rowOff>133349</xdr:rowOff>
    </xdr:from>
    <xdr:to>
      <xdr:col>16</xdr:col>
      <xdr:colOff>123824</xdr:colOff>
      <xdr:row>185</xdr:row>
      <xdr:rowOff>66674</xdr:rowOff>
    </xdr:to>
    <xdr:sp macro="" textlink="">
      <xdr:nvSpPr>
        <xdr:cNvPr id="93" name="TextBox 92">
          <a:extLst>
            <a:ext uri="{FF2B5EF4-FFF2-40B4-BE49-F238E27FC236}">
              <a16:creationId xmlns=""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12877799" y="23945849"/>
          <a:ext cx="1609725" cy="5048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>
              <a:solidFill>
                <a:schemeClr val="tx2"/>
              </a:solidFill>
            </a:rPr>
            <a:t>Compliance from covered sectors: 49.6 Mt</a:t>
          </a:r>
        </a:p>
      </xdr:txBody>
    </xdr:sp>
    <xdr:clientData/>
  </xdr:twoCellAnchor>
  <xdr:twoCellAnchor>
    <xdr:from>
      <xdr:col>3</xdr:col>
      <xdr:colOff>1000126</xdr:colOff>
      <xdr:row>69</xdr:row>
      <xdr:rowOff>0</xdr:rowOff>
    </xdr:from>
    <xdr:to>
      <xdr:col>18</xdr:col>
      <xdr:colOff>171451</xdr:colOff>
      <xdr:row>92</xdr:row>
      <xdr:rowOff>104776</xdr:rowOff>
    </xdr:to>
    <xdr:graphicFrame macro="">
      <xdr:nvGraphicFramePr>
        <xdr:cNvPr id="126" name="Chart 125">
          <a:extLst>
            <a:ext uri="{FF2B5EF4-FFF2-40B4-BE49-F238E27FC236}">
              <a16:creationId xmlns="" xmlns:a16="http://schemas.microsoft.com/office/drawing/2014/main" id="{00000000-0008-0000-0100-00007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495300</xdr:colOff>
      <xdr:row>70</xdr:row>
      <xdr:rowOff>76200</xdr:rowOff>
    </xdr:from>
    <xdr:to>
      <xdr:col>7</xdr:col>
      <xdr:colOff>438150</xdr:colOff>
      <xdr:row>89</xdr:row>
      <xdr:rowOff>57149</xdr:rowOff>
    </xdr:to>
    <xdr:sp macro="" textlink="">
      <xdr:nvSpPr>
        <xdr:cNvPr id="127" name="TextBox 126">
          <a:extLst>
            <a:ext uri="{FF2B5EF4-FFF2-40B4-BE49-F238E27FC236}">
              <a16:creationId xmlns=""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5715000" y="2143125"/>
          <a:ext cx="1771650" cy="3600449"/>
        </a:xfrm>
        <a:prstGeom prst="rect">
          <a:avLst/>
        </a:prstGeom>
        <a:solidFill>
          <a:schemeClr val="bg1">
            <a:lumMod val="75000"/>
            <a:alpha val="39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800"/>
            <a:t>First Compliance Period</a:t>
          </a:r>
        </a:p>
        <a:p>
          <a:pPr algn="ctr"/>
          <a:r>
            <a:rPr lang="en-CA" sz="800"/>
            <a:t>(2017-2020)</a:t>
          </a:r>
        </a:p>
      </xdr:txBody>
    </xdr:sp>
    <xdr:clientData/>
  </xdr:twoCellAnchor>
  <xdr:twoCellAnchor>
    <xdr:from>
      <xdr:col>17</xdr:col>
      <xdr:colOff>323850</xdr:colOff>
      <xdr:row>78</xdr:row>
      <xdr:rowOff>57151</xdr:rowOff>
    </xdr:from>
    <xdr:to>
      <xdr:col>17</xdr:col>
      <xdr:colOff>390525</xdr:colOff>
      <xdr:row>78</xdr:row>
      <xdr:rowOff>133351</xdr:rowOff>
    </xdr:to>
    <xdr:sp macro="" textlink="">
      <xdr:nvSpPr>
        <xdr:cNvPr id="128" name="5-Point Star 127">
          <a:extLst>
            <a:ext uri="{FF2B5EF4-FFF2-40B4-BE49-F238E27FC236}">
              <a16:creationId xmlns="" xmlns:a16="http://schemas.microsoft.com/office/drawing/2014/main" id="{00000000-0008-0000-0100-000080000000}"/>
            </a:ext>
          </a:extLst>
        </xdr:cNvPr>
        <xdr:cNvSpPr/>
      </xdr:nvSpPr>
      <xdr:spPr>
        <a:xfrm>
          <a:off x="15525750" y="3648076"/>
          <a:ext cx="66675" cy="76200"/>
        </a:xfrm>
        <a:prstGeom prst="star5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800"/>
        </a:p>
      </xdr:txBody>
    </xdr:sp>
    <xdr:clientData/>
  </xdr:twoCellAnchor>
  <xdr:twoCellAnchor>
    <xdr:from>
      <xdr:col>7</xdr:col>
      <xdr:colOff>428625</xdr:colOff>
      <xdr:row>70</xdr:row>
      <xdr:rowOff>0</xdr:rowOff>
    </xdr:from>
    <xdr:to>
      <xdr:col>7</xdr:col>
      <xdr:colOff>438150</xdr:colOff>
      <xdr:row>89</xdr:row>
      <xdr:rowOff>76200</xdr:rowOff>
    </xdr:to>
    <xdr:cxnSp macro="">
      <xdr:nvCxnSpPr>
        <xdr:cNvPr id="129" name="Straight Arrow Connector 128">
          <a:extLst>
            <a:ext uri="{FF2B5EF4-FFF2-40B4-BE49-F238E27FC236}">
              <a16:creationId xmlns="" xmlns:a16="http://schemas.microsoft.com/office/drawing/2014/main" id="{00000000-0008-0000-0100-000081000000}"/>
            </a:ext>
          </a:extLst>
        </xdr:cNvPr>
        <xdr:cNvCxnSpPr/>
      </xdr:nvCxnSpPr>
      <xdr:spPr>
        <a:xfrm flipH="1" flipV="1">
          <a:off x="7477125" y="2066925"/>
          <a:ext cx="9525" cy="3695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68</xdr:row>
      <xdr:rowOff>85725</xdr:rowOff>
    </xdr:from>
    <xdr:to>
      <xdr:col>4</xdr:col>
      <xdr:colOff>504825</xdr:colOff>
      <xdr:row>89</xdr:row>
      <xdr:rowOff>85726</xdr:rowOff>
    </xdr:to>
    <xdr:cxnSp macro="">
      <xdr:nvCxnSpPr>
        <xdr:cNvPr id="130" name="Straight Arrow Connector 129">
          <a:extLst>
            <a:ext uri="{FF2B5EF4-FFF2-40B4-BE49-F238E27FC236}">
              <a16:creationId xmlns="" xmlns:a16="http://schemas.microsoft.com/office/drawing/2014/main" id="{00000000-0008-0000-0100-000082000000}"/>
            </a:ext>
          </a:extLst>
        </xdr:cNvPr>
        <xdr:cNvCxnSpPr/>
      </xdr:nvCxnSpPr>
      <xdr:spPr>
        <a:xfrm flipV="1">
          <a:off x="5705475" y="1771650"/>
          <a:ext cx="19050" cy="400050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285595</xdr:colOff>
      <xdr:row>73</xdr:row>
      <xdr:rowOff>161099</xdr:rowOff>
    </xdr:from>
    <xdr:to>
      <xdr:col>7</xdr:col>
      <xdr:colOff>466149</xdr:colOff>
      <xdr:row>74</xdr:row>
      <xdr:rowOff>78196</xdr:rowOff>
    </xdr:to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100-000083000000}"/>
            </a:ext>
          </a:extLst>
        </xdr:cNvPr>
        <xdr:cNvSpPr txBox="1"/>
      </xdr:nvSpPr>
      <xdr:spPr>
        <a:xfrm rot="401135">
          <a:off x="6724495" y="2799524"/>
          <a:ext cx="790154" cy="107597"/>
        </a:xfrm>
        <a:prstGeom prst="rect">
          <a:avLst/>
        </a:prstGeom>
        <a:solidFill>
          <a:schemeClr val="bg1">
            <a:lumMod val="85000"/>
            <a:alpha val="23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CA" sz="600"/>
            <a:t>Est. WCI Purchase</a:t>
          </a:r>
        </a:p>
      </xdr:txBody>
    </xdr:sp>
    <xdr:clientData/>
  </xdr:twoCellAnchor>
  <xdr:twoCellAnchor>
    <xdr:from>
      <xdr:col>10</xdr:col>
      <xdr:colOff>542925</xdr:colOff>
      <xdr:row>70</xdr:row>
      <xdr:rowOff>95250</xdr:rowOff>
    </xdr:from>
    <xdr:to>
      <xdr:col>15</xdr:col>
      <xdr:colOff>171450</xdr:colOff>
      <xdr:row>72</xdr:row>
      <xdr:rowOff>104775</xdr:rowOff>
    </xdr:to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9877425" y="2162175"/>
          <a:ext cx="3819525" cy="3905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800" b="1"/>
            <a:t>Future</a:t>
          </a:r>
          <a:r>
            <a:rPr lang="en-CA" sz="800" b="1" baseline="0"/>
            <a:t> Compliance Period</a:t>
          </a:r>
        </a:p>
        <a:p>
          <a:pPr algn="ctr"/>
          <a:r>
            <a:rPr lang="en-CA" sz="800" b="1" baseline="0"/>
            <a:t>(2021-2030)</a:t>
          </a:r>
          <a:endParaRPr lang="en-CA" sz="800" b="1"/>
        </a:p>
      </xdr:txBody>
    </xdr:sp>
    <xdr:clientData/>
  </xdr:twoCellAnchor>
  <xdr:twoCellAnchor>
    <xdr:from>
      <xdr:col>7</xdr:col>
      <xdr:colOff>390525</xdr:colOff>
      <xdr:row>74</xdr:row>
      <xdr:rowOff>76200</xdr:rowOff>
    </xdr:from>
    <xdr:to>
      <xdr:col>7</xdr:col>
      <xdr:colOff>457200</xdr:colOff>
      <xdr:row>74</xdr:row>
      <xdr:rowOff>152400</xdr:rowOff>
    </xdr:to>
    <xdr:sp macro="" textlink="">
      <xdr:nvSpPr>
        <xdr:cNvPr id="133" name="5-Point Star 132">
          <a:extLst>
            <a:ext uri="{FF2B5EF4-FFF2-40B4-BE49-F238E27FC236}">
              <a16:creationId xmlns="" xmlns:a16="http://schemas.microsoft.com/office/drawing/2014/main" id="{00000000-0008-0000-0100-000085000000}"/>
            </a:ext>
          </a:extLst>
        </xdr:cNvPr>
        <xdr:cNvSpPr/>
      </xdr:nvSpPr>
      <xdr:spPr>
        <a:xfrm>
          <a:off x="7439025" y="2905125"/>
          <a:ext cx="66675" cy="76200"/>
        </a:xfrm>
        <a:prstGeom prst="star5">
          <a:avLst/>
        </a:prstGeom>
        <a:solidFill>
          <a:srgbClr val="BD031E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800"/>
        </a:p>
      </xdr:txBody>
    </xdr:sp>
    <xdr:clientData/>
  </xdr:twoCellAnchor>
  <xdr:twoCellAnchor>
    <xdr:from>
      <xdr:col>17</xdr:col>
      <xdr:colOff>381000</xdr:colOff>
      <xdr:row>78</xdr:row>
      <xdr:rowOff>85725</xdr:rowOff>
    </xdr:from>
    <xdr:to>
      <xdr:col>19</xdr:col>
      <xdr:colOff>466725</xdr:colOff>
      <xdr:row>81</xdr:row>
      <xdr:rowOff>114300</xdr:rowOff>
    </xdr:to>
    <xdr:cxnSp macro="">
      <xdr:nvCxnSpPr>
        <xdr:cNvPr id="134" name="Straight Connector 133">
          <a:extLst>
            <a:ext uri="{FF2B5EF4-FFF2-40B4-BE49-F238E27FC236}">
              <a16:creationId xmlns="" xmlns:a16="http://schemas.microsoft.com/office/drawing/2014/main" id="{00000000-0008-0000-0100-000086000000}"/>
            </a:ext>
          </a:extLst>
        </xdr:cNvPr>
        <xdr:cNvCxnSpPr/>
      </xdr:nvCxnSpPr>
      <xdr:spPr>
        <a:xfrm>
          <a:off x="15582900" y="3676650"/>
          <a:ext cx="1533525" cy="60007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466725</xdr:colOff>
      <xdr:row>80</xdr:row>
      <xdr:rowOff>104775</xdr:rowOff>
    </xdr:from>
    <xdr:to>
      <xdr:col>22</xdr:col>
      <xdr:colOff>352425</xdr:colOff>
      <xdr:row>82</xdr:row>
      <xdr:rowOff>161925</xdr:rowOff>
    </xdr:to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17116425" y="4076700"/>
          <a:ext cx="1714500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rgbClr val="C00000"/>
              </a:solidFill>
            </a:rPr>
            <a:t>2030 Ontario Economy Wide target = 114 Mt</a:t>
          </a:r>
        </a:p>
      </xdr:txBody>
    </xdr:sp>
    <xdr:clientData/>
  </xdr:twoCellAnchor>
  <xdr:twoCellAnchor>
    <xdr:from>
      <xdr:col>17</xdr:col>
      <xdr:colOff>400050</xdr:colOff>
      <xdr:row>73</xdr:row>
      <xdr:rowOff>152400</xdr:rowOff>
    </xdr:from>
    <xdr:to>
      <xdr:col>17</xdr:col>
      <xdr:colOff>485775</xdr:colOff>
      <xdr:row>78</xdr:row>
      <xdr:rowOff>123824</xdr:rowOff>
    </xdr:to>
    <xdr:sp macro="" textlink="">
      <xdr:nvSpPr>
        <xdr:cNvPr id="136" name="Right Brace 135">
          <a:extLst>
            <a:ext uri="{FF2B5EF4-FFF2-40B4-BE49-F238E27FC236}">
              <a16:creationId xmlns="" xmlns:a16="http://schemas.microsoft.com/office/drawing/2014/main" id="{00000000-0008-0000-0100-000088000000}"/>
            </a:ext>
          </a:extLst>
        </xdr:cNvPr>
        <xdr:cNvSpPr/>
      </xdr:nvSpPr>
      <xdr:spPr>
        <a:xfrm>
          <a:off x="15601950" y="2790825"/>
          <a:ext cx="85725" cy="923924"/>
        </a:xfrm>
        <a:prstGeom prst="rightBrace">
          <a:avLst/>
        </a:prstGeom>
        <a:ln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18</xdr:col>
      <xdr:colOff>9525</xdr:colOff>
      <xdr:row>76</xdr:row>
      <xdr:rowOff>9525</xdr:rowOff>
    </xdr:from>
    <xdr:to>
      <xdr:col>19</xdr:col>
      <xdr:colOff>390525</xdr:colOff>
      <xdr:row>76</xdr:row>
      <xdr:rowOff>180975</xdr:rowOff>
    </xdr:to>
    <xdr:cxnSp macro="">
      <xdr:nvCxnSpPr>
        <xdr:cNvPr id="137" name="Straight Connector 136">
          <a:extLst>
            <a:ext uri="{FF2B5EF4-FFF2-40B4-BE49-F238E27FC236}">
              <a16:creationId xmlns="" xmlns:a16="http://schemas.microsoft.com/office/drawing/2014/main" id="{00000000-0008-0000-0100-000089000000}"/>
            </a:ext>
          </a:extLst>
        </xdr:cNvPr>
        <xdr:cNvCxnSpPr/>
      </xdr:nvCxnSpPr>
      <xdr:spPr>
        <a:xfrm>
          <a:off x="16049625" y="3219450"/>
          <a:ext cx="990600" cy="171450"/>
        </a:xfrm>
        <a:prstGeom prst="line">
          <a:avLst/>
        </a:prstGeom>
        <a:ln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381000</xdr:colOff>
      <xdr:row>76</xdr:row>
      <xdr:rowOff>47625</xdr:rowOff>
    </xdr:from>
    <xdr:to>
      <xdr:col>22</xdr:col>
      <xdr:colOff>266700</xdr:colOff>
      <xdr:row>78</xdr:row>
      <xdr:rowOff>104775</xdr:rowOff>
    </xdr:to>
    <xdr:sp macro="" textlink="">
      <xdr:nvSpPr>
        <xdr:cNvPr id="138" name="TextBox 137">
          <a:extLst>
            <a:ext uri="{FF2B5EF4-FFF2-40B4-BE49-F238E27FC236}">
              <a16:creationId xmlns="" xmlns:a16="http://schemas.microsoft.com/office/drawing/2014/main" id="{00000000-0008-0000-0100-00008A000000}"/>
            </a:ext>
          </a:extLst>
        </xdr:cNvPr>
        <xdr:cNvSpPr txBox="1"/>
      </xdr:nvSpPr>
      <xdr:spPr>
        <a:xfrm>
          <a:off x="17030700" y="3257550"/>
          <a:ext cx="1714500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chemeClr val="tx2"/>
              </a:solidFill>
            </a:rPr>
            <a:t>Compliance from covered sectors = 49.6 Mt in 2030</a:t>
          </a:r>
        </a:p>
      </xdr:txBody>
    </xdr:sp>
    <xdr:clientData/>
  </xdr:twoCellAnchor>
  <xdr:twoCellAnchor>
    <xdr:from>
      <xdr:col>15</xdr:col>
      <xdr:colOff>19050</xdr:colOff>
      <xdr:row>81</xdr:row>
      <xdr:rowOff>180975</xdr:rowOff>
    </xdr:from>
    <xdr:to>
      <xdr:col>16</xdr:col>
      <xdr:colOff>228600</xdr:colOff>
      <xdr:row>83</xdr:row>
      <xdr:rowOff>57150</xdr:rowOff>
    </xdr:to>
    <xdr:sp macro="" textlink="">
      <xdr:nvSpPr>
        <xdr:cNvPr id="139" name="TextBox 138">
          <a:extLst>
            <a:ext uri="{FF2B5EF4-FFF2-40B4-BE49-F238E27FC236}">
              <a16:creationId xmlns=""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3544550" y="4343400"/>
          <a:ext cx="1047750" cy="2571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solidFill>
                <a:schemeClr val="tx2"/>
              </a:solidFill>
            </a:rPr>
            <a:t>Covered</a:t>
          </a:r>
        </a:p>
      </xdr:txBody>
    </xdr:sp>
    <xdr:clientData/>
  </xdr:twoCellAnchor>
  <xdr:twoCellAnchor>
    <xdr:from>
      <xdr:col>15</xdr:col>
      <xdr:colOff>9525</xdr:colOff>
      <xdr:row>87</xdr:row>
      <xdr:rowOff>9525</xdr:rowOff>
    </xdr:from>
    <xdr:to>
      <xdr:col>16</xdr:col>
      <xdr:colOff>219075</xdr:colOff>
      <xdr:row>88</xdr:row>
      <xdr:rowOff>76200</xdr:rowOff>
    </xdr:to>
    <xdr:sp macro="" textlink="">
      <xdr:nvSpPr>
        <xdr:cNvPr id="140" name="TextBox 139">
          <a:extLst>
            <a:ext uri="{FF2B5EF4-FFF2-40B4-BE49-F238E27FC236}">
              <a16:creationId xmlns=""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13535025" y="5314950"/>
          <a:ext cx="1047750" cy="2571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solidFill>
                <a:schemeClr val="tx2"/>
              </a:solidFill>
            </a:rPr>
            <a:t>Uncovered</a:t>
          </a:r>
        </a:p>
      </xdr:txBody>
    </xdr:sp>
    <xdr:clientData/>
  </xdr:twoCellAnchor>
  <xdr:twoCellAnchor>
    <xdr:from>
      <xdr:col>17</xdr:col>
      <xdr:colOff>400050</xdr:colOff>
      <xdr:row>78</xdr:row>
      <xdr:rowOff>142875</xdr:rowOff>
    </xdr:from>
    <xdr:to>
      <xdr:col>17</xdr:col>
      <xdr:colOff>561975</xdr:colOff>
      <xdr:row>86</xdr:row>
      <xdr:rowOff>47625</xdr:rowOff>
    </xdr:to>
    <xdr:sp macro="" textlink="">
      <xdr:nvSpPr>
        <xdr:cNvPr id="141" name="Right Brace 140">
          <a:extLst>
            <a:ext uri="{FF2B5EF4-FFF2-40B4-BE49-F238E27FC236}">
              <a16:creationId xmlns="" xmlns:a16="http://schemas.microsoft.com/office/drawing/2014/main" id="{00000000-0008-0000-0100-00008D000000}"/>
            </a:ext>
          </a:extLst>
        </xdr:cNvPr>
        <xdr:cNvSpPr/>
      </xdr:nvSpPr>
      <xdr:spPr>
        <a:xfrm>
          <a:off x="15601950" y="3733800"/>
          <a:ext cx="161925" cy="1428750"/>
        </a:xfrm>
        <a:prstGeom prst="rightBrace">
          <a:avLst/>
        </a:prstGeom>
        <a:ln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18</xdr:col>
      <xdr:colOff>419100</xdr:colOff>
      <xdr:row>83</xdr:row>
      <xdr:rowOff>114300</xdr:rowOff>
    </xdr:from>
    <xdr:to>
      <xdr:col>21</xdr:col>
      <xdr:colOff>304800</xdr:colOff>
      <xdr:row>85</xdr:row>
      <xdr:rowOff>171450</xdr:rowOff>
    </xdr:to>
    <xdr:sp macro="" textlink="">
      <xdr:nvSpPr>
        <xdr:cNvPr id="142" name="TextBox 141">
          <a:extLst>
            <a:ext uri="{FF2B5EF4-FFF2-40B4-BE49-F238E27FC236}">
              <a16:creationId xmlns="" xmlns:a16="http://schemas.microsoft.com/office/drawing/2014/main" id="{00000000-0008-0000-0100-00008E000000}"/>
            </a:ext>
          </a:extLst>
        </xdr:cNvPr>
        <xdr:cNvSpPr txBox="1"/>
      </xdr:nvSpPr>
      <xdr:spPr>
        <a:xfrm>
          <a:off x="16459200" y="4657725"/>
          <a:ext cx="1714500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chemeClr val="tx2"/>
              </a:solidFill>
            </a:rPr>
            <a:t>Remaining Covered GHGs ~ 87.7 Mt</a:t>
          </a:r>
          <a:r>
            <a:rPr lang="en-CA" sz="1100" baseline="0">
              <a:solidFill>
                <a:schemeClr val="tx2"/>
              </a:solidFill>
            </a:rPr>
            <a:t> in 2030</a:t>
          </a:r>
          <a:endParaRPr lang="en-CA" sz="1100">
            <a:solidFill>
              <a:schemeClr val="tx2"/>
            </a:solidFill>
          </a:endParaRPr>
        </a:p>
      </xdr:txBody>
    </xdr:sp>
    <xdr:clientData/>
  </xdr:twoCellAnchor>
  <xdr:twoCellAnchor>
    <xdr:from>
      <xdr:col>17</xdr:col>
      <xdr:colOff>590550</xdr:colOff>
      <xdr:row>82</xdr:row>
      <xdr:rowOff>104775</xdr:rowOff>
    </xdr:from>
    <xdr:to>
      <xdr:col>18</xdr:col>
      <xdr:colOff>504825</xdr:colOff>
      <xdr:row>84</xdr:row>
      <xdr:rowOff>38100</xdr:rowOff>
    </xdr:to>
    <xdr:cxnSp macro="">
      <xdr:nvCxnSpPr>
        <xdr:cNvPr id="143" name="Straight Connector 142">
          <a:extLst>
            <a:ext uri="{FF2B5EF4-FFF2-40B4-BE49-F238E27FC236}">
              <a16:creationId xmlns="" xmlns:a16="http://schemas.microsoft.com/office/drawing/2014/main" id="{00000000-0008-0000-0100-00008F000000}"/>
            </a:ext>
          </a:extLst>
        </xdr:cNvPr>
        <xdr:cNvCxnSpPr/>
      </xdr:nvCxnSpPr>
      <xdr:spPr>
        <a:xfrm>
          <a:off x="15792450" y="4457700"/>
          <a:ext cx="752475" cy="314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409575</xdr:colOff>
      <xdr:row>86</xdr:row>
      <xdr:rowOff>57150</xdr:rowOff>
    </xdr:from>
    <xdr:to>
      <xdr:col>17</xdr:col>
      <xdr:colOff>581025</xdr:colOff>
      <xdr:row>89</xdr:row>
      <xdr:rowOff>95250</xdr:rowOff>
    </xdr:to>
    <xdr:sp macro="" textlink="">
      <xdr:nvSpPr>
        <xdr:cNvPr id="144" name="Right Brace 143">
          <a:extLst>
            <a:ext uri="{FF2B5EF4-FFF2-40B4-BE49-F238E27FC236}">
              <a16:creationId xmlns="" xmlns:a16="http://schemas.microsoft.com/office/drawing/2014/main" id="{00000000-0008-0000-0100-000090000000}"/>
            </a:ext>
          </a:extLst>
        </xdr:cNvPr>
        <xdr:cNvSpPr/>
      </xdr:nvSpPr>
      <xdr:spPr>
        <a:xfrm>
          <a:off x="15611475" y="5172075"/>
          <a:ext cx="171450" cy="609600"/>
        </a:xfrm>
        <a:prstGeom prst="rightBrace">
          <a:avLst/>
        </a:prstGeom>
        <a:ln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18</xdr:col>
      <xdr:colOff>133350</xdr:colOff>
      <xdr:row>87</xdr:row>
      <xdr:rowOff>57150</xdr:rowOff>
    </xdr:from>
    <xdr:to>
      <xdr:col>20</xdr:col>
      <xdr:colOff>161925</xdr:colOff>
      <xdr:row>89</xdr:row>
      <xdr:rowOff>114300</xdr:rowOff>
    </xdr:to>
    <xdr:sp macro="" textlink="">
      <xdr:nvSpPr>
        <xdr:cNvPr id="145" name="TextBox 144">
          <a:extLst>
            <a:ext uri="{FF2B5EF4-FFF2-40B4-BE49-F238E27FC236}">
              <a16:creationId xmlns=""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16173450" y="5362575"/>
          <a:ext cx="1247775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chemeClr val="tx2"/>
              </a:solidFill>
            </a:rPr>
            <a:t>Uncovered</a:t>
          </a:r>
          <a:r>
            <a:rPr lang="en-CA" sz="1100" baseline="0">
              <a:solidFill>
                <a:schemeClr val="tx2"/>
              </a:solidFill>
            </a:rPr>
            <a:t> </a:t>
          </a:r>
          <a:r>
            <a:rPr lang="en-CA" sz="1100">
              <a:solidFill>
                <a:schemeClr val="tx2"/>
              </a:solidFill>
            </a:rPr>
            <a:t>GHGs</a:t>
          </a:r>
        </a:p>
        <a:p>
          <a:r>
            <a:rPr lang="en-CA" sz="1100">
              <a:solidFill>
                <a:schemeClr val="tx2"/>
              </a:solidFill>
            </a:rPr>
            <a:t> ~ 26 Mt</a:t>
          </a:r>
          <a:r>
            <a:rPr lang="en-CA" sz="1100" baseline="0">
              <a:solidFill>
                <a:schemeClr val="tx2"/>
              </a:solidFill>
            </a:rPr>
            <a:t> in 2030</a:t>
          </a:r>
          <a:endParaRPr lang="en-CA" sz="1100">
            <a:solidFill>
              <a:schemeClr val="tx2"/>
            </a:solidFill>
          </a:endParaRPr>
        </a:p>
      </xdr:txBody>
    </xdr:sp>
    <xdr:clientData/>
  </xdr:twoCellAnchor>
  <xdr:twoCellAnchor>
    <xdr:from>
      <xdr:col>7</xdr:col>
      <xdr:colOff>333375</xdr:colOff>
      <xdr:row>73</xdr:row>
      <xdr:rowOff>171450</xdr:rowOff>
    </xdr:from>
    <xdr:to>
      <xdr:col>7</xdr:col>
      <xdr:colOff>447675</xdr:colOff>
      <xdr:row>74</xdr:row>
      <xdr:rowOff>104775</xdr:rowOff>
    </xdr:to>
    <xdr:sp macro="" textlink="">
      <xdr:nvSpPr>
        <xdr:cNvPr id="146" name="Left Brace 145">
          <a:extLst>
            <a:ext uri="{FF2B5EF4-FFF2-40B4-BE49-F238E27FC236}">
              <a16:creationId xmlns="" xmlns:a16="http://schemas.microsoft.com/office/drawing/2014/main" id="{00000000-0008-0000-0100-000092000000}"/>
            </a:ext>
          </a:extLst>
        </xdr:cNvPr>
        <xdr:cNvSpPr/>
      </xdr:nvSpPr>
      <xdr:spPr>
        <a:xfrm>
          <a:off x="7381875" y="2809875"/>
          <a:ext cx="114300" cy="12382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7</xdr:col>
      <xdr:colOff>247650</xdr:colOff>
      <xdr:row>74</xdr:row>
      <xdr:rowOff>123825</xdr:rowOff>
    </xdr:from>
    <xdr:to>
      <xdr:col>7</xdr:col>
      <xdr:colOff>438150</xdr:colOff>
      <xdr:row>86</xdr:row>
      <xdr:rowOff>104775</xdr:rowOff>
    </xdr:to>
    <xdr:sp macro="" textlink="">
      <xdr:nvSpPr>
        <xdr:cNvPr id="147" name="Left Brace 146">
          <a:extLst>
            <a:ext uri="{FF2B5EF4-FFF2-40B4-BE49-F238E27FC236}">
              <a16:creationId xmlns="" xmlns:a16="http://schemas.microsoft.com/office/drawing/2014/main" id="{00000000-0008-0000-0100-000093000000}"/>
            </a:ext>
          </a:extLst>
        </xdr:cNvPr>
        <xdr:cNvSpPr/>
      </xdr:nvSpPr>
      <xdr:spPr>
        <a:xfrm>
          <a:off x="7296150" y="2952750"/>
          <a:ext cx="190500" cy="226695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7</xdr:col>
      <xdr:colOff>257175</xdr:colOff>
      <xdr:row>86</xdr:row>
      <xdr:rowOff>133350</xdr:rowOff>
    </xdr:from>
    <xdr:to>
      <xdr:col>7</xdr:col>
      <xdr:colOff>419100</xdr:colOff>
      <xdr:row>89</xdr:row>
      <xdr:rowOff>47625</xdr:rowOff>
    </xdr:to>
    <xdr:sp macro="" textlink="">
      <xdr:nvSpPr>
        <xdr:cNvPr id="148" name="Left Brace 147">
          <a:extLst>
            <a:ext uri="{FF2B5EF4-FFF2-40B4-BE49-F238E27FC236}">
              <a16:creationId xmlns="" xmlns:a16="http://schemas.microsoft.com/office/drawing/2014/main" id="{00000000-0008-0000-0100-000094000000}"/>
            </a:ext>
          </a:extLst>
        </xdr:cNvPr>
        <xdr:cNvSpPr/>
      </xdr:nvSpPr>
      <xdr:spPr>
        <a:xfrm>
          <a:off x="7305675" y="5248275"/>
          <a:ext cx="161925" cy="48577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5</xdr:col>
      <xdr:colOff>266700</xdr:colOff>
      <xdr:row>79</xdr:row>
      <xdr:rowOff>152400</xdr:rowOff>
    </xdr:from>
    <xdr:to>
      <xdr:col>7</xdr:col>
      <xdr:colOff>228600</xdr:colOff>
      <xdr:row>82</xdr:row>
      <xdr:rowOff>19050</xdr:rowOff>
    </xdr:to>
    <xdr:sp macro="" textlink="">
      <xdr:nvSpPr>
        <xdr:cNvPr id="149" name="TextBox 148">
          <a:extLst>
            <a:ext uri="{FF2B5EF4-FFF2-40B4-BE49-F238E27FC236}">
              <a16:creationId xmlns=""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6096000" y="3933825"/>
          <a:ext cx="1181100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chemeClr val="tx2"/>
              </a:solidFill>
            </a:rPr>
            <a:t>Covered GHGs </a:t>
          </a:r>
        </a:p>
        <a:p>
          <a:r>
            <a:rPr lang="en-CA" sz="1100">
              <a:solidFill>
                <a:schemeClr val="tx2"/>
              </a:solidFill>
            </a:rPr>
            <a:t>~ 124 Mt</a:t>
          </a:r>
          <a:r>
            <a:rPr lang="en-CA" sz="1100" baseline="0">
              <a:solidFill>
                <a:schemeClr val="tx2"/>
              </a:solidFill>
            </a:rPr>
            <a:t> in 2020</a:t>
          </a:r>
          <a:endParaRPr lang="en-CA" sz="1100">
            <a:solidFill>
              <a:schemeClr val="tx2"/>
            </a:solidFill>
          </a:endParaRPr>
        </a:p>
      </xdr:txBody>
    </xdr:sp>
    <xdr:clientData/>
  </xdr:twoCellAnchor>
  <xdr:twoCellAnchor>
    <xdr:from>
      <xdr:col>5</xdr:col>
      <xdr:colOff>257175</xdr:colOff>
      <xdr:row>86</xdr:row>
      <xdr:rowOff>152400</xdr:rowOff>
    </xdr:from>
    <xdr:to>
      <xdr:col>7</xdr:col>
      <xdr:colOff>285750</xdr:colOff>
      <xdr:row>89</xdr:row>
      <xdr:rowOff>19050</xdr:rowOff>
    </xdr:to>
    <xdr:sp macro="" textlink="">
      <xdr:nvSpPr>
        <xdr:cNvPr id="150" name="TextBox 149">
          <a:extLst>
            <a:ext uri="{FF2B5EF4-FFF2-40B4-BE49-F238E27FC236}">
              <a16:creationId xmlns=""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6086475" y="5267325"/>
          <a:ext cx="1247775" cy="4381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chemeClr val="tx2"/>
              </a:solidFill>
            </a:rPr>
            <a:t>Uncovered</a:t>
          </a:r>
          <a:r>
            <a:rPr lang="en-CA" sz="1100" baseline="0">
              <a:solidFill>
                <a:schemeClr val="tx2"/>
              </a:solidFill>
            </a:rPr>
            <a:t> </a:t>
          </a:r>
          <a:r>
            <a:rPr lang="en-CA" sz="1100">
              <a:solidFill>
                <a:schemeClr val="tx2"/>
              </a:solidFill>
            </a:rPr>
            <a:t>GHGs</a:t>
          </a:r>
        </a:p>
        <a:p>
          <a:r>
            <a:rPr lang="en-CA" sz="1100">
              <a:solidFill>
                <a:schemeClr val="tx2"/>
              </a:solidFill>
            </a:rPr>
            <a:t> ~ 31 Mt</a:t>
          </a:r>
          <a:r>
            <a:rPr lang="en-CA" sz="1100" baseline="0">
              <a:solidFill>
                <a:schemeClr val="tx2"/>
              </a:solidFill>
            </a:rPr>
            <a:t> in 2020</a:t>
          </a:r>
          <a:endParaRPr lang="en-CA" sz="1100">
            <a:solidFill>
              <a:schemeClr val="tx2"/>
            </a:solidFill>
          </a:endParaRPr>
        </a:p>
      </xdr:txBody>
    </xdr:sp>
    <xdr:clientData/>
  </xdr:twoCellAnchor>
  <xdr:twoCellAnchor>
    <xdr:from>
      <xdr:col>16</xdr:col>
      <xdr:colOff>400050</xdr:colOff>
      <xdr:row>72</xdr:row>
      <xdr:rowOff>38100</xdr:rowOff>
    </xdr:from>
    <xdr:to>
      <xdr:col>19</xdr:col>
      <xdr:colOff>190500</xdr:colOff>
      <xdr:row>73</xdr:row>
      <xdr:rowOff>95250</xdr:rowOff>
    </xdr:to>
    <xdr:sp macro="" textlink="">
      <xdr:nvSpPr>
        <xdr:cNvPr id="151" name="TextBox 150">
          <a:extLst>
            <a:ext uri="{FF2B5EF4-FFF2-40B4-BE49-F238E27FC236}">
              <a16:creationId xmlns=""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4763750" y="2486025"/>
          <a:ext cx="2076450" cy="2476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solidFill>
                <a:schemeClr val="tx2"/>
              </a:solidFill>
            </a:rPr>
            <a:t>163.7 Mt GHG Forecast</a:t>
          </a:r>
        </a:p>
      </xdr:txBody>
    </xdr:sp>
    <xdr:clientData/>
  </xdr:twoCellAnchor>
  <xdr:twoCellAnchor>
    <xdr:from>
      <xdr:col>7</xdr:col>
      <xdr:colOff>266700</xdr:colOff>
      <xdr:row>72</xdr:row>
      <xdr:rowOff>114300</xdr:rowOff>
    </xdr:from>
    <xdr:to>
      <xdr:col>8</xdr:col>
      <xdr:colOff>390525</xdr:colOff>
      <xdr:row>73</xdr:row>
      <xdr:rowOff>171450</xdr:rowOff>
    </xdr:to>
    <xdr:sp macro="" textlink="">
      <xdr:nvSpPr>
        <xdr:cNvPr id="152" name="TextBox 151">
          <a:extLst>
            <a:ext uri="{FF2B5EF4-FFF2-40B4-BE49-F238E27FC236}">
              <a16:creationId xmlns=""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7315200" y="2562225"/>
          <a:ext cx="733425" cy="2476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solidFill>
                <a:schemeClr val="tx2"/>
              </a:solidFill>
            </a:rPr>
            <a:t>163.4 Mt</a:t>
          </a:r>
        </a:p>
      </xdr:txBody>
    </xdr:sp>
    <xdr:clientData/>
  </xdr:twoCellAnchor>
  <xdr:twoCellAnchor>
    <xdr:from>
      <xdr:col>3</xdr:col>
      <xdr:colOff>1362074</xdr:colOff>
      <xdr:row>67</xdr:row>
      <xdr:rowOff>19050</xdr:rowOff>
    </xdr:from>
    <xdr:to>
      <xdr:col>6</xdr:col>
      <xdr:colOff>295274</xdr:colOff>
      <xdr:row>68</xdr:row>
      <xdr:rowOff>95250</xdr:rowOff>
    </xdr:to>
    <xdr:sp macro="" textlink="">
      <xdr:nvSpPr>
        <xdr:cNvPr id="153" name="TextBox 152">
          <a:extLst>
            <a:ext uri="{FF2B5EF4-FFF2-40B4-BE49-F238E27FC236}">
              <a16:creationId xmlns=""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3190874" y="1514475"/>
          <a:ext cx="3543300" cy="2667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000" b="1">
              <a:solidFill>
                <a:schemeClr val="tx1">
                  <a:lumMod val="50000"/>
                  <a:lumOff val="50000"/>
                </a:schemeClr>
              </a:solidFill>
            </a:rPr>
            <a:t>Start of Ontario's Program</a:t>
          </a:r>
        </a:p>
      </xdr:txBody>
    </xdr:sp>
    <xdr:clientData/>
  </xdr:twoCellAnchor>
  <xdr:twoCellAnchor>
    <xdr:from>
      <xdr:col>7</xdr:col>
      <xdr:colOff>9525</xdr:colOff>
      <xdr:row>68</xdr:row>
      <xdr:rowOff>114300</xdr:rowOff>
    </xdr:from>
    <xdr:to>
      <xdr:col>9</xdr:col>
      <xdr:colOff>38100</xdr:colOff>
      <xdr:row>70</xdr:row>
      <xdr:rowOff>0</xdr:rowOff>
    </xdr:to>
    <xdr:sp macro="" textlink="">
      <xdr:nvSpPr>
        <xdr:cNvPr id="154" name="TextBox 153">
          <a:extLst>
            <a:ext uri="{FF2B5EF4-FFF2-40B4-BE49-F238E27FC236}">
              <a16:creationId xmlns="" xmlns:a16="http://schemas.microsoft.com/office/drawing/2014/main" id="{00000000-0008-0000-0100-00009A000000}"/>
            </a:ext>
          </a:extLst>
        </xdr:cNvPr>
        <xdr:cNvSpPr txBox="1"/>
      </xdr:nvSpPr>
      <xdr:spPr>
        <a:xfrm>
          <a:off x="7058025" y="1800225"/>
          <a:ext cx="1476375" cy="2667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000">
              <a:solidFill>
                <a:schemeClr val="tx2"/>
              </a:solidFill>
            </a:rPr>
            <a:t>Program</a:t>
          </a:r>
          <a:r>
            <a:rPr lang="en-CA" sz="1000" baseline="0">
              <a:solidFill>
                <a:schemeClr val="tx2"/>
              </a:solidFill>
            </a:rPr>
            <a:t> extends</a:t>
          </a:r>
          <a:endParaRPr lang="en-CA" sz="1000">
            <a:solidFill>
              <a:schemeClr val="tx2"/>
            </a:solidFill>
          </a:endParaRPr>
        </a:p>
      </xdr:txBody>
    </xdr:sp>
    <xdr:clientData/>
  </xdr:twoCellAnchor>
  <xdr:twoCellAnchor>
    <xdr:from>
      <xdr:col>5</xdr:col>
      <xdr:colOff>485775</xdr:colOff>
      <xdr:row>69</xdr:row>
      <xdr:rowOff>85725</xdr:rowOff>
    </xdr:from>
    <xdr:to>
      <xdr:col>5</xdr:col>
      <xdr:colOff>495301</xdr:colOff>
      <xdr:row>89</xdr:row>
      <xdr:rowOff>76201</xdr:rowOff>
    </xdr:to>
    <xdr:cxnSp macro="">
      <xdr:nvCxnSpPr>
        <xdr:cNvPr id="155" name="Straight Arrow Connector 154">
          <a:extLst>
            <a:ext uri="{FF2B5EF4-FFF2-40B4-BE49-F238E27FC236}">
              <a16:creationId xmlns="" xmlns:a16="http://schemas.microsoft.com/office/drawing/2014/main" id="{00000000-0008-0000-0100-00009B000000}"/>
            </a:ext>
          </a:extLst>
        </xdr:cNvPr>
        <xdr:cNvCxnSpPr/>
      </xdr:nvCxnSpPr>
      <xdr:spPr>
        <a:xfrm flipH="1" flipV="1">
          <a:off x="6315075" y="1962150"/>
          <a:ext cx="9526" cy="3800476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142876</xdr:colOff>
      <xdr:row>68</xdr:row>
      <xdr:rowOff>38099</xdr:rowOff>
    </xdr:from>
    <xdr:to>
      <xdr:col>6</xdr:col>
      <xdr:colOff>561976</xdr:colOff>
      <xdr:row>69</xdr:row>
      <xdr:rowOff>104774</xdr:rowOff>
    </xdr:to>
    <xdr:sp macro="" textlink="">
      <xdr:nvSpPr>
        <xdr:cNvPr id="156" name="TextBox 155">
          <a:extLst>
            <a:ext uri="{FF2B5EF4-FFF2-40B4-BE49-F238E27FC236}">
              <a16:creationId xmlns=""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5972176" y="1724024"/>
          <a:ext cx="1028700" cy="2571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000" b="1">
              <a:solidFill>
                <a:schemeClr val="tx2"/>
              </a:solidFill>
            </a:rPr>
            <a:t>Linking to WCI</a:t>
          </a:r>
        </a:p>
      </xdr:txBody>
    </xdr:sp>
    <xdr:clientData/>
  </xdr:twoCellAnchor>
  <xdr:twoCellAnchor>
    <xdr:from>
      <xdr:col>5</xdr:col>
      <xdr:colOff>571501</xdr:colOff>
      <xdr:row>95</xdr:row>
      <xdr:rowOff>123825</xdr:rowOff>
    </xdr:from>
    <xdr:to>
      <xdr:col>14</xdr:col>
      <xdr:colOff>104775</xdr:colOff>
      <xdr:row>114</xdr:row>
      <xdr:rowOff>57151</xdr:rowOff>
    </xdr:to>
    <xdr:graphicFrame macro="">
      <xdr:nvGraphicFramePr>
        <xdr:cNvPr id="157" name="Chart 156">
          <a:extLst>
            <a:ext uri="{FF2B5EF4-FFF2-40B4-BE49-F238E27FC236}">
              <a16:creationId xmlns="" xmlns:a16="http://schemas.microsoft.com/office/drawing/2014/main" id="{00000000-0008-0000-0100-00009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0</xdr:colOff>
      <xdr:row>298</xdr:row>
      <xdr:rowOff>0</xdr:rowOff>
    </xdr:from>
    <xdr:to>
      <xdr:col>9</xdr:col>
      <xdr:colOff>428626</xdr:colOff>
      <xdr:row>318</xdr:row>
      <xdr:rowOff>42864</xdr:rowOff>
    </xdr:to>
    <xdr:graphicFrame macro="">
      <xdr:nvGraphicFramePr>
        <xdr:cNvPr id="113" name="Chart 112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161925</xdr:colOff>
      <xdr:row>233</xdr:row>
      <xdr:rowOff>85725</xdr:rowOff>
    </xdr:from>
    <xdr:to>
      <xdr:col>9</xdr:col>
      <xdr:colOff>590551</xdr:colOff>
      <xdr:row>253</xdr:row>
      <xdr:rowOff>128589</xdr:rowOff>
    </xdr:to>
    <xdr:graphicFrame macro="">
      <xdr:nvGraphicFramePr>
        <xdr:cNvPr id="114" name="Chart 113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11</xdr:col>
      <xdr:colOff>38100</xdr:colOff>
      <xdr:row>232</xdr:row>
      <xdr:rowOff>9525</xdr:rowOff>
    </xdr:from>
    <xdr:to>
      <xdr:col>20</xdr:col>
      <xdr:colOff>47626</xdr:colOff>
      <xdr:row>252</xdr:row>
      <xdr:rowOff>52389</xdr:rowOff>
    </xdr:to>
    <xdr:graphicFrame macro="">
      <xdr:nvGraphicFramePr>
        <xdr:cNvPr id="118" name="Chart 117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0</xdr:colOff>
      <xdr:row>203</xdr:row>
      <xdr:rowOff>0</xdr:rowOff>
    </xdr:from>
    <xdr:to>
      <xdr:col>13</xdr:col>
      <xdr:colOff>466726</xdr:colOff>
      <xdr:row>223</xdr:row>
      <xdr:rowOff>42864</xdr:rowOff>
    </xdr:to>
    <xdr:graphicFrame macro="">
      <xdr:nvGraphicFramePr>
        <xdr:cNvPr id="117" name="Chart 116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0</xdr:colOff>
      <xdr:row>203</xdr:row>
      <xdr:rowOff>0</xdr:rowOff>
    </xdr:from>
    <xdr:to>
      <xdr:col>25</xdr:col>
      <xdr:colOff>314326</xdr:colOff>
      <xdr:row>223</xdr:row>
      <xdr:rowOff>42864</xdr:rowOff>
    </xdr:to>
    <xdr:graphicFrame macro="">
      <xdr:nvGraphicFramePr>
        <xdr:cNvPr id="119" name="Chart 118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28</xdr:col>
      <xdr:colOff>0</xdr:colOff>
      <xdr:row>203</xdr:row>
      <xdr:rowOff>0</xdr:rowOff>
    </xdr:from>
    <xdr:to>
      <xdr:col>39</xdr:col>
      <xdr:colOff>390526</xdr:colOff>
      <xdr:row>223</xdr:row>
      <xdr:rowOff>42864</xdr:rowOff>
    </xdr:to>
    <xdr:graphicFrame macro="">
      <xdr:nvGraphicFramePr>
        <xdr:cNvPr id="120" name="Chart 119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0.1158</cdr:x>
      <cdr:y>0.38789</cdr:y>
    </cdr:from>
    <cdr:to>
      <cdr:x>0.33157</cdr:x>
      <cdr:y>0.44882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66F78175-8887-4DB1-8946-53ACBEC2E511}"/>
            </a:ext>
          </a:extLst>
        </cdr:cNvPr>
        <cdr:cNvSpPr txBox="1"/>
      </cdr:nvSpPr>
      <cdr:spPr>
        <a:xfrm xmlns:a="http://schemas.openxmlformats.org/drawingml/2006/main">
          <a:off x="847106" y="2009897"/>
          <a:ext cx="1578429" cy="31568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CA" sz="1200" b="1">
              <a:solidFill>
                <a:schemeClr val="bg1"/>
              </a:solidFill>
            </a:rPr>
            <a:t>Covered Emissions</a:t>
          </a:r>
        </a:p>
      </cdr:txBody>
    </cdr:sp>
  </cdr:relSizeAnchor>
  <cdr:relSizeAnchor xmlns:cdr="http://schemas.openxmlformats.org/drawingml/2006/chartDrawing">
    <cdr:from>
      <cdr:x>0.11855</cdr:x>
      <cdr:y>0.71569</cdr:y>
    </cdr:from>
    <cdr:to>
      <cdr:x>0.33433</cdr:x>
      <cdr:y>0.77661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62F558E5-D29C-4B6D-BEF5-91D53EA09D63}"/>
            </a:ext>
          </a:extLst>
        </cdr:cNvPr>
        <cdr:cNvSpPr txBox="1"/>
      </cdr:nvSpPr>
      <cdr:spPr>
        <a:xfrm xmlns:a="http://schemas.openxmlformats.org/drawingml/2006/main">
          <a:off x="867229" y="3708400"/>
          <a:ext cx="1578429" cy="31568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200" b="1">
              <a:solidFill>
                <a:schemeClr val="bg1"/>
              </a:solidFill>
            </a:rPr>
            <a:t>Uncovered Emissions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294874</xdr:colOff>
      <xdr:row>22</xdr:row>
      <xdr:rowOff>38100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9438874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12</xdr:col>
      <xdr:colOff>75352</xdr:colOff>
      <xdr:row>45</xdr:row>
      <xdr:rowOff>123476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915025"/>
          <a:ext cx="6780952" cy="279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742950</xdr:colOff>
      <xdr:row>241</xdr:row>
      <xdr:rowOff>66675</xdr:rowOff>
    </xdr:from>
    <xdr:to>
      <xdr:col>17</xdr:col>
      <xdr:colOff>265113</xdr:colOff>
      <xdr:row>261</xdr:row>
      <xdr:rowOff>9525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6050" y="42033825"/>
          <a:ext cx="5543550" cy="3752850"/>
        </a:xfrm>
        <a:prstGeom prst="rect">
          <a:avLst/>
        </a:prstGeom>
      </xdr:spPr>
    </xdr:pic>
    <xdr:clientData/>
  </xdr:twoCellAnchor>
  <xdr:twoCellAnchor editAs="oneCell">
    <xdr:from>
      <xdr:col>25</xdr:col>
      <xdr:colOff>590550</xdr:colOff>
      <xdr:row>191</xdr:row>
      <xdr:rowOff>152400</xdr:rowOff>
    </xdr:from>
    <xdr:to>
      <xdr:col>29</xdr:col>
      <xdr:colOff>511175</xdr:colOff>
      <xdr:row>216</xdr:row>
      <xdr:rowOff>133350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63900" y="32642175"/>
          <a:ext cx="5543550" cy="4743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8</xdr:col>
      <xdr:colOff>45720</xdr:colOff>
      <xdr:row>171</xdr:row>
      <xdr:rowOff>114300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04825" y="22707600"/>
          <a:ext cx="4210050" cy="66675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900" b="0">
              <a:solidFill>
                <a:schemeClr val="bg1">
                  <a:lumMod val="95000"/>
                </a:schemeClr>
              </a:solidFill>
            </a:rPr>
            <a:t>--Preliminary analysis based on the January 2016 emissions forecast from EnviroEconomics, with adjusted electricity sector emissions (7.5 Mt). </a:t>
          </a:r>
        </a:p>
        <a:p>
          <a:endParaRPr lang="en-CA" sz="900" b="0">
            <a:solidFill>
              <a:schemeClr val="bg1">
                <a:lumMod val="95000"/>
              </a:schemeClr>
            </a:solidFill>
          </a:endParaRPr>
        </a:p>
        <a:p>
          <a:r>
            <a:rPr lang="en-CA" sz="900" b="0">
              <a:solidFill>
                <a:schemeClr val="bg1">
                  <a:lumMod val="95000"/>
                </a:schemeClr>
              </a:solidFill>
            </a:rPr>
            <a:t>--Assumes 5% of strategic reserves.             </a:t>
          </a:r>
        </a:p>
        <a:p>
          <a:endParaRPr lang="en-CA" sz="900" b="0">
            <a:solidFill>
              <a:schemeClr val="bg1">
                <a:lumMod val="95000"/>
              </a:schemeClr>
            </a:solidFill>
          </a:endParaRPr>
        </a:p>
        <a:p>
          <a:r>
            <a:rPr lang="en-CA" sz="900" b="0">
              <a:solidFill>
                <a:schemeClr val="bg1">
                  <a:lumMod val="95000"/>
                </a:schemeClr>
              </a:solidFill>
            </a:rPr>
            <a:t>--Assumes quarterly auction proceeds are 1/4 of total annual proceeds and first auction occurs in 2017       </a:t>
          </a:r>
        </a:p>
        <a:p>
          <a:endParaRPr lang="en-CA" sz="900" b="1">
            <a:solidFill>
              <a:schemeClr val="bg1">
                <a:lumMod val="95000"/>
              </a:schemeClr>
            </a:solidFill>
          </a:endParaRPr>
        </a:p>
        <a:p>
          <a:r>
            <a:rPr lang="en-CA" sz="900" b="1">
              <a:solidFill>
                <a:schemeClr val="bg1">
                  <a:lumMod val="95000"/>
                </a:schemeClr>
              </a:solidFill>
            </a:rPr>
            <a:t>Notes:</a:t>
          </a:r>
        </a:p>
        <a:p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>
              <a:solidFill>
                <a:schemeClr val="bg1">
                  <a:lumMod val="95000"/>
                </a:schemeClr>
              </a:solidFill>
            </a:rPr>
            <a:t>BAU</a:t>
          </a:r>
        </a:p>
        <a:p>
          <a:pPr lvl="1"/>
          <a:r>
            <a:rPr lang="en-CA" sz="900">
              <a:solidFill>
                <a:schemeClr val="bg1">
                  <a:lumMod val="95000"/>
                </a:schemeClr>
              </a:solidFill>
            </a:rPr>
            <a:t>Baseline: Facility Level 2013 Reporting Data</a:t>
          </a:r>
        </a:p>
        <a:p>
          <a:pPr lvl="1"/>
          <a:r>
            <a:rPr lang="en-CA" sz="900">
              <a:solidFill>
                <a:schemeClr val="bg1">
                  <a:lumMod val="95000"/>
                </a:schemeClr>
              </a:solidFill>
            </a:rPr>
            <a:t>Growth Factors: EnviroEconomics' Jan 6, 2016 Sector Level Emisions' Forecast</a:t>
          </a:r>
        </a:p>
        <a:p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>
              <a:solidFill>
                <a:schemeClr val="bg1">
                  <a:lumMod val="95000"/>
                </a:schemeClr>
              </a:solidFill>
            </a:rPr>
            <a:t>Policy Case</a:t>
          </a:r>
        </a:p>
        <a:p>
          <a:pPr lvl="1"/>
          <a:r>
            <a:rPr lang="en-CA" sz="900" b="1">
              <a:solidFill>
                <a:schemeClr val="bg1">
                  <a:lumMod val="95000"/>
                </a:schemeClr>
              </a:solidFill>
            </a:rPr>
            <a:t>A</a:t>
          </a:r>
          <a:r>
            <a:rPr lang="en-CA" sz="900">
              <a:solidFill>
                <a:schemeClr val="bg1">
                  <a:lumMod val="95000"/>
                </a:schemeClr>
              </a:solidFill>
            </a:rPr>
            <a:t>ssisstance</a:t>
          </a:r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 Factor: Assumed to be 1 for 2017-2020</a:t>
          </a:r>
        </a:p>
        <a:p>
          <a:pPr lvl="1"/>
          <a:r>
            <a:rPr lang="en-CA" sz="900" b="1">
              <a:solidFill>
                <a:schemeClr val="bg1">
                  <a:lumMod val="95000"/>
                </a:schemeClr>
              </a:solidFill>
              <a:latin typeface="+mn-lt"/>
              <a:ea typeface="+mn-ea"/>
              <a:cs typeface="+mn-cs"/>
            </a:rPr>
            <a:t>B</a:t>
          </a:r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enchmarks: Product output based, Energy BM, Facility Specific Intensity, Historical Based, Equal to 2013 Facility Emissions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900" b="1">
              <a:solidFill>
                <a:schemeClr val="bg1">
                  <a:lumMod val="95000"/>
                </a:schemeClr>
              </a:solidFill>
              <a:latin typeface="+mn-lt"/>
              <a:ea typeface="+mn-ea"/>
              <a:cs typeface="+mn-cs"/>
            </a:rPr>
            <a:t>C</a:t>
          </a:r>
          <a:r>
            <a:rPr lang="en-CA" sz="900" baseline="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ap Decline Factor: 4.57% decline in combustion, 0% in process for 2017-2020</a:t>
          </a:r>
          <a:endParaRPr lang="en-CA" sz="900">
            <a:solidFill>
              <a:schemeClr val="bg1">
                <a:lumMod val="95000"/>
              </a:schemeClr>
            </a:solidFill>
            <a:effectLst/>
          </a:endParaRPr>
        </a:p>
        <a:p>
          <a:endParaRPr lang="en-CA" sz="900" baseline="0">
            <a:solidFill>
              <a:schemeClr val="bg1">
                <a:lumMod val="95000"/>
              </a:schemeClr>
            </a:solidFill>
          </a:endParaRP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Carbon Price</a:t>
          </a:r>
        </a:p>
        <a:p>
          <a:pPr lvl="1"/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Average of the California Carbon and Bloomberg forecast in US$ converted into Can $ based on Jan 2016 Exch Rate from MOF</a:t>
          </a:r>
        </a:p>
        <a:p>
          <a:endParaRPr lang="en-CA" sz="900" baseline="0">
            <a:solidFill>
              <a:schemeClr val="bg1">
                <a:lumMod val="95000"/>
              </a:schemeClr>
            </a:solidFill>
          </a:endParaRPr>
        </a:p>
        <a:p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Calculations for advance auction numbers are based on: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2020 auctioned in 2017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2021 auctioned in 2018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2022 auctioned in 2019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2023 auctioned in 2020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2024 auctioned in 2021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Cap decline post 2020: 3.267% economy wide, 3.267% for industry combustion, process 0%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 b="1">
              <a:solidFill>
                <a:schemeClr val="bg1">
                  <a:lumMod val="95000"/>
                </a:schemeClr>
              </a:solidFill>
            </a:rPr>
            <a:t>Limitations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Sector or Facility Abatement not included.</a:t>
          </a:r>
          <a:endParaRPr lang="en-CA" sz="900">
            <a:solidFill>
              <a:schemeClr val="bg1">
                <a:lumMod val="95000"/>
              </a:schemeClr>
            </a:solidFill>
            <a:effectLst/>
          </a:endParaRPr>
        </a:p>
        <a:p>
          <a:pPr lvl="1"/>
          <a:r>
            <a:rPr lang="en-CA" sz="900">
              <a:solidFill>
                <a:schemeClr val="bg1">
                  <a:lumMod val="95000"/>
                </a:schemeClr>
              </a:solidFill>
            </a:rPr>
            <a:t>Facility level BAU assumes the</a:t>
          </a:r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 sector level growth as a proxy for facility growth</a:t>
          </a:r>
        </a:p>
        <a:p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 b="1">
              <a:solidFill>
                <a:schemeClr val="bg1">
                  <a:lumMod val="95000"/>
                </a:schemeClr>
              </a:solidFill>
            </a:rPr>
            <a:t>Uncertainty</a:t>
          </a:r>
        </a:p>
        <a:p>
          <a:r>
            <a:rPr lang="en-CA" sz="900" b="0">
              <a:solidFill>
                <a:schemeClr val="bg1">
                  <a:lumMod val="95000"/>
                </a:schemeClr>
              </a:solidFill>
            </a:rPr>
            <a:t>The analysis is exposed to a number of uncertainties</a:t>
          </a:r>
          <a:r>
            <a:rPr lang="en-CA" sz="900" b="0" baseline="0">
              <a:solidFill>
                <a:schemeClr val="bg1">
                  <a:lumMod val="95000"/>
                </a:schemeClr>
              </a:solidFill>
            </a:rPr>
            <a:t> such as:</a:t>
          </a:r>
          <a:endParaRPr lang="en-CA" sz="900" b="0">
            <a:solidFill>
              <a:schemeClr val="bg1">
                <a:lumMod val="95000"/>
              </a:schemeClr>
            </a:solidFill>
          </a:endParaRPr>
        </a:p>
        <a:p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>
              <a:solidFill>
                <a:schemeClr val="bg1">
                  <a:lumMod val="95000"/>
                </a:schemeClr>
              </a:solidFill>
            </a:rPr>
            <a:t>1.</a:t>
          </a:r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 High level of uncertainty on the exchange rate.</a:t>
          </a: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	The proceeds numbers are sensitive to changes in the exchange rate. For example an appreciation of Can $ by 5% could lead to a close to 5% drop in the proceeds amounts.</a:t>
          </a:r>
        </a:p>
        <a:p>
          <a:endParaRPr lang="en-CA" sz="900" baseline="0">
            <a:solidFill>
              <a:schemeClr val="bg1">
                <a:lumMod val="95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2. Uncertainty in the carbon price forecast.</a:t>
          </a:r>
          <a:endParaRPr lang="en-CA" sz="900">
            <a:solidFill>
              <a:schemeClr val="bg1">
                <a:lumMod val="95000"/>
              </a:schemeClr>
            </a:solidFill>
            <a:effectLst/>
          </a:endParaRP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	 </a:t>
          </a:r>
          <a:endParaRPr lang="en-CA" sz="900">
            <a:solidFill>
              <a:schemeClr val="bg1">
                <a:lumMod val="95000"/>
              </a:schemeClr>
            </a:solidFill>
            <a:effectLst/>
          </a:endParaRP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3. Uncertainty in the sector level growth rates.</a:t>
          </a: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	Sector level growth rates are based on Enviroeconomics's modelling work and are subject to uncertainty. </a:t>
          </a:r>
          <a:endParaRPr lang="en-CA" sz="9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9</xdr:col>
      <xdr:colOff>142874</xdr:colOff>
      <xdr:row>190</xdr:row>
      <xdr:rowOff>33336</xdr:rowOff>
    </xdr:from>
    <xdr:to>
      <xdr:col>19</xdr:col>
      <xdr:colOff>504825</xdr:colOff>
      <xdr:row>218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123826</xdr:colOff>
      <xdr:row>194</xdr:row>
      <xdr:rowOff>142875</xdr:rowOff>
    </xdr:from>
    <xdr:to>
      <xdr:col>11</xdr:col>
      <xdr:colOff>209551</xdr:colOff>
      <xdr:row>216</xdr:row>
      <xdr:rowOff>38100</xdr:rowOff>
    </xdr:to>
    <xdr:sp macro="" textlink="">
      <xdr:nvSpPr>
        <xdr:cNvPr id="6" name="Rectangl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/>
      </xdr:nvSpPr>
      <xdr:spPr>
        <a:xfrm>
          <a:off x="5876926" y="33204150"/>
          <a:ext cx="1123950" cy="4086225"/>
        </a:xfrm>
        <a:prstGeom prst="rect">
          <a:avLst/>
        </a:prstGeom>
        <a:solidFill>
          <a:schemeClr val="bg1">
            <a:lumMod val="50000"/>
            <a:alpha val="31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257174</xdr:colOff>
      <xdr:row>8</xdr:row>
      <xdr:rowOff>0</xdr:rowOff>
    </xdr:from>
    <xdr:to>
      <xdr:col>44</xdr:col>
      <xdr:colOff>409575</xdr:colOff>
      <xdr:row>35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3C329BA5-8648-4AB4-848A-9F3FD6531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314325</xdr:colOff>
      <xdr:row>37</xdr:row>
      <xdr:rowOff>57150</xdr:rowOff>
    </xdr:from>
    <xdr:to>
      <xdr:col>44</xdr:col>
      <xdr:colOff>466726</xdr:colOff>
      <xdr:row>65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1FD3ADE0-500F-4C6A-B628-B39B4C3A1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742950</xdr:colOff>
      <xdr:row>240</xdr:row>
      <xdr:rowOff>66675</xdr:rowOff>
    </xdr:from>
    <xdr:to>
      <xdr:col>18</xdr:col>
      <xdr:colOff>57150</xdr:colOff>
      <xdr:row>260</xdr:row>
      <xdr:rowOff>9525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0825" y="25841325"/>
          <a:ext cx="5543550" cy="3752850"/>
        </a:xfrm>
        <a:prstGeom prst="rect">
          <a:avLst/>
        </a:prstGeom>
      </xdr:spPr>
    </xdr:pic>
    <xdr:clientData/>
  </xdr:twoCellAnchor>
  <xdr:twoCellAnchor editAs="oneCell">
    <xdr:from>
      <xdr:col>24</xdr:col>
      <xdr:colOff>590550</xdr:colOff>
      <xdr:row>190</xdr:row>
      <xdr:rowOff>152400</xdr:rowOff>
    </xdr:from>
    <xdr:to>
      <xdr:col>28</xdr:col>
      <xdr:colOff>1400175</xdr:colOff>
      <xdr:row>215</xdr:row>
      <xdr:rowOff>133350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63900" y="32994600"/>
          <a:ext cx="5543550" cy="4743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8</xdr:col>
      <xdr:colOff>45720</xdr:colOff>
      <xdr:row>170</xdr:row>
      <xdr:rowOff>114300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504825" y="22336125"/>
          <a:ext cx="4210050" cy="66675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900" b="0">
              <a:solidFill>
                <a:schemeClr val="bg1">
                  <a:lumMod val="95000"/>
                </a:schemeClr>
              </a:solidFill>
            </a:rPr>
            <a:t>--Preliminary analysis based on the January 2016 emissions forecast from EnviroEconomics, with adjusted electricity sector emissions (7.5 Mt). </a:t>
          </a:r>
        </a:p>
        <a:p>
          <a:endParaRPr lang="en-CA" sz="900" b="0">
            <a:solidFill>
              <a:schemeClr val="bg1">
                <a:lumMod val="95000"/>
              </a:schemeClr>
            </a:solidFill>
          </a:endParaRPr>
        </a:p>
        <a:p>
          <a:r>
            <a:rPr lang="en-CA" sz="900" b="0">
              <a:solidFill>
                <a:schemeClr val="bg1">
                  <a:lumMod val="95000"/>
                </a:schemeClr>
              </a:solidFill>
            </a:rPr>
            <a:t>--Assumes 5% of strategic reserves.             </a:t>
          </a:r>
        </a:p>
        <a:p>
          <a:endParaRPr lang="en-CA" sz="900" b="0">
            <a:solidFill>
              <a:schemeClr val="bg1">
                <a:lumMod val="95000"/>
              </a:schemeClr>
            </a:solidFill>
          </a:endParaRPr>
        </a:p>
        <a:p>
          <a:r>
            <a:rPr lang="en-CA" sz="900" b="0">
              <a:solidFill>
                <a:schemeClr val="bg1">
                  <a:lumMod val="95000"/>
                </a:schemeClr>
              </a:solidFill>
            </a:rPr>
            <a:t>--Assumes quarterly auction proceeds are 1/4 of total annual proceeds and first auction occurs in 2017       </a:t>
          </a:r>
        </a:p>
        <a:p>
          <a:endParaRPr lang="en-CA" sz="900" b="1">
            <a:solidFill>
              <a:schemeClr val="bg1">
                <a:lumMod val="95000"/>
              </a:schemeClr>
            </a:solidFill>
          </a:endParaRPr>
        </a:p>
        <a:p>
          <a:r>
            <a:rPr lang="en-CA" sz="900" b="1">
              <a:solidFill>
                <a:schemeClr val="bg1">
                  <a:lumMod val="95000"/>
                </a:schemeClr>
              </a:solidFill>
            </a:rPr>
            <a:t>Notes:</a:t>
          </a:r>
        </a:p>
        <a:p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>
              <a:solidFill>
                <a:schemeClr val="bg1">
                  <a:lumMod val="95000"/>
                </a:schemeClr>
              </a:solidFill>
            </a:rPr>
            <a:t>BAU</a:t>
          </a:r>
        </a:p>
        <a:p>
          <a:pPr lvl="1"/>
          <a:r>
            <a:rPr lang="en-CA" sz="900">
              <a:solidFill>
                <a:schemeClr val="bg1">
                  <a:lumMod val="95000"/>
                </a:schemeClr>
              </a:solidFill>
            </a:rPr>
            <a:t>Baseline: Facility Level 2013 Reporting Data</a:t>
          </a:r>
        </a:p>
        <a:p>
          <a:pPr lvl="1"/>
          <a:r>
            <a:rPr lang="en-CA" sz="900">
              <a:solidFill>
                <a:schemeClr val="bg1">
                  <a:lumMod val="95000"/>
                </a:schemeClr>
              </a:solidFill>
            </a:rPr>
            <a:t>Growth Factors: EnviroEconomics' Jan 6, 2016 Sector Level Emisions' Forecast</a:t>
          </a:r>
        </a:p>
        <a:p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>
              <a:solidFill>
                <a:schemeClr val="bg1">
                  <a:lumMod val="95000"/>
                </a:schemeClr>
              </a:solidFill>
            </a:rPr>
            <a:t>Policy Case</a:t>
          </a:r>
        </a:p>
        <a:p>
          <a:pPr lvl="1"/>
          <a:r>
            <a:rPr lang="en-CA" sz="900" b="1">
              <a:solidFill>
                <a:schemeClr val="bg1">
                  <a:lumMod val="95000"/>
                </a:schemeClr>
              </a:solidFill>
            </a:rPr>
            <a:t>A</a:t>
          </a:r>
          <a:r>
            <a:rPr lang="en-CA" sz="900">
              <a:solidFill>
                <a:schemeClr val="bg1">
                  <a:lumMod val="95000"/>
                </a:schemeClr>
              </a:solidFill>
            </a:rPr>
            <a:t>ssisstance</a:t>
          </a:r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 Factor: Assumed to be 1 for 2017-2020</a:t>
          </a:r>
        </a:p>
        <a:p>
          <a:pPr lvl="1"/>
          <a:r>
            <a:rPr lang="en-CA" sz="900" b="1">
              <a:solidFill>
                <a:schemeClr val="bg1">
                  <a:lumMod val="95000"/>
                </a:schemeClr>
              </a:solidFill>
              <a:latin typeface="+mn-lt"/>
              <a:ea typeface="+mn-ea"/>
              <a:cs typeface="+mn-cs"/>
            </a:rPr>
            <a:t>B</a:t>
          </a:r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enchmarks: Product output based, Energy BM, Facility Specific Intensity, Historical Based, Equal to 2013 Facility Emissions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900" b="1">
              <a:solidFill>
                <a:schemeClr val="bg1">
                  <a:lumMod val="95000"/>
                </a:schemeClr>
              </a:solidFill>
              <a:latin typeface="+mn-lt"/>
              <a:ea typeface="+mn-ea"/>
              <a:cs typeface="+mn-cs"/>
            </a:rPr>
            <a:t>C</a:t>
          </a:r>
          <a:r>
            <a:rPr lang="en-CA" sz="900" baseline="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ap Decline Factor: 4.57% decline in combustion, 0% in process for 2017-2020</a:t>
          </a:r>
          <a:endParaRPr lang="en-CA" sz="900">
            <a:solidFill>
              <a:schemeClr val="bg1">
                <a:lumMod val="95000"/>
              </a:schemeClr>
            </a:solidFill>
            <a:effectLst/>
          </a:endParaRPr>
        </a:p>
        <a:p>
          <a:endParaRPr lang="en-CA" sz="900" baseline="0">
            <a:solidFill>
              <a:schemeClr val="bg1">
                <a:lumMod val="95000"/>
              </a:schemeClr>
            </a:solidFill>
          </a:endParaRP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Carbon Price</a:t>
          </a:r>
        </a:p>
        <a:p>
          <a:pPr lvl="1"/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Average of the California Carbon and Bloomberg forecast in US$ converted into Can $ based on Jan 2016 Exch Rate from MOF</a:t>
          </a:r>
        </a:p>
        <a:p>
          <a:endParaRPr lang="en-CA" sz="900" baseline="0">
            <a:solidFill>
              <a:schemeClr val="bg1">
                <a:lumMod val="95000"/>
              </a:schemeClr>
            </a:solidFill>
          </a:endParaRPr>
        </a:p>
        <a:p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Calculations for advance auction numbers are based on: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2020 auctioned in 2017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2021 auctioned in 2018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2022 auctioned in 2019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2023 auctioned in 2020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2024 auctioned in 2021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Cap decline post 2020: 3.267% economy wide, 3.267% for industry combustion, process 0%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 b="1">
              <a:solidFill>
                <a:schemeClr val="bg1">
                  <a:lumMod val="95000"/>
                </a:schemeClr>
              </a:solidFill>
            </a:rPr>
            <a:t>Limitations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Sector or Facility Abatement not included.</a:t>
          </a:r>
          <a:endParaRPr lang="en-CA" sz="900">
            <a:solidFill>
              <a:schemeClr val="bg1">
                <a:lumMod val="95000"/>
              </a:schemeClr>
            </a:solidFill>
            <a:effectLst/>
          </a:endParaRPr>
        </a:p>
        <a:p>
          <a:pPr lvl="1"/>
          <a:r>
            <a:rPr lang="en-CA" sz="900">
              <a:solidFill>
                <a:schemeClr val="bg1">
                  <a:lumMod val="95000"/>
                </a:schemeClr>
              </a:solidFill>
            </a:rPr>
            <a:t>Facility level BAU assumes the</a:t>
          </a:r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 sector level growth as a proxy for facility growth</a:t>
          </a:r>
        </a:p>
        <a:p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 b="1">
              <a:solidFill>
                <a:schemeClr val="bg1">
                  <a:lumMod val="95000"/>
                </a:schemeClr>
              </a:solidFill>
            </a:rPr>
            <a:t>Uncertainty</a:t>
          </a:r>
        </a:p>
        <a:p>
          <a:r>
            <a:rPr lang="en-CA" sz="900" b="0">
              <a:solidFill>
                <a:schemeClr val="bg1">
                  <a:lumMod val="95000"/>
                </a:schemeClr>
              </a:solidFill>
            </a:rPr>
            <a:t>The analysis is exposed to a number of uncertainties</a:t>
          </a:r>
          <a:r>
            <a:rPr lang="en-CA" sz="900" b="0" baseline="0">
              <a:solidFill>
                <a:schemeClr val="bg1">
                  <a:lumMod val="95000"/>
                </a:schemeClr>
              </a:solidFill>
            </a:rPr>
            <a:t> such as:</a:t>
          </a:r>
          <a:endParaRPr lang="en-CA" sz="900" b="0">
            <a:solidFill>
              <a:schemeClr val="bg1">
                <a:lumMod val="95000"/>
              </a:schemeClr>
            </a:solidFill>
          </a:endParaRPr>
        </a:p>
        <a:p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>
              <a:solidFill>
                <a:schemeClr val="bg1">
                  <a:lumMod val="95000"/>
                </a:schemeClr>
              </a:solidFill>
            </a:rPr>
            <a:t>1.</a:t>
          </a:r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 High level of uncertainty on the exchange rate.</a:t>
          </a: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	The proceeds numbers are sensitive to changes in the exchange rate. For example an appreciation of Can $ by 5% could lead to a close to 5% drop in the proceeds amounts.</a:t>
          </a:r>
        </a:p>
        <a:p>
          <a:endParaRPr lang="en-CA" sz="900" baseline="0">
            <a:solidFill>
              <a:schemeClr val="bg1">
                <a:lumMod val="95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2. Uncertainty in the carbon price forecast.</a:t>
          </a:r>
          <a:endParaRPr lang="en-CA" sz="900">
            <a:solidFill>
              <a:schemeClr val="bg1">
                <a:lumMod val="95000"/>
              </a:schemeClr>
            </a:solidFill>
            <a:effectLst/>
          </a:endParaRP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	 </a:t>
          </a:r>
          <a:endParaRPr lang="en-CA" sz="900">
            <a:solidFill>
              <a:schemeClr val="bg1">
                <a:lumMod val="95000"/>
              </a:schemeClr>
            </a:solidFill>
            <a:effectLst/>
          </a:endParaRP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3. Uncertainty in the sector level growth rates.</a:t>
          </a: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	Sector level growth rates are based on Enviroeconomics's modelling work and are subject to uncertainty. </a:t>
          </a:r>
          <a:endParaRPr lang="en-CA" sz="9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9</xdr:col>
      <xdr:colOff>142874</xdr:colOff>
      <xdr:row>189</xdr:row>
      <xdr:rowOff>33336</xdr:rowOff>
    </xdr:from>
    <xdr:to>
      <xdr:col>18</xdr:col>
      <xdr:colOff>504825</xdr:colOff>
      <xdr:row>217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123826</xdr:colOff>
      <xdr:row>193</xdr:row>
      <xdr:rowOff>142875</xdr:rowOff>
    </xdr:from>
    <xdr:to>
      <xdr:col>11</xdr:col>
      <xdr:colOff>209551</xdr:colOff>
      <xdr:row>215</xdr:row>
      <xdr:rowOff>38100</xdr:rowOff>
    </xdr:to>
    <xdr:sp macro="" textlink="">
      <xdr:nvSpPr>
        <xdr:cNvPr id="9" name="Rectangl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/>
      </xdr:nvSpPr>
      <xdr:spPr>
        <a:xfrm>
          <a:off x="5876926" y="33175575"/>
          <a:ext cx="1123950" cy="4086225"/>
        </a:xfrm>
        <a:prstGeom prst="rect">
          <a:avLst/>
        </a:prstGeom>
        <a:solidFill>
          <a:schemeClr val="bg1">
            <a:lumMod val="50000"/>
            <a:alpha val="31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9525</xdr:colOff>
      <xdr:row>93</xdr:row>
      <xdr:rowOff>95250</xdr:rowOff>
    </xdr:from>
    <xdr:to>
      <xdr:col>36</xdr:col>
      <xdr:colOff>28575</xdr:colOff>
      <xdr:row>103</xdr:row>
      <xdr:rowOff>161925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CxnSpPr/>
      </xdr:nvCxnSpPr>
      <xdr:spPr>
        <a:xfrm flipH="1" flipV="1">
          <a:off x="25803225" y="4857750"/>
          <a:ext cx="19050" cy="1971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161926</xdr:colOff>
      <xdr:row>157</xdr:row>
      <xdr:rowOff>123825</xdr:rowOff>
    </xdr:from>
    <xdr:to>
      <xdr:col>36</xdr:col>
      <xdr:colOff>180975</xdr:colOff>
      <xdr:row>169</xdr:row>
      <xdr:rowOff>38102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CxnSpPr/>
      </xdr:nvCxnSpPr>
      <xdr:spPr>
        <a:xfrm flipV="1">
          <a:off x="24879301" y="10220325"/>
          <a:ext cx="19049" cy="220027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189</xdr:row>
      <xdr:rowOff>0</xdr:rowOff>
    </xdr:from>
    <xdr:to>
      <xdr:col>36</xdr:col>
      <xdr:colOff>609600</xdr:colOff>
      <xdr:row>207</xdr:row>
      <xdr:rowOff>114300</xdr:rowOff>
    </xdr:to>
    <xdr:graphicFrame macro="">
      <xdr:nvGraphicFramePr>
        <xdr:cNvPr id="18" name="Chart 17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38</xdr:col>
      <xdr:colOff>38100</xdr:colOff>
      <xdr:row>189</xdr:row>
      <xdr:rowOff>0</xdr:rowOff>
    </xdr:from>
    <xdr:to>
      <xdr:col>48</xdr:col>
      <xdr:colOff>600075</xdr:colOff>
      <xdr:row>207</xdr:row>
      <xdr:rowOff>114300</xdr:rowOff>
    </xdr:to>
    <xdr:graphicFrame macro="">
      <xdr:nvGraphicFramePr>
        <xdr:cNvPr id="19" name="Chart 18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628650</xdr:colOff>
      <xdr:row>218</xdr:row>
      <xdr:rowOff>28575</xdr:rowOff>
    </xdr:from>
    <xdr:to>
      <xdr:col>49</xdr:col>
      <xdr:colOff>581025</xdr:colOff>
      <xdr:row>236</xdr:row>
      <xdr:rowOff>142875</xdr:rowOff>
    </xdr:to>
    <xdr:graphicFrame macro="">
      <xdr:nvGraphicFramePr>
        <xdr:cNvPr id="9" name="Chart 8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0</xdr:colOff>
      <xdr:row>219</xdr:row>
      <xdr:rowOff>0</xdr:rowOff>
    </xdr:from>
    <xdr:to>
      <xdr:col>36</xdr:col>
      <xdr:colOff>609600</xdr:colOff>
      <xdr:row>237</xdr:row>
      <xdr:rowOff>114300</xdr:rowOff>
    </xdr:to>
    <xdr:graphicFrame macro="">
      <xdr:nvGraphicFramePr>
        <xdr:cNvPr id="12" name="Chart 11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42</xdr:col>
      <xdr:colOff>542925</xdr:colOff>
      <xdr:row>154</xdr:row>
      <xdr:rowOff>28575</xdr:rowOff>
    </xdr:from>
    <xdr:to>
      <xdr:col>55</xdr:col>
      <xdr:colOff>247650</xdr:colOff>
      <xdr:row>172</xdr:row>
      <xdr:rowOff>142875</xdr:rowOff>
    </xdr:to>
    <xdr:graphicFrame macro="">
      <xdr:nvGraphicFramePr>
        <xdr:cNvPr id="14" name="Chart 13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57</xdr:col>
      <xdr:colOff>0</xdr:colOff>
      <xdr:row>156</xdr:row>
      <xdr:rowOff>0</xdr:rowOff>
    </xdr:from>
    <xdr:to>
      <xdr:col>63</xdr:col>
      <xdr:colOff>95250</xdr:colOff>
      <xdr:row>174</xdr:row>
      <xdr:rowOff>114300</xdr:rowOff>
    </xdr:to>
    <xdr:graphicFrame macro="">
      <xdr:nvGraphicFramePr>
        <xdr:cNvPr id="15" name="Chart 14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64</xdr:col>
      <xdr:colOff>0</xdr:colOff>
      <xdr:row>155</xdr:row>
      <xdr:rowOff>0</xdr:rowOff>
    </xdr:from>
    <xdr:to>
      <xdr:col>70</xdr:col>
      <xdr:colOff>95250</xdr:colOff>
      <xdr:row>173</xdr:row>
      <xdr:rowOff>114300</xdr:rowOff>
    </xdr:to>
    <xdr:graphicFrame macro="">
      <xdr:nvGraphicFramePr>
        <xdr:cNvPr id="10" name="Chart 9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416720</xdr:colOff>
      <xdr:row>470</xdr:row>
      <xdr:rowOff>129777</xdr:rowOff>
    </xdr:from>
    <xdr:to>
      <xdr:col>35</xdr:col>
      <xdr:colOff>28575</xdr:colOff>
      <xdr:row>496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0</xdr:colOff>
      <xdr:row>504</xdr:row>
      <xdr:rowOff>0</xdr:rowOff>
    </xdr:from>
    <xdr:to>
      <xdr:col>34</xdr:col>
      <xdr:colOff>469105</xdr:colOff>
      <xdr:row>529</xdr:row>
      <xdr:rowOff>70248</xdr:rowOff>
    </xdr:to>
    <xdr:graphicFrame macro="">
      <xdr:nvGraphicFramePr>
        <xdr:cNvPr id="13" name="Chart 12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49</xdr:col>
      <xdr:colOff>428625</xdr:colOff>
      <xdr:row>65</xdr:row>
      <xdr:rowOff>0</xdr:rowOff>
    </xdr:from>
    <xdr:to>
      <xdr:col>62</xdr:col>
      <xdr:colOff>342901</xdr:colOff>
      <xdr:row>471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228600</xdr:colOff>
      <xdr:row>123</xdr:row>
      <xdr:rowOff>161925</xdr:rowOff>
    </xdr:from>
    <xdr:to>
      <xdr:col>57</xdr:col>
      <xdr:colOff>466725</xdr:colOff>
      <xdr:row>125</xdr:row>
      <xdr:rowOff>123825</xdr:rowOff>
    </xdr:to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18449925" y="12877800"/>
          <a:ext cx="1457325" cy="3429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600" b="1">
              <a:solidFill>
                <a:srgbClr val="C00000"/>
              </a:solidFill>
            </a:rPr>
            <a:t>2016 OPS based 2021-30</a:t>
          </a:r>
          <a:r>
            <a:rPr lang="en-CA" sz="600" b="1" baseline="0">
              <a:solidFill>
                <a:srgbClr val="C00000"/>
              </a:solidFill>
            </a:rPr>
            <a:t> Average:</a:t>
          </a:r>
        </a:p>
        <a:p>
          <a:r>
            <a:rPr lang="en-CA" sz="600" b="1" baseline="0">
              <a:solidFill>
                <a:srgbClr val="C00000"/>
              </a:solidFill>
            </a:rPr>
            <a:t>                            4.2 Mt</a:t>
          </a:r>
          <a:endParaRPr lang="en-CA" sz="600" b="1">
            <a:solidFill>
              <a:srgbClr val="C00000"/>
            </a:solidFill>
          </a:endParaRPr>
        </a:p>
      </xdr:txBody>
    </xdr:sp>
    <xdr:clientData/>
  </xdr:twoCellAnchor>
  <xdr:twoCellAnchor>
    <xdr:from>
      <xdr:col>62</xdr:col>
      <xdr:colOff>57150</xdr:colOff>
      <xdr:row>124</xdr:row>
      <xdr:rowOff>28575</xdr:rowOff>
    </xdr:from>
    <xdr:to>
      <xdr:col>62</xdr:col>
      <xdr:colOff>523875</xdr:colOff>
      <xdr:row>125</xdr:row>
      <xdr:rowOff>133350</xdr:rowOff>
    </xdr:to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22469475" y="12934950"/>
          <a:ext cx="466725" cy="2952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CA" sz="600" b="1" baseline="0">
              <a:solidFill>
                <a:srgbClr val="C00000"/>
              </a:solidFill>
            </a:rPr>
            <a:t>                  4.2 Mt</a:t>
          </a:r>
          <a:endParaRPr lang="en-CA" sz="600" b="1">
            <a:solidFill>
              <a:srgbClr val="C00000"/>
            </a:solidFill>
          </a:endParaRPr>
        </a:p>
      </xdr:txBody>
    </xdr:sp>
    <xdr:clientData/>
  </xdr:twoCellAnchor>
  <xdr:twoCellAnchor>
    <xdr:from>
      <xdr:col>62</xdr:col>
      <xdr:colOff>85725</xdr:colOff>
      <xdr:row>126</xdr:row>
      <xdr:rowOff>161925</xdr:rowOff>
    </xdr:from>
    <xdr:to>
      <xdr:col>62</xdr:col>
      <xdr:colOff>552450</xdr:colOff>
      <xdr:row>128</xdr:row>
      <xdr:rowOff>76200</xdr:rowOff>
    </xdr:to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22498050" y="13449300"/>
          <a:ext cx="466725" cy="2952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CA" sz="600" b="1" baseline="0">
              <a:solidFill>
                <a:srgbClr val="C00000"/>
              </a:solidFill>
            </a:rPr>
            <a:t>                  3.1 Mt</a:t>
          </a:r>
          <a:endParaRPr lang="en-CA" sz="600" b="1">
            <a:solidFill>
              <a:srgbClr val="C00000"/>
            </a:solidFill>
          </a:endParaRPr>
        </a:p>
      </xdr:txBody>
    </xdr:sp>
    <xdr:clientData/>
  </xdr:twoCellAnchor>
  <xdr:twoCellAnchor>
    <xdr:from>
      <xdr:col>53</xdr:col>
      <xdr:colOff>419100</xdr:colOff>
      <xdr:row>130</xdr:row>
      <xdr:rowOff>95250</xdr:rowOff>
    </xdr:from>
    <xdr:to>
      <xdr:col>56</xdr:col>
      <xdr:colOff>47625</xdr:colOff>
      <xdr:row>465</xdr:row>
      <xdr:rowOff>57150</xdr:rowOff>
    </xdr:to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17421225" y="14144625"/>
          <a:ext cx="1457325" cy="3429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600" b="1">
              <a:solidFill>
                <a:schemeClr val="tx2"/>
              </a:solidFill>
            </a:rPr>
            <a:t>2015 SOR based 2017-20</a:t>
          </a:r>
          <a:r>
            <a:rPr lang="en-CA" sz="600" b="1" baseline="0">
              <a:solidFill>
                <a:schemeClr val="tx2"/>
              </a:solidFill>
            </a:rPr>
            <a:t> Average:</a:t>
          </a:r>
        </a:p>
        <a:p>
          <a:r>
            <a:rPr lang="en-CA" sz="600" b="1" baseline="0">
              <a:solidFill>
                <a:schemeClr val="tx2"/>
              </a:solidFill>
            </a:rPr>
            <a:t>                           1.0 Mt</a:t>
          </a:r>
          <a:endParaRPr lang="en-CA" sz="6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742950</xdr:colOff>
      <xdr:row>176</xdr:row>
      <xdr:rowOff>66675</xdr:rowOff>
    </xdr:from>
    <xdr:to>
      <xdr:col>18</xdr:col>
      <xdr:colOff>57150</xdr:colOff>
      <xdr:row>196</xdr:row>
      <xdr:rowOff>9525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91850" y="29632275"/>
          <a:ext cx="5543550" cy="37528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8</xdr:col>
      <xdr:colOff>45720</xdr:colOff>
      <xdr:row>167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6200" y="5600700"/>
          <a:ext cx="9094470" cy="66675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900" b="0">
              <a:solidFill>
                <a:schemeClr val="bg1">
                  <a:lumMod val="95000"/>
                </a:schemeClr>
              </a:solidFill>
            </a:rPr>
            <a:t>--Preliminary analysis based on the January 2016 emissions forecast from EnviroEconomics, with adjusted electricity sector emissions (7.5 Mt). </a:t>
          </a:r>
        </a:p>
        <a:p>
          <a:endParaRPr lang="en-CA" sz="900" b="0">
            <a:solidFill>
              <a:schemeClr val="bg1">
                <a:lumMod val="95000"/>
              </a:schemeClr>
            </a:solidFill>
          </a:endParaRPr>
        </a:p>
        <a:p>
          <a:r>
            <a:rPr lang="en-CA" sz="900" b="0">
              <a:solidFill>
                <a:schemeClr val="bg1">
                  <a:lumMod val="95000"/>
                </a:schemeClr>
              </a:solidFill>
            </a:rPr>
            <a:t>--Assumes 5% of strategic reserves.             </a:t>
          </a:r>
        </a:p>
        <a:p>
          <a:endParaRPr lang="en-CA" sz="900" b="0">
            <a:solidFill>
              <a:schemeClr val="bg1">
                <a:lumMod val="95000"/>
              </a:schemeClr>
            </a:solidFill>
          </a:endParaRPr>
        </a:p>
        <a:p>
          <a:r>
            <a:rPr lang="en-CA" sz="900" b="0">
              <a:solidFill>
                <a:schemeClr val="bg1">
                  <a:lumMod val="95000"/>
                </a:schemeClr>
              </a:solidFill>
            </a:rPr>
            <a:t>--Assumes quarterly auction proceeds are 1/4 of total annual proceeds and first auction occurs in 2017       </a:t>
          </a:r>
        </a:p>
        <a:p>
          <a:endParaRPr lang="en-CA" sz="900" b="1">
            <a:solidFill>
              <a:schemeClr val="bg1">
                <a:lumMod val="95000"/>
              </a:schemeClr>
            </a:solidFill>
          </a:endParaRPr>
        </a:p>
        <a:p>
          <a:r>
            <a:rPr lang="en-CA" sz="900" b="1">
              <a:solidFill>
                <a:schemeClr val="bg1">
                  <a:lumMod val="95000"/>
                </a:schemeClr>
              </a:solidFill>
            </a:rPr>
            <a:t>Notes:</a:t>
          </a:r>
        </a:p>
        <a:p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>
              <a:solidFill>
                <a:schemeClr val="bg1">
                  <a:lumMod val="95000"/>
                </a:schemeClr>
              </a:solidFill>
            </a:rPr>
            <a:t>BAU</a:t>
          </a:r>
        </a:p>
        <a:p>
          <a:pPr lvl="1"/>
          <a:r>
            <a:rPr lang="en-CA" sz="900">
              <a:solidFill>
                <a:schemeClr val="bg1">
                  <a:lumMod val="95000"/>
                </a:schemeClr>
              </a:solidFill>
            </a:rPr>
            <a:t>Baseline: Facility Level 2013 Reporting Data</a:t>
          </a:r>
        </a:p>
        <a:p>
          <a:pPr lvl="1"/>
          <a:r>
            <a:rPr lang="en-CA" sz="900">
              <a:solidFill>
                <a:schemeClr val="bg1">
                  <a:lumMod val="95000"/>
                </a:schemeClr>
              </a:solidFill>
            </a:rPr>
            <a:t>Growth Factors: EnviroEconomics' Jan 6, 2016 Sector Level Emisions' Forecast</a:t>
          </a:r>
        </a:p>
        <a:p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>
              <a:solidFill>
                <a:schemeClr val="bg1">
                  <a:lumMod val="95000"/>
                </a:schemeClr>
              </a:solidFill>
            </a:rPr>
            <a:t>Policy Case</a:t>
          </a:r>
        </a:p>
        <a:p>
          <a:pPr lvl="1"/>
          <a:r>
            <a:rPr lang="en-CA" sz="900" b="1">
              <a:solidFill>
                <a:schemeClr val="bg1">
                  <a:lumMod val="95000"/>
                </a:schemeClr>
              </a:solidFill>
            </a:rPr>
            <a:t>A</a:t>
          </a:r>
          <a:r>
            <a:rPr lang="en-CA" sz="900">
              <a:solidFill>
                <a:schemeClr val="bg1">
                  <a:lumMod val="95000"/>
                </a:schemeClr>
              </a:solidFill>
            </a:rPr>
            <a:t>ssisstance</a:t>
          </a:r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 Factor: Assumed to be 1 for 2017-2020</a:t>
          </a:r>
        </a:p>
        <a:p>
          <a:pPr lvl="1"/>
          <a:r>
            <a:rPr lang="en-CA" sz="900" b="1">
              <a:solidFill>
                <a:schemeClr val="bg1">
                  <a:lumMod val="95000"/>
                </a:schemeClr>
              </a:solidFill>
              <a:latin typeface="+mn-lt"/>
              <a:ea typeface="+mn-ea"/>
              <a:cs typeface="+mn-cs"/>
            </a:rPr>
            <a:t>B</a:t>
          </a:r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enchmarks: Product output based, Energy BM, Facility Specific Intensity, Historical Based, Equal to 2013 Facility Emissions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900" b="1">
              <a:solidFill>
                <a:schemeClr val="bg1">
                  <a:lumMod val="95000"/>
                </a:schemeClr>
              </a:solidFill>
              <a:latin typeface="+mn-lt"/>
              <a:ea typeface="+mn-ea"/>
              <a:cs typeface="+mn-cs"/>
            </a:rPr>
            <a:t>C</a:t>
          </a:r>
          <a:r>
            <a:rPr lang="en-CA" sz="900" baseline="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ap Decline Factor: 4.57% decline in combustion, 0% in process for 2017-2020</a:t>
          </a:r>
          <a:endParaRPr lang="en-CA" sz="900">
            <a:solidFill>
              <a:schemeClr val="bg1">
                <a:lumMod val="95000"/>
              </a:schemeClr>
            </a:solidFill>
            <a:effectLst/>
          </a:endParaRPr>
        </a:p>
        <a:p>
          <a:endParaRPr lang="en-CA" sz="900" baseline="0">
            <a:solidFill>
              <a:schemeClr val="bg1">
                <a:lumMod val="95000"/>
              </a:schemeClr>
            </a:solidFill>
          </a:endParaRP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Carbon Price</a:t>
          </a:r>
        </a:p>
        <a:p>
          <a:pPr lvl="1"/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Average of the California Carbon and Bloomberg forecast in US$ converted into Can $ based on Jan 2016 Exch Rate from MOF</a:t>
          </a:r>
        </a:p>
        <a:p>
          <a:endParaRPr lang="en-CA" sz="900" baseline="0">
            <a:solidFill>
              <a:schemeClr val="bg1">
                <a:lumMod val="95000"/>
              </a:schemeClr>
            </a:solidFill>
          </a:endParaRPr>
        </a:p>
        <a:p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Calculations for advance auction numbers are based on: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2020 auctioned in 2017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2021 auctioned in 2018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2022 auctioned in 2019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2023 auctioned in 2020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    10% of 2024 auctioned in 2021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Cap decline post 2020: 3.267% economy wide, 3.267% for industry combustion, process 0%</a:t>
          </a:r>
          <a:b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</a:br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 b="1">
              <a:solidFill>
                <a:schemeClr val="bg1">
                  <a:lumMod val="95000"/>
                </a:schemeClr>
              </a:solidFill>
            </a:rPr>
            <a:t>Limitations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90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Sector or Facility Abatement not included.</a:t>
          </a:r>
          <a:endParaRPr lang="en-CA" sz="900">
            <a:solidFill>
              <a:schemeClr val="bg1">
                <a:lumMod val="95000"/>
              </a:schemeClr>
            </a:solidFill>
            <a:effectLst/>
          </a:endParaRPr>
        </a:p>
        <a:p>
          <a:pPr lvl="1"/>
          <a:r>
            <a:rPr lang="en-CA" sz="900">
              <a:solidFill>
                <a:schemeClr val="bg1">
                  <a:lumMod val="95000"/>
                </a:schemeClr>
              </a:solidFill>
            </a:rPr>
            <a:t>Facility level BAU assumes the</a:t>
          </a:r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 sector level growth as a proxy for facility growth</a:t>
          </a:r>
        </a:p>
        <a:p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 b="1">
              <a:solidFill>
                <a:schemeClr val="bg1">
                  <a:lumMod val="95000"/>
                </a:schemeClr>
              </a:solidFill>
            </a:rPr>
            <a:t>Uncertainty</a:t>
          </a:r>
        </a:p>
        <a:p>
          <a:r>
            <a:rPr lang="en-CA" sz="900" b="0">
              <a:solidFill>
                <a:schemeClr val="bg1">
                  <a:lumMod val="95000"/>
                </a:schemeClr>
              </a:solidFill>
            </a:rPr>
            <a:t>The analysis is exposed to a number of uncertainties</a:t>
          </a:r>
          <a:r>
            <a:rPr lang="en-CA" sz="900" b="0" baseline="0">
              <a:solidFill>
                <a:schemeClr val="bg1">
                  <a:lumMod val="95000"/>
                </a:schemeClr>
              </a:solidFill>
            </a:rPr>
            <a:t> such as:</a:t>
          </a:r>
          <a:endParaRPr lang="en-CA" sz="900" b="0">
            <a:solidFill>
              <a:schemeClr val="bg1">
                <a:lumMod val="95000"/>
              </a:schemeClr>
            </a:solidFill>
          </a:endParaRPr>
        </a:p>
        <a:p>
          <a:endParaRPr lang="en-CA" sz="900">
            <a:solidFill>
              <a:schemeClr val="bg1">
                <a:lumMod val="95000"/>
              </a:schemeClr>
            </a:solidFill>
          </a:endParaRPr>
        </a:p>
        <a:p>
          <a:r>
            <a:rPr lang="en-CA" sz="900">
              <a:solidFill>
                <a:schemeClr val="bg1">
                  <a:lumMod val="95000"/>
                </a:schemeClr>
              </a:solidFill>
            </a:rPr>
            <a:t>1.</a:t>
          </a:r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 High level of uncertainty on the exchange rate.</a:t>
          </a: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	The proceeds numbers are sensitive to changes in the exchange rate. For example an appreciation of Can $ by 5% could lead to a close to 5% drop in the proceeds amounts.</a:t>
          </a:r>
        </a:p>
        <a:p>
          <a:endParaRPr lang="en-CA" sz="900" baseline="0">
            <a:solidFill>
              <a:schemeClr val="bg1">
                <a:lumMod val="95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2. Uncertainty in the carbon price forecast.</a:t>
          </a:r>
          <a:endParaRPr lang="en-CA" sz="900">
            <a:solidFill>
              <a:schemeClr val="bg1">
                <a:lumMod val="95000"/>
              </a:schemeClr>
            </a:solidFill>
            <a:effectLst/>
          </a:endParaRP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  <a:effectLst/>
              <a:latin typeface="+mn-lt"/>
              <a:ea typeface="+mn-ea"/>
              <a:cs typeface="+mn-cs"/>
            </a:rPr>
            <a:t>	 </a:t>
          </a:r>
          <a:endParaRPr lang="en-CA" sz="900">
            <a:solidFill>
              <a:schemeClr val="bg1">
                <a:lumMod val="95000"/>
              </a:schemeClr>
            </a:solidFill>
            <a:effectLst/>
          </a:endParaRP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3. Uncertainty in the sector level growth rates.</a:t>
          </a:r>
        </a:p>
        <a:p>
          <a:r>
            <a:rPr lang="en-CA" sz="900" baseline="0">
              <a:solidFill>
                <a:schemeClr val="bg1">
                  <a:lumMod val="95000"/>
                </a:schemeClr>
              </a:solidFill>
            </a:rPr>
            <a:t>	Sector level growth rates are based on Enviroeconomics's modelling work and are subject to uncertainty. </a:t>
          </a:r>
          <a:endParaRPr lang="en-CA" sz="9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55</xdr:row>
      <xdr:rowOff>38100</xdr:rowOff>
    </xdr:from>
    <xdr:to>
      <xdr:col>8</xdr:col>
      <xdr:colOff>76200</xdr:colOff>
      <xdr:row>99</xdr:row>
      <xdr:rowOff>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06680" y="9039225"/>
          <a:ext cx="9094470" cy="66675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900" b="0"/>
            <a:t>--Preliminary analysis based on the January 2016 emissions forecast from EnviroEconomics, with adjusted electricity sector emissions (7.5 Mt). </a:t>
          </a:r>
        </a:p>
        <a:p>
          <a:endParaRPr lang="en-CA" sz="900" b="0"/>
        </a:p>
        <a:p>
          <a:r>
            <a:rPr lang="en-CA" sz="900" b="0"/>
            <a:t>--Assumes 5% of strategic reserves.             </a:t>
          </a:r>
        </a:p>
        <a:p>
          <a:endParaRPr lang="en-CA" sz="900" b="0"/>
        </a:p>
        <a:p>
          <a:r>
            <a:rPr lang="en-CA" sz="900" b="0"/>
            <a:t>--Assumes quarterly auction proceeds are 1/4 of total annual proceeds and first auction occurs in 2017       </a:t>
          </a:r>
        </a:p>
        <a:p>
          <a:endParaRPr lang="en-CA" sz="900" b="1"/>
        </a:p>
        <a:p>
          <a:r>
            <a:rPr lang="en-CA" sz="900" b="1"/>
            <a:t>Notes:</a:t>
          </a:r>
        </a:p>
        <a:p>
          <a:endParaRPr lang="en-CA" sz="900"/>
        </a:p>
        <a:p>
          <a:r>
            <a:rPr lang="en-CA" sz="900"/>
            <a:t>BAU</a:t>
          </a:r>
        </a:p>
        <a:p>
          <a:pPr lvl="1"/>
          <a:r>
            <a:rPr lang="en-CA" sz="900"/>
            <a:t>Baseline: Facility Level 2013 Reporting Data</a:t>
          </a:r>
        </a:p>
        <a:p>
          <a:pPr lvl="1"/>
          <a:r>
            <a:rPr lang="en-CA" sz="900"/>
            <a:t>Growth Factors: EnviroEconomics' Jan 6, 2016 Sector Level Emisions' Forecast</a:t>
          </a:r>
        </a:p>
        <a:p>
          <a:endParaRPr lang="en-CA" sz="900"/>
        </a:p>
        <a:p>
          <a:r>
            <a:rPr lang="en-CA" sz="900"/>
            <a:t>Policy Case</a:t>
          </a:r>
        </a:p>
        <a:p>
          <a:pPr lvl="1"/>
          <a:r>
            <a:rPr lang="en-CA" sz="900" b="1">
              <a:solidFill>
                <a:srgbClr val="FF0000"/>
              </a:solidFill>
            </a:rPr>
            <a:t>A</a:t>
          </a:r>
          <a:r>
            <a:rPr lang="en-CA" sz="900"/>
            <a:t>ssisstance</a:t>
          </a:r>
          <a:r>
            <a:rPr lang="en-CA" sz="900" baseline="0"/>
            <a:t> Factor: Assumed to be 1 for 2017-2020</a:t>
          </a:r>
        </a:p>
        <a:p>
          <a:pPr lvl="1"/>
          <a:r>
            <a:rPr lang="en-CA" sz="900" b="1">
              <a:solidFill>
                <a:srgbClr val="FF0000"/>
              </a:solidFill>
              <a:latin typeface="+mn-lt"/>
              <a:ea typeface="+mn-ea"/>
              <a:cs typeface="+mn-cs"/>
            </a:rPr>
            <a:t>B</a:t>
          </a:r>
          <a:r>
            <a:rPr lang="en-CA" sz="900" baseline="0"/>
            <a:t>enchmarks: Product output based, Energy BM, Facility Specific Intensity, Historical Based, Equal to 2013 Facility Emissions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900" b="1">
              <a:solidFill>
                <a:srgbClr val="FF0000"/>
              </a:solidFill>
              <a:latin typeface="+mn-lt"/>
              <a:ea typeface="+mn-ea"/>
              <a:cs typeface="+mn-cs"/>
            </a:rPr>
            <a:t>C</a:t>
          </a:r>
          <a:r>
            <a:rPr lang="en-CA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 Decline Factor: 4.57% decline in combustion, 0% in process for 2017-2020</a:t>
          </a:r>
          <a:endParaRPr lang="en-CA" sz="900">
            <a:effectLst/>
          </a:endParaRPr>
        </a:p>
        <a:p>
          <a:endParaRPr lang="en-CA" sz="900" baseline="0"/>
        </a:p>
        <a:p>
          <a:r>
            <a:rPr lang="en-CA" sz="900" baseline="0"/>
            <a:t>Carbon Price</a:t>
          </a:r>
        </a:p>
        <a:p>
          <a:pPr lvl="1"/>
          <a:r>
            <a:rPr lang="en-CA" sz="900" baseline="0"/>
            <a:t>Average of the California Carbon and Bloomberg forecast in US$ converted into Can $ based on Jan 2016 Exch Rate from MOF</a:t>
          </a:r>
        </a:p>
        <a:p>
          <a:endParaRPr lang="en-CA" sz="900" baseline="0"/>
        </a:p>
        <a:p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Calculations for advance auction numbers are based on:</a:t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 10% of 2020 auctioned in 2017</a:t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 10% of 2021 auctioned in 2018</a:t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 10% of 2022 auctioned in 2019</a:t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 10% of 2023 auctioned in 2020</a:t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 10% of 2024 auctioned in 2021</a:t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Cap decline post 2020: 3.267% economy wide, 3.267% for industry combustion, process 0%</a:t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CA" sz="900"/>
        </a:p>
        <a:p>
          <a:r>
            <a:rPr lang="en-CA" sz="900" b="1"/>
            <a:t>Limitations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Sector or Facility Abatement not included.</a:t>
          </a:r>
          <a:endParaRPr lang="en-CA" sz="900">
            <a:effectLst/>
          </a:endParaRPr>
        </a:p>
        <a:p>
          <a:pPr lvl="1"/>
          <a:r>
            <a:rPr lang="en-CA" sz="900"/>
            <a:t>Facility level BAU assumes the</a:t>
          </a:r>
          <a:r>
            <a:rPr lang="en-CA" sz="900" baseline="0"/>
            <a:t> sector level growth as a proxy for facility growth</a:t>
          </a:r>
        </a:p>
        <a:p>
          <a:endParaRPr lang="en-CA" sz="900"/>
        </a:p>
        <a:p>
          <a:r>
            <a:rPr lang="en-CA" sz="900" b="1"/>
            <a:t>Uncertainty</a:t>
          </a:r>
        </a:p>
        <a:p>
          <a:r>
            <a:rPr lang="en-CA" sz="900" b="0"/>
            <a:t>The analysis is exposed to a number of uncertainties</a:t>
          </a:r>
          <a:r>
            <a:rPr lang="en-CA" sz="900" b="0" baseline="0"/>
            <a:t> such as:</a:t>
          </a:r>
          <a:endParaRPr lang="en-CA" sz="900" b="0"/>
        </a:p>
        <a:p>
          <a:endParaRPr lang="en-CA" sz="900"/>
        </a:p>
        <a:p>
          <a:r>
            <a:rPr lang="en-CA" sz="900"/>
            <a:t>1.</a:t>
          </a:r>
          <a:r>
            <a:rPr lang="en-CA" sz="900" baseline="0"/>
            <a:t> High level of uncertainty on the exchange rate.</a:t>
          </a:r>
        </a:p>
        <a:p>
          <a:r>
            <a:rPr lang="en-CA" sz="900" baseline="0"/>
            <a:t>	The proceeds numbers are sensitive to changes in the exchange rate. For example an appreciation of Can $ by 5% could lead to a close to 5% drop in the proceeds amounts.</a:t>
          </a:r>
        </a:p>
        <a:p>
          <a:endParaRPr lang="en-CA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Uncertainty in the carbon price forecast.</a:t>
          </a:r>
          <a:endParaRPr lang="en-CA" sz="900">
            <a:effectLst/>
          </a:endParaRPr>
        </a:p>
        <a:p>
          <a:r>
            <a:rPr lang="en-CA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 </a:t>
          </a:r>
          <a:endParaRPr lang="en-CA" sz="900">
            <a:effectLst/>
          </a:endParaRPr>
        </a:p>
        <a:p>
          <a:r>
            <a:rPr lang="en-CA" sz="900" baseline="0"/>
            <a:t>3. Uncertainty in the sector level growth rates.</a:t>
          </a:r>
        </a:p>
        <a:p>
          <a:r>
            <a:rPr lang="en-CA" sz="900" baseline="0"/>
            <a:t>	Sector level growth rates are based on Enviroeconomics's modelling work and are subject to uncertainty. </a:t>
          </a:r>
          <a:endParaRPr lang="en-CA" sz="9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56</xdr:row>
      <xdr:rowOff>38099</xdr:rowOff>
    </xdr:from>
    <xdr:to>
      <xdr:col>8</xdr:col>
      <xdr:colOff>0</xdr:colOff>
      <xdr:row>102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106680" y="4724399"/>
          <a:ext cx="9018270" cy="706755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900" b="0"/>
            <a:t>--2017-2020 analysis based on the January 2016 emissions forecast from EnviroEconomics, with adjusted electricity sector emissions (7.5 Mt). </a:t>
          </a:r>
        </a:p>
        <a:p>
          <a:endParaRPr lang="en-CA" sz="900" b="0"/>
        </a:p>
        <a:p>
          <a:r>
            <a:rPr lang="en-CA" sz="900" b="0">
              <a:solidFill>
                <a:srgbClr val="FF0000"/>
              </a:solidFill>
            </a:rPr>
            <a:t>- </a:t>
          </a:r>
          <a:r>
            <a:rPr lang="en-CA" sz="900" b="0">
              <a:solidFill>
                <a:srgbClr val="FF0000"/>
              </a:solidFill>
              <a:latin typeface="+mn-lt"/>
              <a:ea typeface="+mn-ea"/>
              <a:cs typeface="+mn-cs"/>
            </a:rPr>
            <a:t>Post-2020 analysis based on the September 2016 emissions forecast from EnviroEconomics, with adjusted electricity secotr emissions (3.87 Mt</a:t>
          </a:r>
          <a:r>
            <a:rPr lang="en-CA" sz="900" b="0" baseline="0">
              <a:solidFill>
                <a:srgbClr val="FF0000"/>
              </a:solidFill>
              <a:latin typeface="+mn-lt"/>
              <a:ea typeface="+mn-ea"/>
              <a:cs typeface="+mn-cs"/>
            </a:rPr>
            <a:t> domestic and 4.2 Mt imports based on averaged 2021-2030 domestic/imported emissions from the 2016 IESO's Ontario Planning Outlook (OPO)</a:t>
          </a:r>
        </a:p>
        <a:p>
          <a:endParaRPr lang="en-CA" sz="900" b="0"/>
        </a:p>
        <a:p>
          <a:r>
            <a:rPr lang="en-CA" sz="900" b="0"/>
            <a:t>--Assumes 5% of strategic reserves.             </a:t>
          </a:r>
        </a:p>
        <a:p>
          <a:endParaRPr lang="en-CA" sz="900" b="0"/>
        </a:p>
        <a:p>
          <a:r>
            <a:rPr lang="en-CA" sz="900" b="0"/>
            <a:t>--Assumes quarterly auction proceeds are 1/4 of total annual proceeds and first auction occurs in 2017       </a:t>
          </a:r>
        </a:p>
        <a:p>
          <a:endParaRPr lang="en-CA" sz="900" b="1"/>
        </a:p>
        <a:p>
          <a:r>
            <a:rPr lang="en-CA" sz="900" b="1"/>
            <a:t>Notes:</a:t>
          </a:r>
        </a:p>
        <a:p>
          <a:endParaRPr lang="en-CA" sz="900"/>
        </a:p>
        <a:p>
          <a:r>
            <a:rPr lang="en-CA" sz="900"/>
            <a:t>BAU</a:t>
          </a:r>
        </a:p>
        <a:p>
          <a:pPr lvl="1"/>
          <a:r>
            <a:rPr lang="en-CA" sz="900"/>
            <a:t>Baseline: Facility Level 2013 Reporting Data</a:t>
          </a:r>
        </a:p>
        <a:p>
          <a:pPr lvl="1"/>
          <a:r>
            <a:rPr lang="en-CA" sz="900"/>
            <a:t>Growth Factors: EnviroEconomics' </a:t>
          </a:r>
          <a:r>
            <a:rPr lang="en-CA" sz="900">
              <a:solidFill>
                <a:srgbClr val="FF0000"/>
              </a:solidFill>
            </a:rPr>
            <a:t>September 13, 2016 </a:t>
          </a:r>
          <a:r>
            <a:rPr lang="en-CA" sz="900"/>
            <a:t>Sector Level Emisions' Forecast</a:t>
          </a:r>
        </a:p>
        <a:p>
          <a:endParaRPr lang="en-CA" sz="900"/>
        </a:p>
        <a:p>
          <a:r>
            <a:rPr lang="en-CA" sz="900"/>
            <a:t>Policy Case</a:t>
          </a:r>
        </a:p>
        <a:p>
          <a:pPr lvl="1"/>
          <a:r>
            <a:rPr lang="en-CA" sz="900" b="1">
              <a:solidFill>
                <a:srgbClr val="FF0000"/>
              </a:solidFill>
            </a:rPr>
            <a:t>A</a:t>
          </a:r>
          <a:r>
            <a:rPr lang="en-CA" sz="900"/>
            <a:t>ssisstance</a:t>
          </a:r>
          <a:r>
            <a:rPr lang="en-CA" sz="900" baseline="0"/>
            <a:t> Factor: Assumed to be 1 for 2017-2020;  </a:t>
          </a:r>
          <a:r>
            <a:rPr lang="en-CA" sz="900" baseline="0">
              <a:solidFill>
                <a:srgbClr val="FF0000"/>
              </a:solidFill>
            </a:rPr>
            <a:t>95% during 2021-23;  90% during 2024-26;  85% during 2027-30</a:t>
          </a:r>
        </a:p>
        <a:p>
          <a:pPr lvl="1"/>
          <a:r>
            <a:rPr lang="en-CA" sz="900" b="1">
              <a:solidFill>
                <a:srgbClr val="FF0000"/>
              </a:solidFill>
              <a:latin typeface="+mn-lt"/>
              <a:ea typeface="+mn-ea"/>
              <a:cs typeface="+mn-cs"/>
            </a:rPr>
            <a:t>B</a:t>
          </a:r>
          <a:r>
            <a:rPr lang="en-CA" sz="900" baseline="0"/>
            <a:t>enchmarks: Product output based, Energy BM, Facility Specific Intensity, Historical Based, Equal to 2013 Facility Emissions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900" b="1">
              <a:solidFill>
                <a:srgbClr val="FF0000"/>
              </a:solidFill>
              <a:latin typeface="+mn-lt"/>
              <a:ea typeface="+mn-ea"/>
              <a:cs typeface="+mn-cs"/>
            </a:rPr>
            <a:t>C</a:t>
          </a:r>
          <a:r>
            <a:rPr lang="en-CA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 Decline Factor: 4.57% decline in combustion, 0% in process for 2017-2020; </a:t>
          </a:r>
          <a:r>
            <a:rPr lang="en-CA" sz="9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3.60% decline in combustion and 0% in process for 2021-2030</a:t>
          </a:r>
          <a:endParaRPr lang="en-CA" sz="900">
            <a:solidFill>
              <a:srgbClr val="FF0000"/>
            </a:solidFill>
            <a:effectLst/>
          </a:endParaRPr>
        </a:p>
        <a:p>
          <a:endParaRPr lang="en-CA" sz="900" baseline="0"/>
        </a:p>
        <a:p>
          <a:r>
            <a:rPr lang="en-CA" sz="900" baseline="0"/>
            <a:t>Carbon Price</a:t>
          </a:r>
        </a:p>
        <a:p>
          <a:pPr lvl="1"/>
          <a:r>
            <a:rPr lang="en-CA" sz="900" baseline="0"/>
            <a:t>Average </a:t>
          </a:r>
          <a:r>
            <a:rPr lang="en-CA" sz="900" baseline="0">
              <a:solidFill>
                <a:schemeClr val="dk1"/>
              </a:solidFill>
              <a:latin typeface="+mn-lt"/>
              <a:ea typeface="+mn-ea"/>
              <a:cs typeface="+mn-cs"/>
            </a:rPr>
            <a:t>of the </a:t>
          </a:r>
          <a:r>
            <a:rPr lang="en-CA" sz="900" baseline="0">
              <a:solidFill>
                <a:srgbClr val="FF0000"/>
              </a:solidFill>
              <a:latin typeface="+mn-lt"/>
              <a:ea typeface="+mn-ea"/>
              <a:cs typeface="+mn-cs"/>
            </a:rPr>
            <a:t>current (as of September 2016</a:t>
          </a:r>
          <a:r>
            <a:rPr lang="en-CA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en-CA" sz="900" baseline="0"/>
            <a:t>California Carbon and Bloomberg forecast in US$ converted into Can $ based on </a:t>
          </a:r>
          <a:r>
            <a:rPr lang="en-CA" sz="900" baseline="0">
              <a:solidFill>
                <a:srgbClr val="FF0000"/>
              </a:solidFill>
            </a:rPr>
            <a:t>Oct </a:t>
          </a:r>
          <a:r>
            <a:rPr lang="en-CA" sz="900" baseline="0"/>
            <a:t>2016 Exch Rate from MOF</a:t>
          </a:r>
        </a:p>
        <a:p>
          <a:endParaRPr lang="en-CA" sz="900" baseline="0"/>
        </a:p>
        <a:p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Calculations for advance auction numbers are based on:</a:t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 10% of 2020 auctioned in 2017</a:t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 10% of 2021 auctioned in 2018</a:t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 10% of 2022 auctioned in 2019</a:t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 10% of 2023 auctioned in 2020</a:t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 10% of 2024 auctioned in 2021</a:t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9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Cap decline post 2020: 3.28% economy wide, 3.60% for industry combustion, process 0%</a:t>
          </a: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CA" sz="900"/>
        </a:p>
        <a:p>
          <a:r>
            <a:rPr lang="en-CA" sz="900" b="1"/>
            <a:t>Limitations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Sector or Facility Abatement not included.</a:t>
          </a:r>
          <a:endParaRPr lang="en-CA" sz="900">
            <a:effectLst/>
          </a:endParaRPr>
        </a:p>
        <a:p>
          <a:pPr lvl="1"/>
          <a:r>
            <a:rPr lang="en-CA" sz="900"/>
            <a:t>Facility level BAU assumes the</a:t>
          </a:r>
          <a:r>
            <a:rPr lang="en-CA" sz="900" baseline="0"/>
            <a:t> sector level growth as a proxy for facility growth</a:t>
          </a:r>
        </a:p>
        <a:p>
          <a:endParaRPr lang="en-CA" sz="900"/>
        </a:p>
        <a:p>
          <a:r>
            <a:rPr lang="en-CA" sz="900" b="1"/>
            <a:t>Uncertainty</a:t>
          </a:r>
        </a:p>
        <a:p>
          <a:r>
            <a:rPr lang="en-CA" sz="900" b="0"/>
            <a:t>The analysis is exposed to a number of uncertainties</a:t>
          </a:r>
          <a:r>
            <a:rPr lang="en-CA" sz="900" b="0" baseline="0"/>
            <a:t> such as:</a:t>
          </a:r>
          <a:endParaRPr lang="en-CA" sz="900" b="0"/>
        </a:p>
        <a:p>
          <a:endParaRPr lang="en-CA" sz="900"/>
        </a:p>
        <a:p>
          <a:r>
            <a:rPr lang="en-CA" sz="900"/>
            <a:t>1.</a:t>
          </a:r>
          <a:r>
            <a:rPr lang="en-CA" sz="900" baseline="0"/>
            <a:t> High level of uncertainty on the exchange rate.</a:t>
          </a:r>
        </a:p>
        <a:p>
          <a:r>
            <a:rPr lang="en-CA" sz="900" baseline="0"/>
            <a:t>	The proceeds numbers are sensitive to changes in the exchange rate. For example an appreciation of Can $ by 5% could lead to a close to 5% drop in the proceeds amounts.</a:t>
          </a:r>
        </a:p>
        <a:p>
          <a:endParaRPr lang="en-CA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Uncertainty in the carbon price forecast.</a:t>
          </a:r>
          <a:endParaRPr lang="en-CA" sz="900">
            <a:effectLst/>
          </a:endParaRPr>
        </a:p>
        <a:p>
          <a:r>
            <a:rPr lang="en-CA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 </a:t>
          </a:r>
          <a:endParaRPr lang="en-CA" sz="900">
            <a:effectLst/>
          </a:endParaRPr>
        </a:p>
        <a:p>
          <a:r>
            <a:rPr lang="en-CA" sz="900" baseline="0"/>
            <a:t>3. Uncertainty in the sector level growth rates.</a:t>
          </a:r>
        </a:p>
        <a:p>
          <a:r>
            <a:rPr lang="en-CA" sz="900" baseline="0"/>
            <a:t>	Sector level growth rates are based on Enviroeconomics's modelling work and are subject to uncertainty. </a:t>
          </a:r>
          <a:endParaRPr lang="en-CA" sz="9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216</xdr:row>
      <xdr:rowOff>0</xdr:rowOff>
    </xdr:from>
    <xdr:to>
      <xdr:col>34</xdr:col>
      <xdr:colOff>445557</xdr:colOff>
      <xdr:row>247</xdr:row>
      <xdr:rowOff>57150</xdr:rowOff>
    </xdr:to>
    <xdr:graphicFrame macro="">
      <xdr:nvGraphicFramePr>
        <xdr:cNvPr id="2" name="Chart 1" title="Illustrative Cap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198966</xdr:colOff>
      <xdr:row>219</xdr:row>
      <xdr:rowOff>171450</xdr:rowOff>
    </xdr:from>
    <xdr:to>
      <xdr:col>34</xdr:col>
      <xdr:colOff>131233</xdr:colOff>
      <xdr:row>221</xdr:row>
      <xdr:rowOff>9526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23963841" y="31508700"/>
          <a:ext cx="1151467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1"/>
            <a:t>BAU Emissions</a:t>
          </a:r>
        </a:p>
      </xdr:txBody>
    </xdr:sp>
    <xdr:clientData/>
  </xdr:twoCellAnchor>
  <xdr:twoCellAnchor>
    <xdr:from>
      <xdr:col>30</xdr:col>
      <xdr:colOff>449694</xdr:colOff>
      <xdr:row>224</xdr:row>
      <xdr:rowOff>171434</xdr:rowOff>
    </xdr:from>
    <xdr:to>
      <xdr:col>33</xdr:col>
      <xdr:colOff>364072</xdr:colOff>
      <xdr:row>226</xdr:row>
      <xdr:rowOff>47623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/>
      </xdr:nvSpPr>
      <xdr:spPr>
        <a:xfrm rot="583970">
          <a:off x="22995369" y="32461184"/>
          <a:ext cx="1743178" cy="25718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CA" sz="1100" b="0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Emissions with proposed program</a:t>
          </a:r>
        </a:p>
      </xdr:txBody>
    </xdr:sp>
    <xdr:clientData/>
  </xdr:twoCellAnchor>
  <xdr:twoCellAnchor>
    <xdr:from>
      <xdr:col>34</xdr:col>
      <xdr:colOff>445558</xdr:colOff>
      <xdr:row>224</xdr:row>
      <xdr:rowOff>9524</xdr:rowOff>
    </xdr:from>
    <xdr:to>
      <xdr:col>37</xdr:col>
      <xdr:colOff>153458</xdr:colOff>
      <xdr:row>226</xdr:row>
      <xdr:rowOff>85725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/>
      </xdr:nvSpPr>
      <xdr:spPr>
        <a:xfrm>
          <a:off x="25429633" y="32299274"/>
          <a:ext cx="1383242" cy="4572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0" baseline="0">
              <a:solidFill>
                <a:srgbClr val="C00000"/>
              </a:solidFill>
            </a:rPr>
            <a:t>Expected Reductions from Capped Sectors</a:t>
          </a:r>
          <a:endParaRPr lang="en-CA" sz="1100" b="0">
            <a:solidFill>
              <a:srgbClr val="C00000"/>
            </a:solidFill>
          </a:endParaRPr>
        </a:p>
      </xdr:txBody>
    </xdr:sp>
    <xdr:clientData/>
  </xdr:twoCellAnchor>
  <xdr:twoCellAnchor>
    <xdr:from>
      <xdr:col>27</xdr:col>
      <xdr:colOff>249766</xdr:colOff>
      <xdr:row>220</xdr:row>
      <xdr:rowOff>85725</xdr:rowOff>
    </xdr:from>
    <xdr:to>
      <xdr:col>27</xdr:col>
      <xdr:colOff>249767</xdr:colOff>
      <xdr:row>240</xdr:row>
      <xdr:rowOff>85725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CxnSpPr/>
      </xdr:nvCxnSpPr>
      <xdr:spPr>
        <a:xfrm>
          <a:off x="20966641" y="31613475"/>
          <a:ext cx="1" cy="3810000"/>
        </a:xfrm>
        <a:prstGeom prst="line">
          <a:avLst/>
        </a:prstGeom>
        <a:ln w="19050">
          <a:solidFill>
            <a:schemeClr val="accent2">
              <a:lumMod val="75000"/>
            </a:schemeClr>
          </a:solidFill>
          <a:prstDash val="sysDot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125147</xdr:colOff>
      <xdr:row>253</xdr:row>
      <xdr:rowOff>28574</xdr:rowOff>
    </xdr:from>
    <xdr:to>
      <xdr:col>34</xdr:col>
      <xdr:colOff>57414</xdr:colOff>
      <xdr:row>254</xdr:row>
      <xdr:rowOff>57150</xdr:rowOff>
    </xdr:to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23890022" y="37842824"/>
          <a:ext cx="1151467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1"/>
            <a:t>BAU Emissions</a:t>
          </a:r>
        </a:p>
      </xdr:txBody>
    </xdr:sp>
    <xdr:clientData/>
  </xdr:twoCellAnchor>
  <xdr:twoCellAnchor>
    <xdr:from>
      <xdr:col>30</xdr:col>
      <xdr:colOff>33863</xdr:colOff>
      <xdr:row>260</xdr:row>
      <xdr:rowOff>60326</xdr:rowOff>
    </xdr:from>
    <xdr:to>
      <xdr:col>31</xdr:col>
      <xdr:colOff>251881</xdr:colOff>
      <xdr:row>261</xdr:row>
      <xdr:rowOff>174626</xdr:rowOff>
    </xdr:to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/>
      </xdr:nvSpPr>
      <xdr:spPr>
        <a:xfrm rot="597141">
          <a:off x="22579538" y="39208076"/>
          <a:ext cx="82761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rgbClr val="C00000"/>
              </a:solidFill>
            </a:rPr>
            <a:t>Proposed</a:t>
          </a:r>
          <a:r>
            <a:rPr lang="en-CA" sz="1100" baseline="0">
              <a:solidFill>
                <a:srgbClr val="C00000"/>
              </a:solidFill>
            </a:rPr>
            <a:t> C</a:t>
          </a:r>
          <a:r>
            <a:rPr lang="en-CA" sz="1100">
              <a:solidFill>
                <a:srgbClr val="C00000"/>
              </a:solidFill>
            </a:rPr>
            <a:t>ap</a:t>
          </a:r>
        </a:p>
      </xdr:txBody>
    </xdr:sp>
    <xdr:clientData/>
  </xdr:twoCellAnchor>
  <xdr:twoCellAnchor>
    <xdr:from>
      <xdr:col>26</xdr:col>
      <xdr:colOff>518583</xdr:colOff>
      <xdr:row>253</xdr:row>
      <xdr:rowOff>57150</xdr:rowOff>
    </xdr:from>
    <xdr:to>
      <xdr:col>26</xdr:col>
      <xdr:colOff>528108</xdr:colOff>
      <xdr:row>272</xdr:row>
      <xdr:rowOff>47625</xdr:rowOff>
    </xdr:to>
    <xdr:cxnSp macro="">
      <xdr:nvCxnSpPr>
        <xdr:cNvPr id="9" name="Straight Connector 8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CxnSpPr/>
      </xdr:nvCxnSpPr>
      <xdr:spPr>
        <a:xfrm>
          <a:off x="20625858" y="37871400"/>
          <a:ext cx="9525" cy="3609975"/>
        </a:xfrm>
        <a:prstGeom prst="line">
          <a:avLst/>
        </a:prstGeom>
        <a:ln w="19050">
          <a:solidFill>
            <a:schemeClr val="accent2">
              <a:lumMod val="75000"/>
            </a:schemeClr>
          </a:solidFill>
          <a:prstDash val="sysDot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362216</xdr:colOff>
      <xdr:row>255</xdr:row>
      <xdr:rowOff>123826</xdr:rowOff>
    </xdr:from>
    <xdr:to>
      <xdr:col>29</xdr:col>
      <xdr:colOff>342900</xdr:colOff>
      <xdr:row>257</xdr:row>
      <xdr:rowOff>171450</xdr:rowOff>
    </xdr:to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/>
      </xdr:nvSpPr>
      <xdr:spPr>
        <a:xfrm>
          <a:off x="21688691" y="38319076"/>
          <a:ext cx="590284" cy="428624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 baseline="0">
              <a:solidFill>
                <a:srgbClr val="C00000"/>
              </a:solidFill>
            </a:rPr>
            <a:t>2020 Target</a:t>
          </a:r>
          <a:endParaRPr lang="en-CA" sz="1000" b="1">
            <a:solidFill>
              <a:srgbClr val="C00000"/>
            </a:solidFill>
          </a:endParaRPr>
        </a:p>
      </xdr:txBody>
    </xdr:sp>
    <xdr:clientData/>
  </xdr:twoCellAnchor>
  <xdr:twoCellAnchor>
    <xdr:from>
      <xdr:col>34</xdr:col>
      <xdr:colOff>114300</xdr:colOff>
      <xdr:row>221</xdr:row>
      <xdr:rowOff>57150</xdr:rowOff>
    </xdr:from>
    <xdr:to>
      <xdr:col>34</xdr:col>
      <xdr:colOff>432858</xdr:colOff>
      <xdr:row>227</xdr:row>
      <xdr:rowOff>161925</xdr:rowOff>
    </xdr:to>
    <xdr:sp macro="" textlink="">
      <xdr:nvSpPr>
        <xdr:cNvPr id="11" name="Right Brace 10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/>
      </xdr:nvSpPr>
      <xdr:spPr>
        <a:xfrm>
          <a:off x="25098375" y="31775400"/>
          <a:ext cx="318558" cy="1247775"/>
        </a:xfrm>
        <a:prstGeom prst="righ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33</xdr:col>
      <xdr:colOff>516731</xdr:colOff>
      <xdr:row>260</xdr:row>
      <xdr:rowOff>71437</xdr:rowOff>
    </xdr:from>
    <xdr:to>
      <xdr:col>34</xdr:col>
      <xdr:colOff>501913</xdr:colOff>
      <xdr:row>262</xdr:row>
      <xdr:rowOff>119061</xdr:rowOff>
    </xdr:to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/>
      </xdr:nvSpPr>
      <xdr:spPr>
        <a:xfrm>
          <a:off x="24891206" y="39219187"/>
          <a:ext cx="594782" cy="428624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 baseline="0">
              <a:solidFill>
                <a:srgbClr val="C00000"/>
              </a:solidFill>
            </a:rPr>
            <a:t>2030 Target</a:t>
          </a:r>
          <a:endParaRPr lang="en-CA" sz="1000" b="1">
            <a:solidFill>
              <a:srgbClr val="C00000"/>
            </a:solidFill>
          </a:endParaRPr>
        </a:p>
      </xdr:txBody>
    </xdr:sp>
    <xdr:clientData/>
  </xdr:twoCellAnchor>
  <xdr:twoCellAnchor>
    <xdr:from>
      <xdr:col>22</xdr:col>
      <xdr:colOff>0</xdr:colOff>
      <xdr:row>216</xdr:row>
      <xdr:rowOff>0</xdr:rowOff>
    </xdr:from>
    <xdr:to>
      <xdr:col>34</xdr:col>
      <xdr:colOff>445557</xdr:colOff>
      <xdr:row>247</xdr:row>
      <xdr:rowOff>57150</xdr:rowOff>
    </xdr:to>
    <xdr:graphicFrame macro="">
      <xdr:nvGraphicFramePr>
        <xdr:cNvPr id="13" name="Chart 12" title="Illustrative Cap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141815</xdr:colOff>
      <xdr:row>220</xdr:row>
      <xdr:rowOff>19050</xdr:rowOff>
    </xdr:from>
    <xdr:to>
      <xdr:col>33</xdr:col>
      <xdr:colOff>276224</xdr:colOff>
      <xdr:row>221</xdr:row>
      <xdr:rowOff>57150</xdr:rowOff>
    </xdr:to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23297090" y="31546800"/>
          <a:ext cx="1353609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1"/>
            <a:t>BAU Emissions</a:t>
          </a:r>
        </a:p>
      </xdr:txBody>
    </xdr:sp>
    <xdr:clientData/>
  </xdr:twoCellAnchor>
  <xdr:twoCellAnchor>
    <xdr:from>
      <xdr:col>29</xdr:col>
      <xdr:colOff>456954</xdr:colOff>
      <xdr:row>223</xdr:row>
      <xdr:rowOff>28898</xdr:rowOff>
    </xdr:from>
    <xdr:to>
      <xdr:col>33</xdr:col>
      <xdr:colOff>375054</xdr:colOff>
      <xdr:row>224</xdr:row>
      <xdr:rowOff>105326</xdr:rowOff>
    </xdr:to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/>
      </xdr:nvSpPr>
      <xdr:spPr>
        <a:xfrm rot="759545">
          <a:off x="22393029" y="32128148"/>
          <a:ext cx="2356500" cy="26692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CA" sz="1100" b="0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Emissions with proposed program</a:t>
          </a:r>
        </a:p>
      </xdr:txBody>
    </xdr:sp>
    <xdr:clientData/>
  </xdr:twoCellAnchor>
  <xdr:twoCellAnchor>
    <xdr:from>
      <xdr:col>34</xdr:col>
      <xdr:colOff>445558</xdr:colOff>
      <xdr:row>224</xdr:row>
      <xdr:rowOff>9524</xdr:rowOff>
    </xdr:from>
    <xdr:to>
      <xdr:col>37</xdr:col>
      <xdr:colOff>153458</xdr:colOff>
      <xdr:row>226</xdr:row>
      <xdr:rowOff>85725</xdr:rowOff>
    </xdr:to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/>
      </xdr:nvSpPr>
      <xdr:spPr>
        <a:xfrm>
          <a:off x="25429633" y="32299274"/>
          <a:ext cx="1383242" cy="4572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0" baseline="0">
              <a:solidFill>
                <a:srgbClr val="C00000"/>
              </a:solidFill>
            </a:rPr>
            <a:t>Expected Reductions from Capped Sectors</a:t>
          </a:r>
          <a:endParaRPr lang="en-CA" sz="1100" b="0">
            <a:solidFill>
              <a:srgbClr val="C00000"/>
            </a:solidFill>
          </a:endParaRPr>
        </a:p>
      </xdr:txBody>
    </xdr:sp>
    <xdr:clientData/>
  </xdr:twoCellAnchor>
  <xdr:twoCellAnchor>
    <xdr:from>
      <xdr:col>27</xdr:col>
      <xdr:colOff>91016</xdr:colOff>
      <xdr:row>220</xdr:row>
      <xdr:rowOff>85725</xdr:rowOff>
    </xdr:from>
    <xdr:to>
      <xdr:col>27</xdr:col>
      <xdr:colOff>91017</xdr:colOff>
      <xdr:row>240</xdr:row>
      <xdr:rowOff>85725</xdr:rowOff>
    </xdr:to>
    <xdr:cxnSp macro="">
      <xdr:nvCxnSpPr>
        <xdr:cNvPr id="17" name="Straight Connector 16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CxnSpPr/>
      </xdr:nvCxnSpPr>
      <xdr:spPr>
        <a:xfrm>
          <a:off x="20807891" y="31613475"/>
          <a:ext cx="1" cy="3810000"/>
        </a:xfrm>
        <a:prstGeom prst="line">
          <a:avLst/>
        </a:prstGeom>
        <a:ln w="19050">
          <a:solidFill>
            <a:schemeClr val="accent2">
              <a:lumMod val="75000"/>
            </a:schemeClr>
          </a:solidFill>
          <a:prstDash val="sysDot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1322</xdr:colOff>
      <xdr:row>254</xdr:row>
      <xdr:rowOff>9524</xdr:rowOff>
    </xdr:from>
    <xdr:to>
      <xdr:col>32</xdr:col>
      <xdr:colOff>485775</xdr:colOff>
      <xdr:row>255</xdr:row>
      <xdr:rowOff>38100</xdr:rowOff>
    </xdr:to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/>
      </xdr:nvSpPr>
      <xdr:spPr>
        <a:xfrm>
          <a:off x="23156597" y="38014274"/>
          <a:ext cx="1094053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1"/>
            <a:t>BAU Emissions</a:t>
          </a:r>
        </a:p>
      </xdr:txBody>
    </xdr:sp>
    <xdr:clientData/>
  </xdr:twoCellAnchor>
  <xdr:twoCellAnchor>
    <xdr:from>
      <xdr:col>30</xdr:col>
      <xdr:colOff>604730</xdr:colOff>
      <xdr:row>259</xdr:row>
      <xdr:rowOff>147307</xdr:rowOff>
    </xdr:from>
    <xdr:to>
      <xdr:col>32</xdr:col>
      <xdr:colOff>478497</xdr:colOff>
      <xdr:row>261</xdr:row>
      <xdr:rowOff>71107</xdr:rowOff>
    </xdr:to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/>
      </xdr:nvSpPr>
      <xdr:spPr>
        <a:xfrm rot="652240">
          <a:off x="23150405" y="39104557"/>
          <a:ext cx="1092967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rgbClr val="C00000"/>
              </a:solidFill>
            </a:rPr>
            <a:t>Proposed</a:t>
          </a:r>
          <a:r>
            <a:rPr lang="en-CA" sz="1100" baseline="0">
              <a:solidFill>
                <a:srgbClr val="C00000"/>
              </a:solidFill>
            </a:rPr>
            <a:t> C</a:t>
          </a:r>
          <a:r>
            <a:rPr lang="en-CA" sz="1100">
              <a:solidFill>
                <a:srgbClr val="C00000"/>
              </a:solidFill>
            </a:rPr>
            <a:t>ap</a:t>
          </a:r>
        </a:p>
      </xdr:txBody>
    </xdr:sp>
    <xdr:clientData/>
  </xdr:twoCellAnchor>
  <xdr:twoCellAnchor>
    <xdr:from>
      <xdr:col>30</xdr:col>
      <xdr:colOff>223308</xdr:colOff>
      <xdr:row>253</xdr:row>
      <xdr:rowOff>28575</xdr:rowOff>
    </xdr:from>
    <xdr:to>
      <xdr:col>30</xdr:col>
      <xdr:colOff>232833</xdr:colOff>
      <xdr:row>272</xdr:row>
      <xdr:rowOff>19050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CxnSpPr/>
      </xdr:nvCxnSpPr>
      <xdr:spPr>
        <a:xfrm>
          <a:off x="22768983" y="37842825"/>
          <a:ext cx="9525" cy="3609975"/>
        </a:xfrm>
        <a:prstGeom prst="line">
          <a:avLst/>
        </a:prstGeom>
        <a:ln w="19050">
          <a:solidFill>
            <a:schemeClr val="accent2">
              <a:lumMod val="75000"/>
            </a:schemeClr>
          </a:solidFill>
          <a:prstDash val="sysDot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114300</xdr:colOff>
      <xdr:row>221</xdr:row>
      <xdr:rowOff>57150</xdr:rowOff>
    </xdr:from>
    <xdr:to>
      <xdr:col>34</xdr:col>
      <xdr:colOff>432858</xdr:colOff>
      <xdr:row>227</xdr:row>
      <xdr:rowOff>161925</xdr:rowOff>
    </xdr:to>
    <xdr:sp macro="" textlink="">
      <xdr:nvSpPr>
        <xdr:cNvPr id="21" name="Right Brace 20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/>
      </xdr:nvSpPr>
      <xdr:spPr>
        <a:xfrm>
          <a:off x="25098375" y="31775400"/>
          <a:ext cx="318558" cy="1247775"/>
        </a:xfrm>
        <a:prstGeom prst="righ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48</xdr:col>
      <xdr:colOff>50005</xdr:colOff>
      <xdr:row>259</xdr:row>
      <xdr:rowOff>100012</xdr:rowOff>
    </xdr:from>
    <xdr:to>
      <xdr:col>49</xdr:col>
      <xdr:colOff>123824</xdr:colOff>
      <xdr:row>261</xdr:row>
      <xdr:rowOff>147636</xdr:rowOff>
    </xdr:to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/>
      </xdr:nvSpPr>
      <xdr:spPr>
        <a:xfrm>
          <a:off x="29910880" y="39057262"/>
          <a:ext cx="683419" cy="428624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 baseline="0">
              <a:solidFill>
                <a:srgbClr val="C00000"/>
              </a:solidFill>
            </a:rPr>
            <a:t>2030 Target</a:t>
          </a:r>
          <a:endParaRPr lang="en-CA" sz="1000" b="1">
            <a:solidFill>
              <a:srgbClr val="C00000"/>
            </a:solidFill>
          </a:endParaRPr>
        </a:p>
      </xdr:txBody>
    </xdr:sp>
    <xdr:clientData/>
  </xdr:twoCellAnchor>
  <xdr:twoCellAnchor>
    <xdr:from>
      <xdr:col>35</xdr:col>
      <xdr:colOff>84668</xdr:colOff>
      <xdr:row>229</xdr:row>
      <xdr:rowOff>10583</xdr:rowOff>
    </xdr:from>
    <xdr:to>
      <xdr:col>37</xdr:col>
      <xdr:colOff>406402</xdr:colOff>
      <xdr:row>230</xdr:row>
      <xdr:rowOff>84666</xdr:rowOff>
    </xdr:to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F00-000017000000}"/>
            </a:ext>
          </a:extLst>
        </xdr:cNvPr>
        <xdr:cNvSpPr txBox="1"/>
      </xdr:nvSpPr>
      <xdr:spPr>
        <a:xfrm>
          <a:off x="25678343" y="33252833"/>
          <a:ext cx="1134532" cy="2645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0" baseline="0">
              <a:solidFill>
                <a:schemeClr val="tx1"/>
              </a:solidFill>
            </a:rPr>
            <a:t>Covered Emissions</a:t>
          </a:r>
          <a:endParaRPr lang="en-CA" sz="1100" b="0">
            <a:solidFill>
              <a:schemeClr val="tx1"/>
            </a:solidFill>
          </a:endParaRPr>
        </a:p>
      </xdr:txBody>
    </xdr:sp>
    <xdr:clientData/>
  </xdr:twoCellAnchor>
  <xdr:twoCellAnchor>
    <xdr:from>
      <xdr:col>30</xdr:col>
      <xdr:colOff>342900</xdr:colOff>
      <xdr:row>225</xdr:row>
      <xdr:rowOff>27517</xdr:rowOff>
    </xdr:from>
    <xdr:to>
      <xdr:col>33</xdr:col>
      <xdr:colOff>85725</xdr:colOff>
      <xdr:row>226</xdr:row>
      <xdr:rowOff>103945</xdr:rowOff>
    </xdr:to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/>
      </xdr:nvSpPr>
      <xdr:spPr>
        <a:xfrm>
          <a:off x="22888575" y="32507767"/>
          <a:ext cx="1571625" cy="26692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CA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/>
              <a:ea typeface="+mn-ea"/>
              <a:cs typeface="+mn-cs"/>
            </a:rPr>
            <a:t>Covered Emissions </a:t>
          </a:r>
        </a:p>
      </xdr:txBody>
    </xdr:sp>
    <xdr:clientData/>
  </xdr:twoCellAnchor>
  <xdr:twoCellAnchor>
    <xdr:from>
      <xdr:col>28</xdr:col>
      <xdr:colOff>99484</xdr:colOff>
      <xdr:row>258</xdr:row>
      <xdr:rowOff>138641</xdr:rowOff>
    </xdr:from>
    <xdr:to>
      <xdr:col>30</xdr:col>
      <xdr:colOff>215899</xdr:colOff>
      <xdr:row>260</xdr:row>
      <xdr:rowOff>24569</xdr:rowOff>
    </xdr:to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/>
      </xdr:nvSpPr>
      <xdr:spPr>
        <a:xfrm>
          <a:off x="21425959" y="38905391"/>
          <a:ext cx="1335615" cy="26692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CA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/>
              <a:ea typeface="+mn-ea"/>
              <a:cs typeface="+mn-cs"/>
            </a:rPr>
            <a:t>Covered Emissions </a:t>
          </a:r>
        </a:p>
      </xdr:txBody>
    </xdr:sp>
    <xdr:clientData/>
  </xdr:twoCellAnchor>
  <xdr:twoCellAnchor>
    <xdr:from>
      <xdr:col>22</xdr:col>
      <xdr:colOff>0</xdr:colOff>
      <xdr:row>256</xdr:row>
      <xdr:rowOff>0</xdr:rowOff>
    </xdr:from>
    <xdr:to>
      <xdr:col>34</xdr:col>
      <xdr:colOff>0</xdr:colOff>
      <xdr:row>282</xdr:row>
      <xdr:rowOff>57150</xdr:rowOff>
    </xdr:to>
    <xdr:graphicFrame macro="">
      <xdr:nvGraphicFramePr>
        <xdr:cNvPr id="26" name="Chart 25" title="Illustrative Cap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216</xdr:row>
      <xdr:rowOff>0</xdr:rowOff>
    </xdr:from>
    <xdr:to>
      <xdr:col>34</xdr:col>
      <xdr:colOff>445557</xdr:colOff>
      <xdr:row>247</xdr:row>
      <xdr:rowOff>57150</xdr:rowOff>
    </xdr:to>
    <xdr:graphicFrame macro="">
      <xdr:nvGraphicFramePr>
        <xdr:cNvPr id="27" name="Chart 26" title="Illustrative Cap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216</xdr:row>
      <xdr:rowOff>0</xdr:rowOff>
    </xdr:from>
    <xdr:to>
      <xdr:col>34</xdr:col>
      <xdr:colOff>445557</xdr:colOff>
      <xdr:row>247</xdr:row>
      <xdr:rowOff>57150</xdr:rowOff>
    </xdr:to>
    <xdr:graphicFrame macro="">
      <xdr:nvGraphicFramePr>
        <xdr:cNvPr id="28" name="Chart 27" title="Illustrative Cap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198966</xdr:colOff>
      <xdr:row>219</xdr:row>
      <xdr:rowOff>171450</xdr:rowOff>
    </xdr:from>
    <xdr:to>
      <xdr:col>34</xdr:col>
      <xdr:colOff>131233</xdr:colOff>
      <xdr:row>221</xdr:row>
      <xdr:rowOff>9526</xdr:rowOff>
    </xdr:to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/>
      </xdr:nvSpPr>
      <xdr:spPr>
        <a:xfrm>
          <a:off x="23963841" y="31508700"/>
          <a:ext cx="1151467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1"/>
            <a:t>BAU Emissions</a:t>
          </a:r>
        </a:p>
      </xdr:txBody>
    </xdr:sp>
    <xdr:clientData/>
  </xdr:twoCellAnchor>
  <xdr:twoCellAnchor>
    <xdr:from>
      <xdr:col>30</xdr:col>
      <xdr:colOff>449694</xdr:colOff>
      <xdr:row>224</xdr:row>
      <xdr:rowOff>171434</xdr:rowOff>
    </xdr:from>
    <xdr:to>
      <xdr:col>33</xdr:col>
      <xdr:colOff>364072</xdr:colOff>
      <xdr:row>226</xdr:row>
      <xdr:rowOff>47623</xdr:rowOff>
    </xdr:to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/>
      </xdr:nvSpPr>
      <xdr:spPr>
        <a:xfrm rot="583970">
          <a:off x="22995369" y="32461184"/>
          <a:ext cx="1743178" cy="25718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CA" sz="1100" b="0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Emissions with proposed program</a:t>
          </a:r>
        </a:p>
      </xdr:txBody>
    </xdr:sp>
    <xdr:clientData/>
  </xdr:twoCellAnchor>
  <xdr:twoCellAnchor>
    <xdr:from>
      <xdr:col>34</xdr:col>
      <xdr:colOff>445558</xdr:colOff>
      <xdr:row>224</xdr:row>
      <xdr:rowOff>9524</xdr:rowOff>
    </xdr:from>
    <xdr:to>
      <xdr:col>37</xdr:col>
      <xdr:colOff>153458</xdr:colOff>
      <xdr:row>226</xdr:row>
      <xdr:rowOff>85725</xdr:rowOff>
    </xdr:to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/>
      </xdr:nvSpPr>
      <xdr:spPr>
        <a:xfrm>
          <a:off x="25429633" y="32299274"/>
          <a:ext cx="1383242" cy="4572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0" baseline="0">
              <a:solidFill>
                <a:srgbClr val="C00000"/>
              </a:solidFill>
            </a:rPr>
            <a:t>Expected Reductions from Capped Sectors</a:t>
          </a:r>
          <a:endParaRPr lang="en-CA" sz="1100" b="0">
            <a:solidFill>
              <a:srgbClr val="C00000"/>
            </a:solidFill>
          </a:endParaRPr>
        </a:p>
      </xdr:txBody>
    </xdr:sp>
    <xdr:clientData/>
  </xdr:twoCellAnchor>
  <xdr:twoCellAnchor>
    <xdr:from>
      <xdr:col>27</xdr:col>
      <xdr:colOff>249766</xdr:colOff>
      <xdr:row>220</xdr:row>
      <xdr:rowOff>85725</xdr:rowOff>
    </xdr:from>
    <xdr:to>
      <xdr:col>27</xdr:col>
      <xdr:colOff>249767</xdr:colOff>
      <xdr:row>240</xdr:row>
      <xdr:rowOff>85725</xdr:rowOff>
    </xdr:to>
    <xdr:cxnSp macro="">
      <xdr:nvCxnSpPr>
        <xdr:cNvPr id="32" name="Straight Connector 31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CxnSpPr/>
      </xdr:nvCxnSpPr>
      <xdr:spPr>
        <a:xfrm>
          <a:off x="20966641" y="31613475"/>
          <a:ext cx="1" cy="3810000"/>
        </a:xfrm>
        <a:prstGeom prst="line">
          <a:avLst/>
        </a:prstGeom>
        <a:ln w="19050">
          <a:solidFill>
            <a:schemeClr val="accent2">
              <a:lumMod val="75000"/>
            </a:schemeClr>
          </a:solidFill>
          <a:prstDash val="sysDot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193458</xdr:colOff>
      <xdr:row>267</xdr:row>
      <xdr:rowOff>125173</xdr:rowOff>
    </xdr:from>
    <xdr:to>
      <xdr:col>48</xdr:col>
      <xdr:colOff>111396</xdr:colOff>
      <xdr:row>269</xdr:row>
      <xdr:rowOff>48973</xdr:rowOff>
    </xdr:to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F00-000021000000}"/>
            </a:ext>
          </a:extLst>
        </xdr:cNvPr>
        <xdr:cNvSpPr txBox="1"/>
      </xdr:nvSpPr>
      <xdr:spPr>
        <a:xfrm rot="597141">
          <a:off x="28835133" y="40606423"/>
          <a:ext cx="113713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rgbClr val="C00000"/>
              </a:solidFill>
            </a:rPr>
            <a:t>Proposed</a:t>
          </a:r>
          <a:r>
            <a:rPr lang="en-CA" sz="1100" baseline="0">
              <a:solidFill>
                <a:srgbClr val="C00000"/>
              </a:solidFill>
            </a:rPr>
            <a:t> C</a:t>
          </a:r>
          <a:r>
            <a:rPr lang="en-CA" sz="1100">
              <a:solidFill>
                <a:srgbClr val="C00000"/>
              </a:solidFill>
            </a:rPr>
            <a:t>ap</a:t>
          </a:r>
        </a:p>
      </xdr:txBody>
    </xdr:sp>
    <xdr:clientData/>
  </xdr:twoCellAnchor>
  <xdr:twoCellAnchor>
    <xdr:from>
      <xdr:col>30</xdr:col>
      <xdr:colOff>175683</xdr:colOff>
      <xdr:row>260</xdr:row>
      <xdr:rowOff>9525</xdr:rowOff>
    </xdr:from>
    <xdr:to>
      <xdr:col>30</xdr:col>
      <xdr:colOff>185208</xdr:colOff>
      <xdr:row>279</xdr:row>
      <xdr:rowOff>0</xdr:rowOff>
    </xdr:to>
    <xdr:cxnSp macro="">
      <xdr:nvCxnSpPr>
        <xdr:cNvPr id="34" name="Straight Connector 33">
          <a:extLst>
            <a:ext uri="{FF2B5EF4-FFF2-40B4-BE49-F238E27FC236}">
              <a16:creationId xmlns="" xmlns:a16="http://schemas.microsoft.com/office/drawing/2014/main" id="{00000000-0008-0000-0F00-000022000000}"/>
            </a:ext>
          </a:extLst>
        </xdr:cNvPr>
        <xdr:cNvCxnSpPr/>
      </xdr:nvCxnSpPr>
      <xdr:spPr>
        <a:xfrm>
          <a:off x="22721358" y="39157275"/>
          <a:ext cx="9525" cy="3609975"/>
        </a:xfrm>
        <a:prstGeom prst="line">
          <a:avLst/>
        </a:prstGeom>
        <a:ln w="19050">
          <a:solidFill>
            <a:schemeClr val="accent2">
              <a:lumMod val="75000"/>
            </a:schemeClr>
          </a:solidFill>
          <a:prstDash val="sysDot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114300</xdr:colOff>
      <xdr:row>221</xdr:row>
      <xdr:rowOff>57150</xdr:rowOff>
    </xdr:from>
    <xdr:to>
      <xdr:col>34</xdr:col>
      <xdr:colOff>432858</xdr:colOff>
      <xdr:row>227</xdr:row>
      <xdr:rowOff>161925</xdr:rowOff>
    </xdr:to>
    <xdr:sp macro="" textlink="">
      <xdr:nvSpPr>
        <xdr:cNvPr id="35" name="Right Brace 34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/>
      </xdr:nvSpPr>
      <xdr:spPr>
        <a:xfrm>
          <a:off x="25098375" y="31775400"/>
          <a:ext cx="318558" cy="1247775"/>
        </a:xfrm>
        <a:prstGeom prst="righ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33</xdr:col>
      <xdr:colOff>305066</xdr:colOff>
      <xdr:row>222</xdr:row>
      <xdr:rowOff>114301</xdr:rowOff>
    </xdr:from>
    <xdr:to>
      <xdr:col>44</xdr:col>
      <xdr:colOff>285750</xdr:colOff>
      <xdr:row>224</xdr:row>
      <xdr:rowOff>161925</xdr:rowOff>
    </xdr:to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/>
      </xdr:nvSpPr>
      <xdr:spPr>
        <a:xfrm>
          <a:off x="24679541" y="32023051"/>
          <a:ext cx="3028684" cy="428624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 baseline="0">
              <a:solidFill>
                <a:srgbClr val="C00000"/>
              </a:solidFill>
            </a:rPr>
            <a:t>2020 Target</a:t>
          </a:r>
          <a:endParaRPr lang="en-CA" sz="1000" b="1">
            <a:solidFill>
              <a:srgbClr val="C00000"/>
            </a:solidFill>
          </a:endParaRPr>
        </a:p>
      </xdr:txBody>
    </xdr:sp>
    <xdr:clientData/>
  </xdr:twoCellAnchor>
  <xdr:twoCellAnchor>
    <xdr:from>
      <xdr:col>32</xdr:col>
      <xdr:colOff>78580</xdr:colOff>
      <xdr:row>261</xdr:row>
      <xdr:rowOff>176212</xdr:rowOff>
    </xdr:from>
    <xdr:to>
      <xdr:col>33</xdr:col>
      <xdr:colOff>104775</xdr:colOff>
      <xdr:row>264</xdr:row>
      <xdr:rowOff>33336</xdr:rowOff>
    </xdr:to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/>
      </xdr:nvSpPr>
      <xdr:spPr>
        <a:xfrm>
          <a:off x="23843455" y="39514462"/>
          <a:ext cx="635795" cy="428624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 baseline="0">
              <a:solidFill>
                <a:srgbClr val="C00000"/>
              </a:solidFill>
            </a:rPr>
            <a:t>2020 Target</a:t>
          </a:r>
          <a:endParaRPr lang="en-CA" sz="1000" b="1">
            <a:solidFill>
              <a:srgbClr val="C00000"/>
            </a:solidFill>
          </a:endParaRPr>
        </a:p>
      </xdr:txBody>
    </xdr:sp>
    <xdr:clientData/>
  </xdr:twoCellAnchor>
  <xdr:twoCellAnchor>
    <xdr:from>
      <xdr:col>31</xdr:col>
      <xdr:colOff>141815</xdr:colOff>
      <xdr:row>220</xdr:row>
      <xdr:rowOff>19050</xdr:rowOff>
    </xdr:from>
    <xdr:to>
      <xdr:col>33</xdr:col>
      <xdr:colOff>276224</xdr:colOff>
      <xdr:row>221</xdr:row>
      <xdr:rowOff>57150</xdr:rowOff>
    </xdr:to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/>
      </xdr:nvSpPr>
      <xdr:spPr>
        <a:xfrm>
          <a:off x="23297090" y="31546800"/>
          <a:ext cx="1353609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1"/>
            <a:t>BAU Emissions</a:t>
          </a:r>
        </a:p>
      </xdr:txBody>
    </xdr:sp>
    <xdr:clientData/>
  </xdr:twoCellAnchor>
  <xdr:twoCellAnchor>
    <xdr:from>
      <xdr:col>29</xdr:col>
      <xdr:colOff>456954</xdr:colOff>
      <xdr:row>223</xdr:row>
      <xdr:rowOff>28898</xdr:rowOff>
    </xdr:from>
    <xdr:to>
      <xdr:col>33</xdr:col>
      <xdr:colOff>375054</xdr:colOff>
      <xdr:row>224</xdr:row>
      <xdr:rowOff>105326</xdr:rowOff>
    </xdr:to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/>
      </xdr:nvSpPr>
      <xdr:spPr>
        <a:xfrm rot="759545">
          <a:off x="22393029" y="32128148"/>
          <a:ext cx="2356500" cy="26692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CA" sz="1100" b="0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Emissions with proposed program</a:t>
          </a:r>
        </a:p>
      </xdr:txBody>
    </xdr:sp>
    <xdr:clientData/>
  </xdr:twoCellAnchor>
  <xdr:twoCellAnchor>
    <xdr:from>
      <xdr:col>34</xdr:col>
      <xdr:colOff>445558</xdr:colOff>
      <xdr:row>224</xdr:row>
      <xdr:rowOff>9524</xdr:rowOff>
    </xdr:from>
    <xdr:to>
      <xdr:col>37</xdr:col>
      <xdr:colOff>153458</xdr:colOff>
      <xdr:row>226</xdr:row>
      <xdr:rowOff>85725</xdr:rowOff>
    </xdr:to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/>
      </xdr:nvSpPr>
      <xdr:spPr>
        <a:xfrm>
          <a:off x="25429633" y="32299274"/>
          <a:ext cx="1383242" cy="4572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0" baseline="0">
              <a:solidFill>
                <a:srgbClr val="C00000"/>
              </a:solidFill>
            </a:rPr>
            <a:t>Expected Reductions from Capped Sectors</a:t>
          </a:r>
          <a:endParaRPr lang="en-CA" sz="1100" b="0">
            <a:solidFill>
              <a:srgbClr val="C00000"/>
            </a:solidFill>
          </a:endParaRPr>
        </a:p>
      </xdr:txBody>
    </xdr:sp>
    <xdr:clientData/>
  </xdr:twoCellAnchor>
  <xdr:twoCellAnchor>
    <xdr:from>
      <xdr:col>27</xdr:col>
      <xdr:colOff>91016</xdr:colOff>
      <xdr:row>220</xdr:row>
      <xdr:rowOff>85725</xdr:rowOff>
    </xdr:from>
    <xdr:to>
      <xdr:col>27</xdr:col>
      <xdr:colOff>91017</xdr:colOff>
      <xdr:row>240</xdr:row>
      <xdr:rowOff>85725</xdr:rowOff>
    </xdr:to>
    <xdr:cxnSp macro="">
      <xdr:nvCxnSpPr>
        <xdr:cNvPr id="41" name="Straight Connector 40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CxnSpPr/>
      </xdr:nvCxnSpPr>
      <xdr:spPr>
        <a:xfrm>
          <a:off x="20807891" y="31613475"/>
          <a:ext cx="1" cy="3810000"/>
        </a:xfrm>
        <a:prstGeom prst="line">
          <a:avLst/>
        </a:prstGeom>
        <a:ln w="19050">
          <a:solidFill>
            <a:schemeClr val="accent2">
              <a:lumMod val="75000"/>
            </a:schemeClr>
          </a:solidFill>
          <a:prstDash val="sysDot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44</xdr:col>
      <xdr:colOff>361950</xdr:colOff>
      <xdr:row>215</xdr:row>
      <xdr:rowOff>180975</xdr:rowOff>
    </xdr:from>
    <xdr:to>
      <xdr:col>56</xdr:col>
      <xdr:colOff>361950</xdr:colOff>
      <xdr:row>243</xdr:row>
      <xdr:rowOff>180975</xdr:rowOff>
    </xdr:to>
    <xdr:graphicFrame macro="">
      <xdr:nvGraphicFramePr>
        <xdr:cNvPr id="42" name="Chart 41" title="Illustrative Cap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54</xdr:col>
      <xdr:colOff>172772</xdr:colOff>
      <xdr:row>219</xdr:row>
      <xdr:rowOff>152399</xdr:rowOff>
    </xdr:from>
    <xdr:to>
      <xdr:col>56</xdr:col>
      <xdr:colOff>47625</xdr:colOff>
      <xdr:row>220</xdr:row>
      <xdr:rowOff>180975</xdr:rowOff>
    </xdr:to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/>
      </xdr:nvSpPr>
      <xdr:spPr>
        <a:xfrm>
          <a:off x="33691247" y="31489649"/>
          <a:ext cx="1094053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1"/>
            <a:t>BAU Emissions</a:t>
          </a:r>
        </a:p>
      </xdr:txBody>
    </xdr:sp>
    <xdr:clientData/>
  </xdr:twoCellAnchor>
  <xdr:twoCellAnchor>
    <xdr:from>
      <xdr:col>53</xdr:col>
      <xdr:colOff>409575</xdr:colOff>
      <xdr:row>225</xdr:row>
      <xdr:rowOff>175882</xdr:rowOff>
    </xdr:from>
    <xdr:to>
      <xdr:col>55</xdr:col>
      <xdr:colOff>285750</xdr:colOff>
      <xdr:row>227</xdr:row>
      <xdr:rowOff>99682</xdr:rowOff>
    </xdr:to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/>
      </xdr:nvSpPr>
      <xdr:spPr>
        <a:xfrm rot="652240">
          <a:off x="33318450" y="32656132"/>
          <a:ext cx="10953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rgbClr val="C00000"/>
              </a:solidFill>
            </a:rPr>
            <a:t>Proposed</a:t>
          </a:r>
          <a:r>
            <a:rPr lang="en-CA" sz="1100" baseline="0">
              <a:solidFill>
                <a:srgbClr val="C00000"/>
              </a:solidFill>
            </a:rPr>
            <a:t> C</a:t>
          </a:r>
          <a:r>
            <a:rPr lang="en-CA" sz="1100">
              <a:solidFill>
                <a:srgbClr val="C00000"/>
              </a:solidFill>
            </a:rPr>
            <a:t>ap</a:t>
          </a:r>
        </a:p>
      </xdr:txBody>
    </xdr:sp>
    <xdr:clientData/>
  </xdr:twoCellAnchor>
  <xdr:twoCellAnchor>
    <xdr:from>
      <xdr:col>53</xdr:col>
      <xdr:colOff>28575</xdr:colOff>
      <xdr:row>219</xdr:row>
      <xdr:rowOff>57150</xdr:rowOff>
    </xdr:from>
    <xdr:to>
      <xdr:col>53</xdr:col>
      <xdr:colOff>38100</xdr:colOff>
      <xdr:row>238</xdr:row>
      <xdr:rowOff>47625</xdr:rowOff>
    </xdr:to>
    <xdr:cxnSp macro="">
      <xdr:nvCxnSpPr>
        <xdr:cNvPr id="45" name="Straight Connector 44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CxnSpPr/>
      </xdr:nvCxnSpPr>
      <xdr:spPr>
        <a:xfrm>
          <a:off x="32937450" y="31394400"/>
          <a:ext cx="9525" cy="3609975"/>
        </a:xfrm>
        <a:prstGeom prst="line">
          <a:avLst/>
        </a:prstGeom>
        <a:ln w="19050">
          <a:solidFill>
            <a:schemeClr val="accent2">
              <a:lumMod val="75000"/>
            </a:schemeClr>
          </a:solidFill>
          <a:prstDash val="sysDot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55</xdr:col>
      <xdr:colOff>604575</xdr:colOff>
      <xdr:row>222</xdr:row>
      <xdr:rowOff>10585</xdr:rowOff>
    </xdr:from>
    <xdr:to>
      <xdr:col>56</xdr:col>
      <xdr:colOff>585259</xdr:colOff>
      <xdr:row>224</xdr:row>
      <xdr:rowOff>58209</xdr:rowOff>
    </xdr:to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/>
      </xdr:nvSpPr>
      <xdr:spPr>
        <a:xfrm>
          <a:off x="34732650" y="31919335"/>
          <a:ext cx="590284" cy="428624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 baseline="0">
              <a:solidFill>
                <a:srgbClr val="C00000"/>
              </a:solidFill>
            </a:rPr>
            <a:t>2020 Target</a:t>
          </a:r>
          <a:endParaRPr lang="en-CA" sz="1000" b="1">
            <a:solidFill>
              <a:srgbClr val="C00000"/>
            </a:solidFill>
          </a:endParaRPr>
        </a:p>
      </xdr:txBody>
    </xdr:sp>
    <xdr:clientData/>
  </xdr:twoCellAnchor>
  <xdr:twoCellAnchor>
    <xdr:from>
      <xdr:col>34</xdr:col>
      <xdr:colOff>114300</xdr:colOff>
      <xdr:row>221</xdr:row>
      <xdr:rowOff>57150</xdr:rowOff>
    </xdr:from>
    <xdr:to>
      <xdr:col>34</xdr:col>
      <xdr:colOff>432858</xdr:colOff>
      <xdr:row>227</xdr:row>
      <xdr:rowOff>161925</xdr:rowOff>
    </xdr:to>
    <xdr:sp macro="" textlink="">
      <xdr:nvSpPr>
        <xdr:cNvPr id="47" name="Right Brace 46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/>
      </xdr:nvSpPr>
      <xdr:spPr>
        <a:xfrm>
          <a:off x="25098375" y="31775400"/>
          <a:ext cx="318558" cy="1247775"/>
        </a:xfrm>
        <a:prstGeom prst="righ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48</xdr:col>
      <xdr:colOff>50005</xdr:colOff>
      <xdr:row>259</xdr:row>
      <xdr:rowOff>100012</xdr:rowOff>
    </xdr:from>
    <xdr:to>
      <xdr:col>49</xdr:col>
      <xdr:colOff>123824</xdr:colOff>
      <xdr:row>261</xdr:row>
      <xdr:rowOff>147636</xdr:rowOff>
    </xdr:to>
    <xdr:sp macro="" textlink="">
      <xdr:nvSpPr>
        <xdr:cNvPr id="48" name="TextBox 47">
          <a:extLst>
            <a:ext uri="{FF2B5EF4-FFF2-40B4-BE49-F238E27FC236}">
              <a16:creationId xmlns="" xmlns:a16="http://schemas.microsoft.com/office/drawing/2014/main" id="{00000000-0008-0000-0F00-000030000000}"/>
            </a:ext>
          </a:extLst>
        </xdr:cNvPr>
        <xdr:cNvSpPr txBox="1"/>
      </xdr:nvSpPr>
      <xdr:spPr>
        <a:xfrm>
          <a:off x="29910880" y="39057262"/>
          <a:ext cx="683419" cy="428624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000" b="1" baseline="0">
              <a:solidFill>
                <a:srgbClr val="C00000"/>
              </a:solidFill>
            </a:rPr>
            <a:t>2030 Target</a:t>
          </a:r>
          <a:endParaRPr lang="en-CA" sz="1000" b="1">
            <a:solidFill>
              <a:srgbClr val="C00000"/>
            </a:solidFill>
          </a:endParaRPr>
        </a:p>
      </xdr:txBody>
    </xdr:sp>
    <xdr:clientData/>
  </xdr:twoCellAnchor>
  <xdr:twoCellAnchor>
    <xdr:from>
      <xdr:col>35</xdr:col>
      <xdr:colOff>84668</xdr:colOff>
      <xdr:row>229</xdr:row>
      <xdr:rowOff>10583</xdr:rowOff>
    </xdr:from>
    <xdr:to>
      <xdr:col>37</xdr:col>
      <xdr:colOff>406402</xdr:colOff>
      <xdr:row>230</xdr:row>
      <xdr:rowOff>84666</xdr:rowOff>
    </xdr:to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00000000-0008-0000-0F00-000031000000}"/>
            </a:ext>
          </a:extLst>
        </xdr:cNvPr>
        <xdr:cNvSpPr txBox="1"/>
      </xdr:nvSpPr>
      <xdr:spPr>
        <a:xfrm>
          <a:off x="25678343" y="33252833"/>
          <a:ext cx="1134532" cy="2645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0" baseline="0">
              <a:solidFill>
                <a:schemeClr val="tx1"/>
              </a:solidFill>
            </a:rPr>
            <a:t>Covered Emissions</a:t>
          </a:r>
          <a:endParaRPr lang="en-CA" sz="1100" b="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66675</xdr:colOff>
      <xdr:row>225</xdr:row>
      <xdr:rowOff>160867</xdr:rowOff>
    </xdr:from>
    <xdr:to>
      <xdr:col>26</xdr:col>
      <xdr:colOff>419100</xdr:colOff>
      <xdr:row>227</xdr:row>
      <xdr:rowOff>46795</xdr:rowOff>
    </xdr:to>
    <xdr:sp macro="" textlink="">
      <xdr:nvSpPr>
        <xdr:cNvPr id="50" name="TextBox 49">
          <a:extLst>
            <a:ext uri="{FF2B5EF4-FFF2-40B4-BE49-F238E27FC236}">
              <a16:creationId xmlns="" xmlns:a16="http://schemas.microsoft.com/office/drawing/2014/main" id="{00000000-0008-0000-0F00-000032000000}"/>
            </a:ext>
          </a:extLst>
        </xdr:cNvPr>
        <xdr:cNvSpPr txBox="1"/>
      </xdr:nvSpPr>
      <xdr:spPr>
        <a:xfrm>
          <a:off x="18954750" y="32641117"/>
          <a:ext cx="1571625" cy="26692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CA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/>
              <a:ea typeface="+mn-ea"/>
              <a:cs typeface="+mn-cs"/>
            </a:rPr>
            <a:t>Covered Emissions </a:t>
          </a:r>
        </a:p>
      </xdr:txBody>
    </xdr:sp>
    <xdr:clientData/>
  </xdr:twoCellAnchor>
  <xdr:twoCellAnchor>
    <xdr:from>
      <xdr:col>50</xdr:col>
      <xdr:colOff>514350</xdr:colOff>
      <xdr:row>224</xdr:row>
      <xdr:rowOff>167216</xdr:rowOff>
    </xdr:from>
    <xdr:to>
      <xdr:col>53</xdr:col>
      <xdr:colOff>19050</xdr:colOff>
      <xdr:row>226</xdr:row>
      <xdr:rowOff>53144</xdr:rowOff>
    </xdr:to>
    <xdr:sp macro="" textlink="">
      <xdr:nvSpPr>
        <xdr:cNvPr id="51" name="TextBox 50">
          <a:extLst>
            <a:ext uri="{FF2B5EF4-FFF2-40B4-BE49-F238E27FC236}">
              <a16:creationId xmlns="" xmlns:a16="http://schemas.microsoft.com/office/drawing/2014/main" id="{00000000-0008-0000-0F00-000033000000}"/>
            </a:ext>
          </a:extLst>
        </xdr:cNvPr>
        <xdr:cNvSpPr txBox="1"/>
      </xdr:nvSpPr>
      <xdr:spPr>
        <a:xfrm>
          <a:off x="31594425" y="32456966"/>
          <a:ext cx="1333500" cy="26692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CA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/>
              <a:ea typeface="+mn-ea"/>
              <a:cs typeface="+mn-cs"/>
            </a:rPr>
            <a:t>Covered Emissions </a:t>
          </a:r>
        </a:p>
      </xdr:txBody>
    </xdr:sp>
    <xdr:clientData/>
  </xdr:twoCellAnchor>
  <xdr:twoCellAnchor>
    <xdr:from>
      <xdr:col>31</xdr:col>
      <xdr:colOff>495300</xdr:colOff>
      <xdr:row>259</xdr:row>
      <xdr:rowOff>133350</xdr:rowOff>
    </xdr:from>
    <xdr:to>
      <xdr:col>33</xdr:col>
      <xdr:colOff>370153</xdr:colOff>
      <xdr:row>260</xdr:row>
      <xdr:rowOff>161926</xdr:rowOff>
    </xdr:to>
    <xdr:sp macro="" textlink="">
      <xdr:nvSpPr>
        <xdr:cNvPr id="52" name="TextBox 51">
          <a:extLst>
            <a:ext uri="{FF2B5EF4-FFF2-40B4-BE49-F238E27FC236}">
              <a16:creationId xmlns="" xmlns:a16="http://schemas.microsoft.com/office/drawing/2014/main" id="{00000000-0008-0000-0F00-000034000000}"/>
            </a:ext>
          </a:extLst>
        </xdr:cNvPr>
        <xdr:cNvSpPr txBox="1"/>
      </xdr:nvSpPr>
      <xdr:spPr>
        <a:xfrm>
          <a:off x="23650575" y="39090600"/>
          <a:ext cx="1094053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1"/>
            <a:t>BAU Emissions</a:t>
          </a:r>
        </a:p>
      </xdr:txBody>
    </xdr:sp>
    <xdr:clientData/>
  </xdr:twoCellAnchor>
  <xdr:twoCellAnchor>
    <xdr:from>
      <xdr:col>30</xdr:col>
      <xdr:colOff>311092</xdr:colOff>
      <xdr:row>265</xdr:row>
      <xdr:rowOff>145840</xdr:rowOff>
    </xdr:from>
    <xdr:to>
      <xdr:col>33</xdr:col>
      <xdr:colOff>49807</xdr:colOff>
      <xdr:row>267</xdr:row>
      <xdr:rowOff>129958</xdr:rowOff>
    </xdr:to>
    <xdr:sp macro="" textlink="">
      <xdr:nvSpPr>
        <xdr:cNvPr id="53" name="TextBox 52">
          <a:extLst>
            <a:ext uri="{FF2B5EF4-FFF2-40B4-BE49-F238E27FC236}">
              <a16:creationId xmlns="" xmlns:a16="http://schemas.microsoft.com/office/drawing/2014/main" id="{00000000-0008-0000-0F00-000035000000}"/>
            </a:ext>
          </a:extLst>
        </xdr:cNvPr>
        <xdr:cNvSpPr txBox="1"/>
      </xdr:nvSpPr>
      <xdr:spPr>
        <a:xfrm rot="476581">
          <a:off x="22856767" y="40246090"/>
          <a:ext cx="1567515" cy="3651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800">
              <a:solidFill>
                <a:srgbClr val="C00000"/>
              </a:solidFill>
            </a:rPr>
            <a:t>Proposed Economy-wide</a:t>
          </a:r>
          <a:r>
            <a:rPr lang="en-CA" sz="800" baseline="0">
              <a:solidFill>
                <a:srgbClr val="C00000"/>
              </a:solidFill>
            </a:rPr>
            <a:t>  C</a:t>
          </a:r>
          <a:r>
            <a:rPr lang="en-CA" sz="800">
              <a:solidFill>
                <a:srgbClr val="C00000"/>
              </a:solidFill>
            </a:rPr>
            <a:t>ap</a:t>
          </a:r>
        </a:p>
        <a:p>
          <a:pPr algn="ctr"/>
          <a:r>
            <a:rPr lang="en-CA" sz="800">
              <a:solidFill>
                <a:srgbClr val="C00000"/>
              </a:solidFill>
            </a:rPr>
            <a:t>(decline at 4.2%</a:t>
          </a:r>
          <a:r>
            <a:rPr lang="en-CA" sz="800" baseline="0">
              <a:solidFill>
                <a:srgbClr val="C00000"/>
              </a:solidFill>
            </a:rPr>
            <a:t> per year ) </a:t>
          </a:r>
          <a:endParaRPr lang="en-CA" sz="800">
            <a:solidFill>
              <a:srgbClr val="C00000"/>
            </a:solidFill>
          </a:endParaRPr>
        </a:p>
      </xdr:txBody>
    </xdr:sp>
    <xdr:clientData/>
  </xdr:twoCellAnchor>
  <xdr:twoCellAnchor>
    <xdr:from>
      <xdr:col>22</xdr:col>
      <xdr:colOff>55418</xdr:colOff>
      <xdr:row>305</xdr:row>
      <xdr:rowOff>27708</xdr:rowOff>
    </xdr:from>
    <xdr:to>
      <xdr:col>44</xdr:col>
      <xdr:colOff>159799</xdr:colOff>
      <xdr:row>333</xdr:row>
      <xdr:rowOff>27709</xdr:rowOff>
    </xdr:to>
    <xdr:grpSp>
      <xdr:nvGrpSpPr>
        <xdr:cNvPr id="54" name="Group 53">
          <a:extLst>
            <a:ext uri="{FF2B5EF4-FFF2-40B4-BE49-F238E27FC236}">
              <a16:creationId xmlns="" xmlns:a16="http://schemas.microsoft.com/office/drawing/2014/main" id="{00000000-0008-0000-0F00-000036000000}"/>
            </a:ext>
          </a:extLst>
        </xdr:cNvPr>
        <xdr:cNvGrpSpPr/>
      </xdr:nvGrpSpPr>
      <xdr:grpSpPr>
        <a:xfrm>
          <a:off x="17484644" y="44919033"/>
          <a:ext cx="18028526" cy="5163313"/>
          <a:chOff x="17858509" y="46482000"/>
          <a:chExt cx="7419581" cy="5043055"/>
        </a:xfrm>
      </xdr:grpSpPr>
      <xdr:grpSp>
        <xdr:nvGrpSpPr>
          <xdr:cNvPr id="55" name="Group 54">
            <a:extLst>
              <a:ext uri="{FF2B5EF4-FFF2-40B4-BE49-F238E27FC236}">
                <a16:creationId xmlns="" xmlns:a16="http://schemas.microsoft.com/office/drawing/2014/main" id="{00000000-0008-0000-0F00-000037000000}"/>
              </a:ext>
            </a:extLst>
          </xdr:cNvPr>
          <xdr:cNvGrpSpPr/>
        </xdr:nvGrpSpPr>
        <xdr:grpSpPr>
          <a:xfrm>
            <a:off x="17858509" y="46482000"/>
            <a:ext cx="7315200" cy="5043055"/>
            <a:chOff x="17858509" y="46482000"/>
            <a:chExt cx="7315200" cy="5043055"/>
          </a:xfrm>
        </xdr:grpSpPr>
        <xdr:grpSp>
          <xdr:nvGrpSpPr>
            <xdr:cNvPr id="66" name="Group 65">
              <a:extLst>
                <a:ext uri="{FF2B5EF4-FFF2-40B4-BE49-F238E27FC236}">
                  <a16:creationId xmlns="" xmlns:a16="http://schemas.microsoft.com/office/drawing/2014/main" id="{00000000-0008-0000-0F00-000042000000}"/>
                </a:ext>
              </a:extLst>
            </xdr:cNvPr>
            <xdr:cNvGrpSpPr/>
          </xdr:nvGrpSpPr>
          <xdr:grpSpPr>
            <a:xfrm>
              <a:off x="17858509" y="46482000"/>
              <a:ext cx="7315200" cy="5043055"/>
              <a:chOff x="17858509" y="46482000"/>
              <a:chExt cx="7315200" cy="5043055"/>
            </a:xfrm>
          </xdr:grpSpPr>
          <xdr:graphicFrame macro="">
            <xdr:nvGraphicFramePr>
              <xdr:cNvPr id="68" name="Chart 67" title="Illustrative Cap">
                <a:extLst>
                  <a:ext uri="{FF2B5EF4-FFF2-40B4-BE49-F238E27FC236}">
                    <a16:creationId xmlns="" xmlns:a16="http://schemas.microsoft.com/office/drawing/2014/main" id="{00000000-0008-0000-0F00-000044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7858509" y="46482000"/>
              <a:ext cx="7315200" cy="504305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7"/>
              </a:graphicData>
            </a:graphic>
          </xdr:graphicFrame>
          <xdr:sp macro="" textlink="">
            <xdr:nvSpPr>
              <xdr:cNvPr id="69" name="TextBox 68">
                <a:extLst>
                  <a:ext uri="{FF2B5EF4-FFF2-40B4-BE49-F238E27FC236}">
                    <a16:creationId xmlns="" xmlns:a16="http://schemas.microsoft.com/office/drawing/2014/main" id="{00000000-0008-0000-0F00-000045000000}"/>
                  </a:ext>
                </a:extLst>
              </xdr:cNvPr>
              <xdr:cNvSpPr txBox="1"/>
            </xdr:nvSpPr>
            <xdr:spPr>
              <a:xfrm>
                <a:off x="23604272" y="47127101"/>
                <a:ext cx="1151467" cy="264969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en-CA" sz="1100" b="1"/>
                  <a:t>BAU Emissions</a:t>
                </a:r>
              </a:p>
            </xdr:txBody>
          </xdr:sp>
        </xdr:grpSp>
        <xdr:cxnSp macro="">
          <xdr:nvCxnSpPr>
            <xdr:cNvPr id="67" name="Straight Connector 66">
              <a:extLst>
                <a:ext uri="{FF2B5EF4-FFF2-40B4-BE49-F238E27FC236}">
                  <a16:creationId xmlns="" xmlns:a16="http://schemas.microsoft.com/office/drawing/2014/main" id="{00000000-0008-0000-0F00-000043000000}"/>
                </a:ext>
              </a:extLst>
            </xdr:cNvPr>
            <xdr:cNvCxnSpPr/>
          </xdr:nvCxnSpPr>
          <xdr:spPr>
            <a:xfrm>
              <a:off x="22898100" y="46985093"/>
              <a:ext cx="9526" cy="3487882"/>
            </a:xfrm>
            <a:prstGeom prst="line">
              <a:avLst/>
            </a:prstGeom>
            <a:ln w="19050">
              <a:solidFill>
                <a:schemeClr val="accent2">
                  <a:lumMod val="75000"/>
                </a:schemeClr>
              </a:solidFill>
              <a:prstDash val="sysDot"/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</xdr:grpSp>
      <xdr:grpSp>
        <xdr:nvGrpSpPr>
          <xdr:cNvPr id="56" name="Group 55">
            <a:extLst>
              <a:ext uri="{FF2B5EF4-FFF2-40B4-BE49-F238E27FC236}">
                <a16:creationId xmlns="" xmlns:a16="http://schemas.microsoft.com/office/drawing/2014/main" id="{00000000-0008-0000-0F00-000038000000}"/>
              </a:ext>
            </a:extLst>
          </xdr:cNvPr>
          <xdr:cNvGrpSpPr/>
        </xdr:nvGrpSpPr>
        <xdr:grpSpPr>
          <a:xfrm>
            <a:off x="18840451" y="47582265"/>
            <a:ext cx="6437639" cy="2797448"/>
            <a:chOff x="18831486" y="46725728"/>
            <a:chExt cx="6437639" cy="2785223"/>
          </a:xfrm>
        </xdr:grpSpPr>
        <xdr:sp macro="" textlink="">
          <xdr:nvSpPr>
            <xdr:cNvPr id="57" name="TextBox 56">
              <a:extLst>
                <a:ext uri="{FF2B5EF4-FFF2-40B4-BE49-F238E27FC236}">
                  <a16:creationId xmlns="" xmlns:a16="http://schemas.microsoft.com/office/drawing/2014/main" id="{00000000-0008-0000-0F00-000039000000}"/>
                </a:ext>
              </a:extLst>
            </xdr:cNvPr>
            <xdr:cNvSpPr txBox="1"/>
          </xdr:nvSpPr>
          <xdr:spPr>
            <a:xfrm>
              <a:off x="24585706" y="46725728"/>
              <a:ext cx="683419" cy="4062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1000" b="1" baseline="0">
                  <a:solidFill>
                    <a:srgbClr val="C00000"/>
                  </a:solidFill>
                </a:rPr>
                <a:t>2020 Target</a:t>
              </a:r>
              <a:endParaRPr lang="en-CA" sz="1000" b="1">
                <a:solidFill>
                  <a:srgbClr val="C00000"/>
                </a:solidFill>
              </a:endParaRPr>
            </a:p>
          </xdr:txBody>
        </xdr:sp>
        <xdr:sp macro="" textlink="">
          <xdr:nvSpPr>
            <xdr:cNvPr id="58" name="TextBox 57">
              <a:extLst>
                <a:ext uri="{FF2B5EF4-FFF2-40B4-BE49-F238E27FC236}">
                  <a16:creationId xmlns="" xmlns:a16="http://schemas.microsoft.com/office/drawing/2014/main" id="{00000000-0008-0000-0F00-00003A000000}"/>
                </a:ext>
              </a:extLst>
            </xdr:cNvPr>
            <xdr:cNvSpPr txBox="1"/>
          </xdr:nvSpPr>
          <xdr:spPr>
            <a:xfrm>
              <a:off x="18906565" y="48114137"/>
              <a:ext cx="1381125" cy="27454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1100" b="0">
                  <a:solidFill>
                    <a:sysClr val="windowText" lastClr="000000"/>
                  </a:solidFill>
                </a:rPr>
                <a:t>Transportation</a:t>
              </a:r>
              <a:r>
                <a:rPr lang="en-CA" sz="1100" b="0" baseline="0">
                  <a:solidFill>
                    <a:sysClr val="windowText" lastClr="000000"/>
                  </a:solidFill>
                </a:rPr>
                <a:t> Fuel</a:t>
              </a:r>
              <a:endParaRPr lang="en-CA" sz="1100" b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9" name="TextBox 58">
              <a:extLst>
                <a:ext uri="{FF2B5EF4-FFF2-40B4-BE49-F238E27FC236}">
                  <a16:creationId xmlns="" xmlns:a16="http://schemas.microsoft.com/office/drawing/2014/main" id="{00000000-0008-0000-0F00-00003B000000}"/>
                </a:ext>
              </a:extLst>
            </xdr:cNvPr>
            <xdr:cNvSpPr txBox="1"/>
          </xdr:nvSpPr>
          <xdr:spPr>
            <a:xfrm>
              <a:off x="18831486" y="48831873"/>
              <a:ext cx="1104900" cy="27678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1100" b="0">
                  <a:solidFill>
                    <a:sysClr val="windowText" lastClr="000000"/>
                  </a:solidFill>
                </a:rPr>
                <a:t>Electricity</a:t>
              </a:r>
            </a:p>
          </xdr:txBody>
        </xdr:sp>
        <xdr:sp macro="" textlink="">
          <xdr:nvSpPr>
            <xdr:cNvPr id="60" name="TextBox 59">
              <a:extLst>
                <a:ext uri="{FF2B5EF4-FFF2-40B4-BE49-F238E27FC236}">
                  <a16:creationId xmlns="" xmlns:a16="http://schemas.microsoft.com/office/drawing/2014/main" id="{00000000-0008-0000-0F00-00003C000000}"/>
                </a:ext>
              </a:extLst>
            </xdr:cNvPr>
            <xdr:cNvSpPr txBox="1"/>
          </xdr:nvSpPr>
          <xdr:spPr>
            <a:xfrm>
              <a:off x="18871826" y="47370067"/>
              <a:ext cx="2076450" cy="26333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1100" b="0" baseline="0">
                  <a:solidFill>
                    <a:sysClr val="windowText" lastClr="000000"/>
                  </a:solidFill>
                </a:rPr>
                <a:t>Heating Fuels (including SMEs)</a:t>
              </a:r>
              <a:endParaRPr lang="en-CA" sz="1100" b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1" name="TextBox 60">
              <a:extLst>
                <a:ext uri="{FF2B5EF4-FFF2-40B4-BE49-F238E27FC236}">
                  <a16:creationId xmlns="" xmlns:a16="http://schemas.microsoft.com/office/drawing/2014/main" id="{00000000-0008-0000-0F00-00003D000000}"/>
                </a:ext>
              </a:extLst>
            </xdr:cNvPr>
            <xdr:cNvSpPr txBox="1"/>
          </xdr:nvSpPr>
          <xdr:spPr>
            <a:xfrm>
              <a:off x="18904884" y="49236406"/>
              <a:ext cx="1381125" cy="27454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1100" b="0">
                  <a:solidFill>
                    <a:sysClr val="windowText" lastClr="000000"/>
                  </a:solidFill>
                </a:rPr>
                <a:t>Industry</a:t>
              </a:r>
              <a:r>
                <a:rPr lang="en-CA" sz="1100" b="0" baseline="0">
                  <a:solidFill>
                    <a:sysClr val="windowText" lastClr="000000"/>
                  </a:solidFill>
                </a:rPr>
                <a:t> (LFEs)</a:t>
              </a:r>
              <a:endParaRPr lang="en-CA" sz="1100" b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2" name="TextBox 61">
              <a:extLst>
                <a:ext uri="{FF2B5EF4-FFF2-40B4-BE49-F238E27FC236}">
                  <a16:creationId xmlns="" xmlns:a16="http://schemas.microsoft.com/office/drawing/2014/main" id="{00000000-0008-0000-0F00-00003E000000}"/>
                </a:ext>
              </a:extLst>
            </xdr:cNvPr>
            <xdr:cNvSpPr txBox="1"/>
          </xdr:nvSpPr>
          <xdr:spPr>
            <a:xfrm rot="327341">
              <a:off x="22917638" y="47272295"/>
              <a:ext cx="1786691" cy="190264"/>
            </a:xfrm>
            <a:prstGeom prst="rect">
              <a:avLst/>
            </a:prstGeom>
            <a:solidFill>
              <a:schemeClr val="tx2">
                <a:lumMod val="20000"/>
                <a:lumOff val="8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800" b="0" baseline="0">
                  <a:solidFill>
                    <a:sysClr val="windowText" lastClr="000000"/>
                  </a:solidFill>
                </a:rPr>
                <a:t>Sector Cap (decline at 5.3% per year)</a:t>
              </a:r>
              <a:endParaRPr lang="en-CA" sz="800" b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3" name="TextBox 62">
              <a:extLst>
                <a:ext uri="{FF2B5EF4-FFF2-40B4-BE49-F238E27FC236}">
                  <a16:creationId xmlns="" xmlns:a16="http://schemas.microsoft.com/office/drawing/2014/main" id="{00000000-0008-0000-0F00-00003F000000}"/>
                </a:ext>
              </a:extLst>
            </xdr:cNvPr>
            <xdr:cNvSpPr txBox="1"/>
          </xdr:nvSpPr>
          <xdr:spPr>
            <a:xfrm rot="327341">
              <a:off x="22917711" y="48094526"/>
              <a:ext cx="1786691" cy="190265"/>
            </a:xfrm>
            <a:prstGeom prst="rect">
              <a:avLst/>
            </a:prstGeom>
            <a:solidFill>
              <a:schemeClr val="tx2">
                <a:lumMod val="60000"/>
                <a:lumOff val="4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800" b="0" baseline="0">
                  <a:solidFill>
                    <a:sysClr val="windowText" lastClr="000000"/>
                  </a:solidFill>
                </a:rPr>
                <a:t>Sector Cap (decline at 5.3% per year)</a:t>
              </a:r>
              <a:endParaRPr lang="en-CA" sz="800" b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4" name="TextBox 63">
              <a:extLst>
                <a:ext uri="{FF2B5EF4-FFF2-40B4-BE49-F238E27FC236}">
                  <a16:creationId xmlns="" xmlns:a16="http://schemas.microsoft.com/office/drawing/2014/main" id="{00000000-0008-0000-0F00-000040000000}"/>
                </a:ext>
              </a:extLst>
            </xdr:cNvPr>
            <xdr:cNvSpPr txBox="1"/>
          </xdr:nvSpPr>
          <xdr:spPr>
            <a:xfrm>
              <a:off x="22924733" y="49139877"/>
              <a:ext cx="1739407" cy="257702"/>
            </a:xfrm>
            <a:prstGeom prst="rect">
              <a:avLst/>
            </a:prstGeom>
            <a:solidFill>
              <a:schemeClr val="accent2">
                <a:lumMod val="20000"/>
                <a:lumOff val="8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800" b="0">
                  <a:solidFill>
                    <a:sysClr val="windowText" lastClr="000000"/>
                  </a:solidFill>
                </a:rPr>
                <a:t>Sector Cap</a:t>
              </a:r>
              <a:r>
                <a:rPr lang="en-CA" sz="800" b="0" baseline="0">
                  <a:solidFill>
                    <a:sysClr val="windowText" lastClr="000000"/>
                  </a:solidFill>
                </a:rPr>
                <a:t> (decline at 1.2% per year)</a:t>
              </a:r>
              <a:endParaRPr lang="en-CA" sz="800" b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5" name="TextBox 64">
              <a:extLst>
                <a:ext uri="{FF2B5EF4-FFF2-40B4-BE49-F238E27FC236}">
                  <a16:creationId xmlns="" xmlns:a16="http://schemas.microsoft.com/office/drawing/2014/main" id="{00000000-0008-0000-0F00-000041000000}"/>
                </a:ext>
              </a:extLst>
            </xdr:cNvPr>
            <xdr:cNvSpPr txBox="1"/>
          </xdr:nvSpPr>
          <xdr:spPr>
            <a:xfrm>
              <a:off x="23121096" y="48932165"/>
              <a:ext cx="1190626" cy="22691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800" b="0">
                  <a:solidFill>
                    <a:sysClr val="windowText" lastClr="000000"/>
                  </a:solidFill>
                </a:rPr>
                <a:t>Sector Cap</a:t>
              </a:r>
              <a:r>
                <a:rPr lang="en-CA" sz="800" b="0" baseline="0">
                  <a:solidFill>
                    <a:sysClr val="windowText" lastClr="000000"/>
                  </a:solidFill>
                </a:rPr>
                <a:t> (no decline)</a:t>
              </a:r>
              <a:endParaRPr lang="en-CA" sz="800" b="0">
                <a:solidFill>
                  <a:sysClr val="windowText" lastClr="000000"/>
                </a:solidFill>
              </a:endParaRPr>
            </a:p>
          </xdr:txBody>
        </xdr:sp>
      </xdr:grpSp>
    </xdr:grpSp>
    <xdr:clientData/>
  </xdr:twoCellAnchor>
  <xdr:twoCellAnchor>
    <xdr:from>
      <xdr:col>45</xdr:col>
      <xdr:colOff>568037</xdr:colOff>
      <xdr:row>303</xdr:row>
      <xdr:rowOff>25731</xdr:rowOff>
    </xdr:from>
    <xdr:to>
      <xdr:col>57</xdr:col>
      <xdr:colOff>568037</xdr:colOff>
      <xdr:row>331</xdr:row>
      <xdr:rowOff>25731</xdr:rowOff>
    </xdr:to>
    <xdr:grpSp>
      <xdr:nvGrpSpPr>
        <xdr:cNvPr id="70" name="Group 69">
          <a:extLst>
            <a:ext uri="{FF2B5EF4-FFF2-40B4-BE49-F238E27FC236}">
              <a16:creationId xmlns="" xmlns:a16="http://schemas.microsoft.com/office/drawing/2014/main" id="{00000000-0008-0000-0F00-000046000000}"/>
            </a:ext>
          </a:extLst>
        </xdr:cNvPr>
        <xdr:cNvGrpSpPr/>
      </xdr:nvGrpSpPr>
      <xdr:grpSpPr>
        <a:xfrm>
          <a:off x="36607589" y="44548248"/>
          <a:ext cx="7863840" cy="5163312"/>
          <a:chOff x="26314672" y="45638155"/>
          <a:chExt cx="7315200" cy="5020235"/>
        </a:xfrm>
      </xdr:grpSpPr>
      <xdr:grpSp>
        <xdr:nvGrpSpPr>
          <xdr:cNvPr id="71" name="Group 70">
            <a:extLst>
              <a:ext uri="{FF2B5EF4-FFF2-40B4-BE49-F238E27FC236}">
                <a16:creationId xmlns="" xmlns:a16="http://schemas.microsoft.com/office/drawing/2014/main" id="{00000000-0008-0000-0F00-000047000000}"/>
              </a:ext>
            </a:extLst>
          </xdr:cNvPr>
          <xdr:cNvGrpSpPr/>
        </xdr:nvGrpSpPr>
        <xdr:grpSpPr>
          <a:xfrm>
            <a:off x="26314672" y="45638155"/>
            <a:ext cx="7315200" cy="5020235"/>
            <a:chOff x="26323637" y="47215302"/>
            <a:chExt cx="7315200" cy="5181600"/>
          </a:xfrm>
        </xdr:grpSpPr>
        <xdr:graphicFrame macro="">
          <xdr:nvGraphicFramePr>
            <xdr:cNvPr id="73" name="Chart 72" title="Illustrative Cap">
              <a:extLst>
                <a:ext uri="{FF2B5EF4-FFF2-40B4-BE49-F238E27FC236}">
                  <a16:creationId xmlns="" xmlns:a16="http://schemas.microsoft.com/office/drawing/2014/main" id="{00000000-0008-0000-0F00-000049000000}"/>
                </a:ext>
              </a:extLst>
            </xdr:cNvPr>
            <xdr:cNvGraphicFramePr>
              <a:graphicFrameLocks/>
            </xdr:cNvGraphicFramePr>
          </xdr:nvGraphicFramePr>
          <xdr:xfrm>
            <a:off x="26323637" y="47215302"/>
            <a:ext cx="7315200" cy="51816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cxnSp macro="">
          <xdr:nvCxnSpPr>
            <xdr:cNvPr id="74" name="Straight Connector 73">
              <a:extLst>
                <a:ext uri="{FF2B5EF4-FFF2-40B4-BE49-F238E27FC236}">
                  <a16:creationId xmlns="" xmlns:a16="http://schemas.microsoft.com/office/drawing/2014/main" id="{00000000-0008-0000-0F00-00004A000000}"/>
                </a:ext>
              </a:extLst>
            </xdr:cNvPr>
            <xdr:cNvCxnSpPr/>
          </xdr:nvCxnSpPr>
          <xdr:spPr>
            <a:xfrm>
              <a:off x="30892173" y="47746451"/>
              <a:ext cx="9526" cy="3583703"/>
            </a:xfrm>
            <a:prstGeom prst="line">
              <a:avLst/>
            </a:prstGeom>
            <a:ln w="19050">
              <a:solidFill>
                <a:schemeClr val="accent2">
                  <a:lumMod val="75000"/>
                </a:schemeClr>
              </a:solidFill>
              <a:prstDash val="sysDot"/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  <xdr:sp macro="" textlink="">
          <xdr:nvSpPr>
            <xdr:cNvPr id="75" name="TextBox 74">
              <a:extLst>
                <a:ext uri="{FF2B5EF4-FFF2-40B4-BE49-F238E27FC236}">
                  <a16:creationId xmlns="" xmlns:a16="http://schemas.microsoft.com/office/drawing/2014/main" id="{00000000-0008-0000-0F00-00004B000000}"/>
                </a:ext>
              </a:extLst>
            </xdr:cNvPr>
            <xdr:cNvSpPr txBox="1"/>
          </xdr:nvSpPr>
          <xdr:spPr>
            <a:xfrm>
              <a:off x="32368262" y="47955162"/>
              <a:ext cx="1151467" cy="2722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1100" b="1"/>
                <a:t>BAU Emissions</a:t>
              </a:r>
            </a:p>
          </xdr:txBody>
        </xdr:sp>
        <xdr:sp macro="" textlink="">
          <xdr:nvSpPr>
            <xdr:cNvPr id="76" name="TextBox 75">
              <a:extLst>
                <a:ext uri="{FF2B5EF4-FFF2-40B4-BE49-F238E27FC236}">
                  <a16:creationId xmlns="" xmlns:a16="http://schemas.microsoft.com/office/drawing/2014/main" id="{00000000-0008-0000-0F00-00004C000000}"/>
                </a:ext>
              </a:extLst>
            </xdr:cNvPr>
            <xdr:cNvSpPr txBox="1"/>
          </xdr:nvSpPr>
          <xdr:spPr>
            <a:xfrm>
              <a:off x="32682756" y="48348310"/>
              <a:ext cx="683419" cy="41920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en-CA" sz="1000" b="1" baseline="0">
                  <a:solidFill>
                    <a:srgbClr val="C00000"/>
                  </a:solidFill>
                </a:rPr>
                <a:t>2020 Target</a:t>
              </a:r>
              <a:endParaRPr lang="en-CA" sz="1000" b="1">
                <a:solidFill>
                  <a:srgbClr val="C00000"/>
                </a:solidFill>
              </a:endParaRPr>
            </a:p>
          </xdr:txBody>
        </xdr:sp>
      </xdr:grpSp>
      <xdr:sp macro="" textlink="">
        <xdr:nvSpPr>
          <xdr:cNvPr id="72" name="TextBox 71">
            <a:extLst>
              <a:ext uri="{FF2B5EF4-FFF2-40B4-BE49-F238E27FC236}">
                <a16:creationId xmlns="" xmlns:a16="http://schemas.microsoft.com/office/drawing/2014/main" id="{00000000-0008-0000-0F00-000048000000}"/>
              </a:ext>
            </a:extLst>
          </xdr:cNvPr>
          <xdr:cNvSpPr txBox="1"/>
        </xdr:nvSpPr>
        <xdr:spPr>
          <a:xfrm rot="677167">
            <a:off x="30928235" y="46813690"/>
            <a:ext cx="1550894" cy="4930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CA" sz="1050">
                <a:solidFill>
                  <a:srgbClr val="FFFF00"/>
                </a:solidFill>
              </a:rPr>
              <a:t>Proposed cap declines</a:t>
            </a:r>
            <a:r>
              <a:rPr lang="en-CA" sz="1050" baseline="0">
                <a:solidFill>
                  <a:srgbClr val="FFFF00"/>
                </a:solidFill>
              </a:rPr>
              <a:t> at 4.2% annually</a:t>
            </a:r>
            <a:endParaRPr lang="en-CA" sz="1050">
              <a:solidFill>
                <a:srgbClr val="FFFF00"/>
              </a:solidFill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ODELING%20&amp;%20ANALYSIS\Project_Index\MAG_00036%20Electricity%20Contingency%20Reserves%20and%20Budget%20%20Scenario%20Analysis\Working%20Files\Cap%20and%20Budget%202017\Discrepancy_August%2024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ODELING%20&amp;%20ANALYSIS\Project_Index\MAG_00036%20Electricity%20Contingency%20Reserves%20and%20Budget%20%20Scenario%20Analysis\Working%20Files\Cap%20and%20Budget%202017\Proceeds%20estimates_%20for%20post%20-2020%20modelling%20sol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ODELING%20&amp;%20ANALYSIS\Project_Index\MAG_00036%20Electricity%20Contingency%20Reserves%20and%20Budget%20%20Scenario%20Analysis\Working%20Files\Cap%20and%20Budget%202017\Proceeds%20estimates_June%202_%20November%20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ODELING%20&amp;%20ANALYSIS\Project_Index\MAG_00036%20Electricity%20Contingency%20Reserves%20and%20Budget%20%20Scenario%20Analysis\Working%20Files\Cap%20and%20Budget%202017\Supply%20and%20Demand%20Analysis\Demand%20and%20Supply%20Analysis%20December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repancy"/>
      <sheetName val="Demand and Supply Analysis"/>
      <sheetName val="Comparison"/>
      <sheetName val="Comparison 2"/>
      <sheetName val="Revised Jan.6 2016 EnviEco Frst"/>
      <sheetName val="2017 NIR"/>
      <sheetName val="2015 NIR"/>
      <sheetName val="2016 NIR"/>
      <sheetName val="2014 OCCU"/>
      <sheetName val="2015 OCCU - Preliminary"/>
      <sheetName val="2017 OCCU"/>
      <sheetName val="2017OCCU-2015OCCU"/>
      <sheetName val="Nov 2015 ECCC Trend Report"/>
      <sheetName val="2016 NEB Energy DS Projections"/>
      <sheetName val="HHD"/>
      <sheetName val="Uncertainties"/>
      <sheetName val="OEB NG consumption"/>
      <sheetName val="August 1 2017 Navius"/>
    </sheetNames>
    <sheetDataSet>
      <sheetData sheetId="0"/>
      <sheetData sheetId="1"/>
      <sheetData sheetId="2"/>
      <sheetData sheetId="3"/>
      <sheetData sheetId="4"/>
      <sheetData sheetId="5">
        <row r="71">
          <cell r="AC71">
            <v>2010</v>
          </cell>
          <cell r="AD71">
            <v>2011</v>
          </cell>
          <cell r="AE71">
            <v>2012</v>
          </cell>
          <cell r="AF71">
            <v>2013</v>
          </cell>
          <cell r="AG71">
            <v>2014</v>
          </cell>
          <cell r="AH71">
            <v>2015</v>
          </cell>
        </row>
        <row r="72">
          <cell r="C72" t="str">
            <v xml:space="preserve">Industry </v>
          </cell>
          <cell r="AC72">
            <v>46.373459968036514</v>
          </cell>
          <cell r="AD72">
            <v>48.558108323996436</v>
          </cell>
          <cell r="AE72">
            <v>50.815860361005647</v>
          </cell>
          <cell r="AF72">
            <v>48.371931305742848</v>
          </cell>
          <cell r="AG72">
            <v>49.197787998722802</v>
          </cell>
          <cell r="AH72">
            <v>47.358557513759031</v>
          </cell>
        </row>
        <row r="73">
          <cell r="C73" t="str">
            <v xml:space="preserve">Electricity </v>
          </cell>
          <cell r="AC73">
            <v>18.646284063432901</v>
          </cell>
          <cell r="AD73">
            <v>13.833843295348</v>
          </cell>
          <cell r="AE73">
            <v>13.912456764649701</v>
          </cell>
          <cell r="AF73">
            <v>10.0580327945951</v>
          </cell>
          <cell r="AG73">
            <v>6.0074201464293298</v>
          </cell>
          <cell r="AH73">
            <v>6.2075188031322002</v>
          </cell>
        </row>
        <row r="74">
          <cell r="C74" t="str">
            <v xml:space="preserve">Transportation </v>
          </cell>
          <cell r="AC74">
            <v>61.753238018175097</v>
          </cell>
          <cell r="AD74">
            <v>61.334914572874794</v>
          </cell>
          <cell r="AE74">
            <v>58.978949813984102</v>
          </cell>
          <cell r="AF74">
            <v>61.622431385732902</v>
          </cell>
          <cell r="AG74">
            <v>59.932229014315894</v>
          </cell>
          <cell r="AH74">
            <v>61.1732202682525</v>
          </cell>
        </row>
        <row r="75">
          <cell r="C75" t="str">
            <v>Buildings</v>
          </cell>
          <cell r="AC75">
            <v>29.831184823771899</v>
          </cell>
          <cell r="AD75">
            <v>32.359943225652501</v>
          </cell>
          <cell r="AE75">
            <v>29.278381435084</v>
          </cell>
          <cell r="AF75">
            <v>32.147860537132601</v>
          </cell>
          <cell r="AG75">
            <v>34.938121836796498</v>
          </cell>
          <cell r="AH75">
            <v>33.175708563280097</v>
          </cell>
        </row>
        <row r="76">
          <cell r="C76" t="str">
            <v xml:space="preserve">Agriculture </v>
          </cell>
          <cell r="AC76">
            <v>10.440966476061</v>
          </cell>
          <cell r="AD76">
            <v>9.8661980190880012</v>
          </cell>
          <cell r="AE76">
            <v>9.7394322844284194</v>
          </cell>
          <cell r="AF76">
            <v>10.155591958415799</v>
          </cell>
          <cell r="AG76">
            <v>9.8646988303758292</v>
          </cell>
          <cell r="AH76">
            <v>9.6575409198612903</v>
          </cell>
        </row>
        <row r="77">
          <cell r="C77" t="str">
            <v>Waste</v>
          </cell>
          <cell r="AC77">
            <v>8.4199960410399992</v>
          </cell>
          <cell r="AD77">
            <v>8.6799037316799996</v>
          </cell>
          <cell r="AE77">
            <v>8.6363149194000002</v>
          </cell>
          <cell r="AF77">
            <v>8.4770129280100015</v>
          </cell>
          <cell r="AG77">
            <v>8.5407065481300002</v>
          </cell>
          <cell r="AH77">
            <v>8.5951454307899997</v>
          </cell>
        </row>
        <row r="78">
          <cell r="C78" t="str">
            <v>Total Emissions</v>
          </cell>
          <cell r="AC78">
            <v>175.4651293905174</v>
          </cell>
          <cell r="AD78">
            <v>174.63291116863974</v>
          </cell>
          <cell r="AE78">
            <v>171.36139557855188</v>
          </cell>
          <cell r="AF78">
            <v>170.83286090962926</v>
          </cell>
          <cell r="AG78">
            <v>168.48096437477037</v>
          </cell>
          <cell r="AH78">
            <v>166.16769149907515</v>
          </cell>
        </row>
        <row r="81">
          <cell r="AC81">
            <v>2010</v>
          </cell>
          <cell r="AD81">
            <v>2011</v>
          </cell>
          <cell r="AE81">
            <v>2012</v>
          </cell>
          <cell r="AF81">
            <v>2013</v>
          </cell>
          <cell r="AG81">
            <v>2014</v>
          </cell>
          <cell r="AH81">
            <v>2015</v>
          </cell>
        </row>
        <row r="82">
          <cell r="C82" t="str">
            <v xml:space="preserve">Industry </v>
          </cell>
          <cell r="AC82">
            <v>37.360095091702021</v>
          </cell>
          <cell r="AD82">
            <v>39.249438856665137</v>
          </cell>
          <cell r="AE82">
            <v>39.897252481503202</v>
          </cell>
          <cell r="AF82">
            <v>36.517308130159336</v>
          </cell>
          <cell r="AG82">
            <v>37.695957077368874</v>
          </cell>
          <cell r="AH82">
            <v>35.76394821582587</v>
          </cell>
        </row>
        <row r="83">
          <cell r="C83" t="str">
            <v xml:space="preserve">Electricity </v>
          </cell>
          <cell r="AC83">
            <v>18.646284063432901</v>
          </cell>
          <cell r="AD83">
            <v>13.833843295348</v>
          </cell>
          <cell r="AE83">
            <v>13.912456764649701</v>
          </cell>
          <cell r="AF83">
            <v>10.0580327945951</v>
          </cell>
          <cell r="AG83">
            <v>6.0074201464293298</v>
          </cell>
          <cell r="AH83">
            <v>6.2075188031322002</v>
          </cell>
        </row>
        <row r="84">
          <cell r="C84" t="str">
            <v xml:space="preserve">Transportation </v>
          </cell>
          <cell r="AC84">
            <v>58.769171753709543</v>
          </cell>
          <cell r="AD84">
            <v>58.648529734134748</v>
          </cell>
          <cell r="AE84">
            <v>55.800638224639513</v>
          </cell>
          <cell r="AF84">
            <v>58.123906320159286</v>
          </cell>
          <cell r="AG84">
            <v>56.472753978547793</v>
          </cell>
          <cell r="AH84">
            <v>58.019357056255082</v>
          </cell>
        </row>
        <row r="85">
          <cell r="C85" t="str">
            <v>Buildings</v>
          </cell>
          <cell r="AC85">
            <v>29.831184823771899</v>
          </cell>
          <cell r="AD85">
            <v>32.359943225652501</v>
          </cell>
          <cell r="AE85">
            <v>29.278381435084</v>
          </cell>
          <cell r="AF85">
            <v>32.147860537132601</v>
          </cell>
          <cell r="AG85">
            <v>34.938121836796498</v>
          </cell>
          <cell r="AH85">
            <v>33.175708563280097</v>
          </cell>
        </row>
        <row r="86">
          <cell r="AG86">
            <v>0</v>
          </cell>
          <cell r="AH86">
            <v>0</v>
          </cell>
        </row>
        <row r="87">
          <cell r="C87" t="str">
            <v>Total Covered Emissions</v>
          </cell>
          <cell r="AC87">
            <v>144.60673573261636</v>
          </cell>
          <cell r="AD87">
            <v>144.09175511180038</v>
          </cell>
          <cell r="AE87">
            <v>138.88872890587641</v>
          </cell>
          <cell r="AF87">
            <v>136.84710778204632</v>
          </cell>
          <cell r="AG87">
            <v>135.11425303914251</v>
          </cell>
          <cell r="AH87">
            <v>133.16653263849327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-2020 Proceeds Estimates"/>
      <sheetName val="Proceeds Update Oct 2016"/>
      <sheetName val="Proceeds Update June 2016"/>
      <sheetName val="Cogen Calcs"/>
      <sheetName val="Proceeds Update -Comparison"/>
    </sheetNames>
    <sheetDataSet>
      <sheetData sheetId="0" refreshError="1"/>
      <sheetData sheetId="1" refreshError="1"/>
      <sheetData sheetId="2">
        <row r="22">
          <cell r="C22">
            <v>505.36672623608308</v>
          </cell>
          <cell r="D22">
            <v>1999.2688263508317</v>
          </cell>
          <cell r="E22">
            <v>1930.507303932081</v>
          </cell>
          <cell r="F22">
            <v>1865.4314897306472</v>
          </cell>
          <cell r="G22">
            <v>1692.3149079550935</v>
          </cell>
        </row>
        <row r="29">
          <cell r="C29">
            <v>162.5245673143996</v>
          </cell>
          <cell r="D29">
            <v>645.06545667124203</v>
          </cell>
          <cell r="E29">
            <v>629.40061472938078</v>
          </cell>
          <cell r="F29">
            <v>629.85200994841773</v>
          </cell>
          <cell r="G29">
            <v>639.00997001532505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en Calcs"/>
      <sheetName val="Proceeds Update -Comparison"/>
      <sheetName val="Request Nov.17, 2016"/>
      <sheetName val="Proceeds from NG distributors"/>
      <sheetName val="Proceeds Update Oct 2016"/>
      <sheetName val="Proceeds Update June 2016"/>
    </sheetNames>
    <sheetDataSet>
      <sheetData sheetId="0"/>
      <sheetData sheetId="1"/>
      <sheetData sheetId="2"/>
      <sheetData sheetId="3"/>
      <sheetData sheetId="4"/>
      <sheetData sheetId="5">
        <row r="22">
          <cell r="C22">
            <v>505.36672623608308</v>
          </cell>
          <cell r="D22">
            <v>1999.2688263508317</v>
          </cell>
          <cell r="E22">
            <v>1930.507303932081</v>
          </cell>
          <cell r="F22">
            <v>1865.4314897306472</v>
          </cell>
          <cell r="G22">
            <v>1692.3149079550935</v>
          </cell>
        </row>
        <row r="29">
          <cell r="C29">
            <v>162.5245673143996</v>
          </cell>
          <cell r="D29">
            <v>645.06545667124203</v>
          </cell>
          <cell r="E29">
            <v>629.40061472938078</v>
          </cell>
          <cell r="F29">
            <v>629.85200994841773</v>
          </cell>
          <cell r="G29">
            <v>639.00997001532505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ly-Demand Analysis"/>
      <sheetName val="Summary Table"/>
      <sheetName val="Re-introduing unsold Allwcs"/>
      <sheetName val="Demand Case 2 "/>
      <sheetName val="Year by Year Analysis"/>
      <sheetName val="Sheet3"/>
    </sheetNames>
    <sheetDataSet>
      <sheetData sheetId="0"/>
      <sheetData sheetId="1">
        <row r="6">
          <cell r="R6">
            <v>446.62812450680178</v>
          </cell>
          <cell r="S6">
            <v>334.97109338010137</v>
          </cell>
          <cell r="T6">
            <v>357.30249960544148</v>
          </cell>
        </row>
        <row r="7">
          <cell r="S7">
            <v>334.97109338010137</v>
          </cell>
        </row>
        <row r="8">
          <cell r="S8">
            <v>334.97109338010137</v>
          </cell>
        </row>
        <row r="9">
          <cell r="S9">
            <v>334.97109338010137</v>
          </cell>
        </row>
        <row r="10">
          <cell r="R10">
            <v>435.89018916372612</v>
          </cell>
          <cell r="S10">
            <v>435.89018916372612</v>
          </cell>
          <cell r="T10">
            <v>348.71215133098093</v>
          </cell>
        </row>
        <row r="11">
          <cell r="S11">
            <v>435.89018916372612</v>
          </cell>
        </row>
        <row r="12">
          <cell r="S12">
            <v>550.45569517100455</v>
          </cell>
        </row>
        <row r="13">
          <cell r="S13">
            <v>550.45569517100455</v>
          </cell>
        </row>
        <row r="14">
          <cell r="R14">
            <v>427.94825747888899</v>
          </cell>
          <cell r="S14">
            <v>519.44558628810773</v>
          </cell>
          <cell r="T14">
            <v>342.35860598311115</v>
          </cell>
        </row>
        <row r="15">
          <cell r="S15">
            <v>47.074308322677787</v>
          </cell>
        </row>
        <row r="16">
          <cell r="S16">
            <v>149.78189011761114</v>
          </cell>
        </row>
        <row r="17">
          <cell r="S17">
            <v>376.5944665814223</v>
          </cell>
        </row>
        <row r="18">
          <cell r="R18">
            <v>422.9508383047297</v>
          </cell>
          <cell r="S18">
            <v>422.9508383047297</v>
          </cell>
          <cell r="T18">
            <v>338.36067064378375</v>
          </cell>
        </row>
        <row r="19">
          <cell r="S19">
            <v>422.9508383047297</v>
          </cell>
        </row>
        <row r="20">
          <cell r="S20">
            <v>645.02854583666146</v>
          </cell>
        </row>
        <row r="21">
          <cell r="S21">
            <v>645.02854583666146</v>
          </cell>
        </row>
        <row r="22">
          <cell r="R22">
            <v>446.86537915699392</v>
          </cell>
          <cell r="S22">
            <v>680.02570583562613</v>
          </cell>
          <cell r="T22">
            <v>357.49230332559512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2:BR503"/>
  <sheetViews>
    <sheetView topLeftCell="A8" zoomScale="110" zoomScaleNormal="110" workbookViewId="0">
      <selection activeCell="AW10" sqref="AW10"/>
    </sheetView>
  </sheetViews>
  <sheetFormatPr defaultRowHeight="15" x14ac:dyDescent="0.25"/>
  <cols>
    <col min="2" max="2" width="23.42578125" customWidth="1"/>
    <col min="3" max="3" width="36" customWidth="1"/>
    <col min="4" max="26" width="9.140625" hidden="1" customWidth="1"/>
    <col min="27" max="27" width="49.85546875" hidden="1" customWidth="1"/>
    <col min="28" max="28" width="20.7109375" hidden="1" customWidth="1"/>
    <col min="29" max="29" width="22.5703125" hidden="1" customWidth="1"/>
    <col min="30" max="30" width="0.140625" hidden="1" customWidth="1"/>
    <col min="31" max="31" width="7.28515625" customWidth="1"/>
    <col min="32" max="32" width="8" customWidth="1"/>
    <col min="33" max="33" width="6.85546875" customWidth="1"/>
    <col min="34" max="34" width="6.5703125" customWidth="1"/>
    <col min="35" max="35" width="8.7109375" customWidth="1"/>
    <col min="36" max="36" width="8.28515625" customWidth="1"/>
    <col min="37" max="37" width="7.42578125" customWidth="1"/>
    <col min="38" max="39" width="8.28515625" customWidth="1"/>
    <col min="40" max="40" width="8" customWidth="1"/>
    <col min="41" max="43" width="7.5703125" customWidth="1"/>
    <col min="44" max="44" width="7.140625" customWidth="1"/>
    <col min="45" max="45" width="5.7109375" customWidth="1"/>
    <col min="58" max="58" width="8" customWidth="1"/>
    <col min="65" max="65" width="36.7109375" customWidth="1"/>
  </cols>
  <sheetData>
    <row r="2" spans="3:49" x14ac:dyDescent="0.25">
      <c r="C2" s="157" t="s">
        <v>476</v>
      </c>
    </row>
    <row r="3" spans="3:49" x14ac:dyDescent="0.25">
      <c r="AV3" s="1352" t="s">
        <v>685</v>
      </c>
    </row>
    <row r="4" spans="3:49" x14ac:dyDescent="0.25">
      <c r="C4" s="908"/>
      <c r="D4" s="896">
        <v>1990</v>
      </c>
      <c r="E4" s="896">
        <v>1991</v>
      </c>
      <c r="F4" s="896">
        <v>1992</v>
      </c>
      <c r="G4" s="896">
        <v>1993</v>
      </c>
      <c r="H4" s="896">
        <v>1994</v>
      </c>
      <c r="I4" s="896">
        <v>1995</v>
      </c>
      <c r="J4" s="896">
        <v>1996</v>
      </c>
      <c r="K4" s="896">
        <v>1997</v>
      </c>
      <c r="L4" s="896">
        <v>1998</v>
      </c>
      <c r="M4" s="896">
        <v>1999</v>
      </c>
      <c r="N4" s="896">
        <v>2000</v>
      </c>
      <c r="O4" s="896">
        <v>2001</v>
      </c>
      <c r="P4" s="896">
        <v>2002</v>
      </c>
      <c r="Q4" s="896">
        <v>2003</v>
      </c>
      <c r="R4" s="896">
        <v>2004</v>
      </c>
      <c r="S4" s="896">
        <v>2005</v>
      </c>
      <c r="T4" s="896">
        <v>2006</v>
      </c>
      <c r="U4" s="896">
        <v>2007</v>
      </c>
      <c r="V4" s="896">
        <v>2008</v>
      </c>
      <c r="W4" s="896">
        <v>2009</v>
      </c>
      <c r="X4" s="896">
        <v>2010</v>
      </c>
      <c r="Y4" s="896">
        <v>2011</v>
      </c>
      <c r="Z4" s="896">
        <v>2012</v>
      </c>
      <c r="AA4" s="896">
        <v>2013</v>
      </c>
      <c r="AB4" s="896">
        <v>2014</v>
      </c>
      <c r="AC4" s="896">
        <v>2015</v>
      </c>
      <c r="AD4" s="896">
        <v>2016</v>
      </c>
      <c r="AE4" s="896">
        <v>2017</v>
      </c>
      <c r="AF4" s="896">
        <v>2018</v>
      </c>
      <c r="AG4" s="896">
        <v>2019</v>
      </c>
      <c r="AH4" s="896">
        <v>2020</v>
      </c>
      <c r="AI4" s="896">
        <v>2021</v>
      </c>
      <c r="AJ4" s="896">
        <v>2022</v>
      </c>
      <c r="AK4" s="896">
        <v>2023</v>
      </c>
      <c r="AL4" s="896">
        <v>2024</v>
      </c>
      <c r="AM4" s="896">
        <v>2025</v>
      </c>
      <c r="AN4" s="896">
        <v>2026</v>
      </c>
      <c r="AO4" s="896">
        <v>2027</v>
      </c>
      <c r="AP4" s="896">
        <v>2028</v>
      </c>
      <c r="AQ4" s="896">
        <v>2029</v>
      </c>
      <c r="AR4" s="896">
        <v>2030</v>
      </c>
      <c r="AS4" s="897" t="s">
        <v>122</v>
      </c>
      <c r="AT4" s="152"/>
    </row>
    <row r="5" spans="3:49" x14ac:dyDescent="0.25">
      <c r="C5" s="895" t="s">
        <v>679</v>
      </c>
      <c r="D5" s="898"/>
      <c r="E5" s="898"/>
      <c r="F5" s="898"/>
      <c r="G5" s="898"/>
      <c r="H5" s="898"/>
      <c r="I5" s="898"/>
      <c r="J5" s="898"/>
      <c r="K5" s="898"/>
      <c r="L5" s="898"/>
      <c r="M5" s="898"/>
      <c r="N5" s="898"/>
      <c r="O5" s="898"/>
      <c r="P5" s="898"/>
      <c r="Q5" s="898"/>
      <c r="R5" s="898"/>
      <c r="S5" s="898"/>
      <c r="T5" s="898"/>
      <c r="U5" s="898"/>
      <c r="V5" s="898"/>
      <c r="W5" s="898"/>
      <c r="X5" s="898"/>
      <c r="Y5" s="898"/>
      <c r="Z5" s="898"/>
      <c r="AA5" s="898"/>
      <c r="AB5" s="898"/>
      <c r="AC5" s="898"/>
      <c r="AD5" s="898">
        <v>4.5999999999999996</v>
      </c>
      <c r="AE5" s="898"/>
      <c r="AF5" s="898"/>
      <c r="AG5" s="898"/>
      <c r="AH5" s="898"/>
      <c r="AI5" s="1294"/>
      <c r="AJ5" s="1294"/>
      <c r="AK5" s="1294"/>
      <c r="AL5" s="1294"/>
      <c r="AM5" s="1294"/>
      <c r="AN5" s="1294"/>
      <c r="AO5" s="1294"/>
      <c r="AP5" s="1294"/>
      <c r="AQ5" s="1294"/>
      <c r="AR5" s="1294"/>
      <c r="AS5" s="899"/>
      <c r="AT5" s="152"/>
      <c r="AU5" s="901"/>
      <c r="AV5" s="1351" t="s">
        <v>682</v>
      </c>
      <c r="AW5" s="901"/>
    </row>
    <row r="6" spans="3:49" x14ac:dyDescent="0.25">
      <c r="C6" s="895" t="s">
        <v>680</v>
      </c>
      <c r="D6" s="898"/>
      <c r="E6" s="898"/>
      <c r="F6" s="898"/>
      <c r="G6" s="898"/>
      <c r="H6" s="898"/>
      <c r="I6" s="898"/>
      <c r="J6" s="898"/>
      <c r="K6" s="898"/>
      <c r="L6" s="898"/>
      <c r="M6" s="898"/>
      <c r="N6" s="898"/>
      <c r="O6" s="898"/>
      <c r="P6" s="898"/>
      <c r="Q6" s="898"/>
      <c r="R6" s="898"/>
      <c r="S6" s="898"/>
      <c r="T6" s="898"/>
      <c r="U6" s="898"/>
      <c r="V6" s="898"/>
      <c r="W6" s="898"/>
      <c r="X6" s="898"/>
      <c r="Y6" s="898"/>
      <c r="Z6" s="898"/>
      <c r="AA6" s="898"/>
      <c r="AB6" s="898"/>
      <c r="AC6" s="898"/>
      <c r="AD6" s="898"/>
      <c r="AE6" s="898">
        <v>0.28000000000000003</v>
      </c>
      <c r="AF6" s="898">
        <v>0.3</v>
      </c>
      <c r="AG6" s="898">
        <v>0.19</v>
      </c>
      <c r="AH6" s="898">
        <v>0.44</v>
      </c>
      <c r="AI6" s="234">
        <v>0.66</v>
      </c>
      <c r="AJ6" s="234">
        <v>0.67</v>
      </c>
      <c r="AK6" s="234">
        <v>1.22</v>
      </c>
      <c r="AL6" s="234">
        <v>0.63</v>
      </c>
      <c r="AM6" s="234">
        <v>1.59</v>
      </c>
      <c r="AN6" s="234">
        <v>1.51</v>
      </c>
      <c r="AO6" s="234">
        <v>1.23</v>
      </c>
      <c r="AP6" s="234">
        <v>1.0900000000000001</v>
      </c>
      <c r="AQ6" s="234">
        <v>0.92</v>
      </c>
      <c r="AR6" s="234">
        <v>0.77</v>
      </c>
      <c r="AS6" s="899"/>
      <c r="AT6" s="152"/>
      <c r="AU6" s="901"/>
      <c r="AV6" s="1351" t="s">
        <v>683</v>
      </c>
      <c r="AW6" s="901"/>
    </row>
    <row r="7" spans="3:49" x14ac:dyDescent="0.25">
      <c r="AE7" s="1295"/>
      <c r="AF7" s="1295"/>
      <c r="AG7" s="1295"/>
      <c r="AH7" s="1296" t="s">
        <v>278</v>
      </c>
      <c r="AI7" s="1297" t="e">
        <f>AVERAGE(AI5:AR5)</f>
        <v>#DIV/0!</v>
      </c>
      <c r="AJ7" s="152"/>
      <c r="AK7" s="152"/>
      <c r="AL7" s="152"/>
      <c r="AM7" s="152"/>
      <c r="AN7" s="152"/>
      <c r="AV7" s="1351" t="s">
        <v>684</v>
      </c>
    </row>
    <row r="8" spans="3:49" x14ac:dyDescent="0.25">
      <c r="AE8" s="184"/>
      <c r="AF8" s="184"/>
      <c r="AG8" s="184"/>
      <c r="AH8" s="1293" t="s">
        <v>277</v>
      </c>
      <c r="AI8" s="902">
        <f>AVERAGE(AI6:AR6)</f>
        <v>1.0289999999999999</v>
      </c>
      <c r="AJ8" s="152"/>
      <c r="AK8" s="152"/>
      <c r="AL8" s="152"/>
      <c r="AM8" s="152"/>
      <c r="AN8" s="152"/>
    </row>
    <row r="11" spans="3:49" x14ac:dyDescent="0.25">
      <c r="C11" s="157" t="s">
        <v>476</v>
      </c>
    </row>
    <row r="13" spans="3:49" x14ac:dyDescent="0.25">
      <c r="C13" s="908"/>
      <c r="D13" s="896">
        <v>1990</v>
      </c>
      <c r="E13" s="896">
        <v>1991</v>
      </c>
      <c r="F13" s="896">
        <v>1992</v>
      </c>
      <c r="G13" s="896">
        <v>1993</v>
      </c>
      <c r="H13" s="896">
        <v>1994</v>
      </c>
      <c r="I13" s="896">
        <v>1995</v>
      </c>
      <c r="J13" s="896">
        <v>1996</v>
      </c>
      <c r="K13" s="896">
        <v>1997</v>
      </c>
      <c r="L13" s="896">
        <v>1998</v>
      </c>
      <c r="M13" s="896">
        <v>1999</v>
      </c>
      <c r="N13" s="896">
        <v>2000</v>
      </c>
      <c r="O13" s="896">
        <v>2001</v>
      </c>
      <c r="P13" s="896">
        <v>2002</v>
      </c>
      <c r="Q13" s="896">
        <v>2003</v>
      </c>
      <c r="R13" s="896">
        <v>2004</v>
      </c>
      <c r="S13" s="896">
        <v>2005</v>
      </c>
      <c r="T13" s="896">
        <v>2006</v>
      </c>
      <c r="U13" s="896">
        <v>2007</v>
      </c>
      <c r="V13" s="896">
        <v>2008</v>
      </c>
      <c r="W13" s="896">
        <v>2009</v>
      </c>
      <c r="X13" s="896">
        <v>2010</v>
      </c>
      <c r="Y13" s="896">
        <v>2011</v>
      </c>
      <c r="Z13" s="896">
        <v>2012</v>
      </c>
      <c r="AA13" s="896">
        <v>2013</v>
      </c>
      <c r="AB13" s="896">
        <v>2014</v>
      </c>
      <c r="AC13" s="896">
        <v>2015</v>
      </c>
      <c r="AD13" s="896">
        <v>2016</v>
      </c>
      <c r="AE13" s="896">
        <v>2017</v>
      </c>
      <c r="AF13" s="896">
        <v>2018</v>
      </c>
      <c r="AG13" s="896">
        <v>2019</v>
      </c>
      <c r="AH13" s="896">
        <v>2020</v>
      </c>
      <c r="AI13" s="896">
        <v>2021</v>
      </c>
      <c r="AJ13" s="896">
        <v>2022</v>
      </c>
      <c r="AK13" s="896">
        <v>2023</v>
      </c>
      <c r="AL13" s="896">
        <v>2024</v>
      </c>
      <c r="AM13" s="896">
        <v>2025</v>
      </c>
      <c r="AN13" s="896">
        <v>2026</v>
      </c>
      <c r="AO13" s="896">
        <v>2027</v>
      </c>
      <c r="AP13" s="896">
        <v>2028</v>
      </c>
      <c r="AQ13" s="896">
        <v>2029</v>
      </c>
      <c r="AR13" s="896">
        <v>2030</v>
      </c>
      <c r="AS13" s="897" t="s">
        <v>122</v>
      </c>
      <c r="AT13" s="152"/>
    </row>
    <row r="14" spans="3:49" x14ac:dyDescent="0.25">
      <c r="C14" s="895" t="s">
        <v>481</v>
      </c>
      <c r="D14" s="898"/>
      <c r="E14" s="898"/>
      <c r="F14" s="898"/>
      <c r="G14" s="898"/>
      <c r="H14" s="898"/>
      <c r="I14" s="898"/>
      <c r="J14" s="898"/>
      <c r="K14" s="898"/>
      <c r="L14" s="898"/>
      <c r="M14" s="898"/>
      <c r="N14" s="898"/>
      <c r="O14" s="898"/>
      <c r="P14" s="898"/>
      <c r="Q14" s="898"/>
      <c r="R14" s="898"/>
      <c r="S14" s="898"/>
      <c r="T14" s="898"/>
      <c r="U14" s="898"/>
      <c r="V14" s="898"/>
      <c r="W14" s="898"/>
      <c r="X14" s="898"/>
      <c r="Y14" s="898"/>
      <c r="Z14" s="898"/>
      <c r="AA14" s="898"/>
      <c r="AB14" s="898"/>
      <c r="AC14" s="898"/>
      <c r="AD14" s="898">
        <v>4.5999999999999996</v>
      </c>
      <c r="AE14" s="898">
        <v>3.8</v>
      </c>
      <c r="AF14" s="898">
        <v>3.5</v>
      </c>
      <c r="AG14" s="898">
        <v>3.1</v>
      </c>
      <c r="AH14" s="898">
        <v>3.4</v>
      </c>
      <c r="AI14" s="1294">
        <v>3.6</v>
      </c>
      <c r="AJ14" s="1294">
        <v>3.7</v>
      </c>
      <c r="AK14" s="1294">
        <v>4.2</v>
      </c>
      <c r="AL14" s="1294">
        <v>3.4</v>
      </c>
      <c r="AM14" s="1294">
        <v>4.7</v>
      </c>
      <c r="AN14" s="1294">
        <v>3.8</v>
      </c>
      <c r="AO14" s="1294">
        <v>3.9</v>
      </c>
      <c r="AP14" s="1294">
        <v>3.7</v>
      </c>
      <c r="AQ14" s="1294">
        <v>3.9</v>
      </c>
      <c r="AR14" s="1294">
        <v>3.8</v>
      </c>
      <c r="AS14" s="899">
        <v>4.5</v>
      </c>
      <c r="AT14" s="152">
        <v>4</v>
      </c>
      <c r="AU14" s="901">
        <v>4.2</v>
      </c>
      <c r="AV14" s="901">
        <v>4.5999999999999996</v>
      </c>
      <c r="AW14" s="901">
        <v>5.3</v>
      </c>
    </row>
    <row r="15" spans="3:49" x14ac:dyDescent="0.25">
      <c r="C15" s="895" t="s">
        <v>482</v>
      </c>
      <c r="D15" s="898"/>
      <c r="E15" s="898"/>
      <c r="F15" s="898"/>
      <c r="G15" s="898"/>
      <c r="H15" s="898"/>
      <c r="I15" s="898"/>
      <c r="J15" s="898"/>
      <c r="K15" s="898"/>
      <c r="L15" s="898"/>
      <c r="M15" s="898"/>
      <c r="N15" s="898"/>
      <c r="O15" s="898"/>
      <c r="P15" s="898"/>
      <c r="Q15" s="898"/>
      <c r="R15" s="898"/>
      <c r="S15" s="898"/>
      <c r="T15" s="898"/>
      <c r="U15" s="898"/>
      <c r="V15" s="898"/>
      <c r="W15" s="898"/>
      <c r="X15" s="898"/>
      <c r="Y15" s="898"/>
      <c r="Z15" s="898"/>
      <c r="AA15" s="898"/>
      <c r="AB15" s="898"/>
      <c r="AC15" s="898"/>
      <c r="AD15" s="898"/>
      <c r="AE15" s="898"/>
      <c r="AF15" s="898"/>
      <c r="AG15" s="898"/>
      <c r="AH15" s="898"/>
      <c r="AI15" s="234">
        <v>3</v>
      </c>
      <c r="AJ15" s="234">
        <v>3</v>
      </c>
      <c r="AK15" s="234">
        <v>4</v>
      </c>
      <c r="AL15" s="234">
        <v>3</v>
      </c>
      <c r="AM15" s="234">
        <v>6</v>
      </c>
      <c r="AN15" s="234">
        <v>6</v>
      </c>
      <c r="AO15" s="234">
        <v>5</v>
      </c>
      <c r="AP15" s="234">
        <v>4</v>
      </c>
      <c r="AQ15" s="234">
        <v>4</v>
      </c>
      <c r="AR15" s="234">
        <v>4</v>
      </c>
      <c r="AS15" s="899">
        <v>4</v>
      </c>
      <c r="AT15" s="152">
        <v>3</v>
      </c>
      <c r="AU15" s="901">
        <v>3</v>
      </c>
      <c r="AV15" s="901">
        <v>3</v>
      </c>
      <c r="AW15" s="901">
        <v>3</v>
      </c>
    </row>
    <row r="16" spans="3:49" x14ac:dyDescent="0.25">
      <c r="AE16" s="1295"/>
      <c r="AF16" s="1295"/>
      <c r="AG16" s="1295"/>
      <c r="AH16" s="1296" t="s">
        <v>278</v>
      </c>
      <c r="AI16" s="1297">
        <f>AVERAGE(AI14:AR14)</f>
        <v>3.8699999999999997</v>
      </c>
      <c r="AJ16" s="152"/>
      <c r="AK16" s="152"/>
      <c r="AL16" s="152"/>
      <c r="AM16" s="152"/>
      <c r="AN16" s="152"/>
    </row>
    <row r="17" spans="3:49" x14ac:dyDescent="0.25">
      <c r="AE17" s="184"/>
      <c r="AF17" s="184"/>
      <c r="AG17" s="184"/>
      <c r="AH17" s="1293" t="s">
        <v>277</v>
      </c>
      <c r="AI17" s="902">
        <f>AVERAGE(AI15:AR15)</f>
        <v>4.2</v>
      </c>
      <c r="AJ17" s="152"/>
      <c r="AK17" s="152"/>
      <c r="AL17" s="152"/>
      <c r="AM17" s="152"/>
      <c r="AN17" s="152"/>
    </row>
    <row r="18" spans="3:49" x14ac:dyDescent="0.25">
      <c r="AD18" s="152"/>
      <c r="AE18" s="909"/>
      <c r="AI18" s="905"/>
      <c r="AJ18" s="152"/>
      <c r="AK18" s="152"/>
      <c r="AL18" s="152"/>
      <c r="AM18" s="152"/>
      <c r="AN18" s="152"/>
    </row>
    <row r="19" spans="3:49" x14ac:dyDescent="0.25">
      <c r="AD19" s="152"/>
      <c r="AE19" s="909"/>
      <c r="AI19" s="905"/>
      <c r="AJ19" s="152"/>
      <c r="AK19" s="152"/>
      <c r="AL19" s="152"/>
      <c r="AM19" s="152"/>
      <c r="AN19" s="152"/>
    </row>
    <row r="20" spans="3:49" x14ac:dyDescent="0.25">
      <c r="AD20" s="152"/>
      <c r="AE20" s="909"/>
      <c r="AI20" s="905"/>
      <c r="AJ20" s="152"/>
      <c r="AK20" s="152"/>
      <c r="AL20" s="152"/>
      <c r="AM20" s="152"/>
      <c r="AN20" s="152"/>
    </row>
    <row r="21" spans="3:49" x14ac:dyDescent="0.25">
      <c r="AD21" s="152"/>
      <c r="AE21" s="909"/>
      <c r="AI21" s="905"/>
      <c r="AJ21" s="152"/>
      <c r="AK21" s="152"/>
      <c r="AL21" s="152"/>
      <c r="AM21" s="152"/>
      <c r="AN21" s="152"/>
    </row>
    <row r="22" spans="3:49" x14ac:dyDescent="0.25">
      <c r="C22" s="924"/>
      <c r="D22" s="925">
        <v>1990</v>
      </c>
      <c r="E22" s="925">
        <v>1991</v>
      </c>
      <c r="F22" s="925">
        <v>1992</v>
      </c>
      <c r="G22" s="925">
        <v>1993</v>
      </c>
      <c r="H22" s="925">
        <v>1994</v>
      </c>
      <c r="I22" s="925">
        <v>1995</v>
      </c>
      <c r="J22" s="925">
        <v>1996</v>
      </c>
      <c r="K22" s="925">
        <v>1997</v>
      </c>
      <c r="L22" s="925">
        <v>1998</v>
      </c>
      <c r="M22" s="925">
        <v>1999</v>
      </c>
      <c r="N22" s="925">
        <v>2000</v>
      </c>
      <c r="O22" s="925">
        <v>2001</v>
      </c>
      <c r="P22" s="925">
        <v>2002</v>
      </c>
      <c r="Q22" s="925">
        <v>2003</v>
      </c>
      <c r="R22" s="925">
        <v>2004</v>
      </c>
      <c r="S22" s="925">
        <v>2005</v>
      </c>
      <c r="T22" s="925">
        <v>2006</v>
      </c>
      <c r="U22" s="925">
        <v>2007</v>
      </c>
      <c r="V22" s="925">
        <v>2008</v>
      </c>
      <c r="W22" s="925">
        <v>2009</v>
      </c>
      <c r="X22" s="925">
        <v>2010</v>
      </c>
      <c r="Y22" s="925">
        <v>2011</v>
      </c>
      <c r="Z22" s="925">
        <v>2012</v>
      </c>
      <c r="AA22" s="925">
        <v>2013</v>
      </c>
      <c r="AB22" s="925">
        <v>2014</v>
      </c>
      <c r="AC22" s="925">
        <v>2015</v>
      </c>
      <c r="AD22" s="925">
        <v>2016</v>
      </c>
      <c r="AE22" s="925">
        <v>2017</v>
      </c>
      <c r="AF22" s="925">
        <v>2018</v>
      </c>
      <c r="AG22" s="925">
        <v>2019</v>
      </c>
      <c r="AH22" s="925">
        <v>2020</v>
      </c>
      <c r="AI22" s="896">
        <v>2021</v>
      </c>
      <c r="AJ22" s="896">
        <v>2022</v>
      </c>
      <c r="AK22" s="896">
        <v>2023</v>
      </c>
      <c r="AL22" s="896">
        <v>2024</v>
      </c>
      <c r="AM22" s="896">
        <v>2025</v>
      </c>
      <c r="AN22" s="896">
        <v>2026</v>
      </c>
      <c r="AO22" s="896">
        <v>2027</v>
      </c>
      <c r="AP22" s="896">
        <v>2028</v>
      </c>
      <c r="AQ22" s="896">
        <v>2029</v>
      </c>
      <c r="AR22" s="896">
        <v>2030</v>
      </c>
      <c r="AS22" s="897" t="s">
        <v>122</v>
      </c>
      <c r="AT22" s="152"/>
    </row>
    <row r="23" spans="3:49" s="152" customFormat="1" x14ac:dyDescent="0.25">
      <c r="C23" s="907" t="s">
        <v>127</v>
      </c>
      <c r="D23" s="898">
        <v>25.796574325754555</v>
      </c>
      <c r="E23" s="898">
        <v>27.426230450673845</v>
      </c>
      <c r="F23" s="898">
        <v>27.098857893374131</v>
      </c>
      <c r="G23" s="898">
        <v>17.978030911613313</v>
      </c>
      <c r="H23" s="898">
        <v>15.713476545245641</v>
      </c>
      <c r="I23" s="898">
        <v>17.902015357600757</v>
      </c>
      <c r="J23" s="898">
        <v>20.445851589271587</v>
      </c>
      <c r="K23" s="898">
        <v>25.965652196798011</v>
      </c>
      <c r="L23" s="898">
        <v>34.226387561888544</v>
      </c>
      <c r="M23" s="898">
        <v>36.173389520998711</v>
      </c>
      <c r="N23" s="898">
        <v>43.383997738322677</v>
      </c>
      <c r="O23" s="898">
        <v>40.821893001603009</v>
      </c>
      <c r="P23" s="898">
        <v>40.160257292696294</v>
      </c>
      <c r="Q23" s="898">
        <v>40.168825040255868</v>
      </c>
      <c r="R23" s="898">
        <v>32.377518517011644</v>
      </c>
      <c r="S23" s="898">
        <v>34.461789223469736</v>
      </c>
      <c r="T23" s="898">
        <v>29.89007389788339</v>
      </c>
      <c r="U23" s="898">
        <v>32.869252958356469</v>
      </c>
      <c r="V23" s="898">
        <v>27.393724504265531</v>
      </c>
      <c r="W23" s="898">
        <v>14.937108924707692</v>
      </c>
      <c r="X23" s="898">
        <v>19.802272114057871</v>
      </c>
      <c r="Y23" s="898">
        <v>14.218297326696581</v>
      </c>
      <c r="Z23" s="898">
        <v>14.154796364649654</v>
      </c>
      <c r="AA23" s="898">
        <v>10.890218042777899</v>
      </c>
      <c r="AB23" s="898">
        <v>5.41</v>
      </c>
      <c r="AC23" s="898">
        <v>4.25</v>
      </c>
      <c r="AD23" s="898">
        <v>4.255096</v>
      </c>
      <c r="AE23" s="898">
        <v>4.0630889999999997</v>
      </c>
      <c r="AF23" s="898">
        <v>4.441408</v>
      </c>
      <c r="AG23" s="898">
        <v>3.6506069999999999</v>
      </c>
      <c r="AH23" s="898">
        <v>3.827369</v>
      </c>
      <c r="AI23" s="898">
        <v>6.879861</v>
      </c>
      <c r="AJ23" s="898">
        <v>7.2997910000000008</v>
      </c>
      <c r="AK23" s="898">
        <v>7.6543890000000001</v>
      </c>
      <c r="AL23" s="898">
        <v>6.3818289999999998</v>
      </c>
      <c r="AM23" s="898">
        <v>6.8949150000000001</v>
      </c>
      <c r="AN23" s="898">
        <v>5.9168000000000003</v>
      </c>
      <c r="AO23" s="898">
        <v>5.7011120000000002</v>
      </c>
      <c r="AP23" s="898">
        <v>5.8453609999999987</v>
      </c>
      <c r="AQ23" s="898">
        <v>6.164892</v>
      </c>
      <c r="AR23" s="898">
        <v>6.3616410000000005</v>
      </c>
      <c r="AS23" s="899">
        <v>7.3143599999999998</v>
      </c>
      <c r="AT23" s="152">
        <v>6.3510260000000001</v>
      </c>
      <c r="AU23" s="901">
        <f>SUM(AE23:AR23)</f>
        <v>81.083064000000007</v>
      </c>
      <c r="AV23" s="901">
        <f>AVERAGE(AE23:AR23)</f>
        <v>5.7916474285714292</v>
      </c>
      <c r="AW23" s="901">
        <f>AVERAGE(AI23:AR23)</f>
        <v>6.5100591000000012</v>
      </c>
    </row>
    <row r="24" spans="3:49" s="152" customFormat="1" x14ac:dyDescent="0.25">
      <c r="C24" s="908" t="s">
        <v>128</v>
      </c>
      <c r="D24" s="898">
        <v>8.7840001129999994</v>
      </c>
      <c r="E24" s="898">
        <v>0.545219962</v>
      </c>
      <c r="F24" s="898">
        <v>0.30327495100000007</v>
      </c>
      <c r="G24" s="898">
        <v>0.148668261</v>
      </c>
      <c r="H24" s="898">
        <v>0.14099553300000001</v>
      </c>
      <c r="I24" s="898">
        <v>0.157863174</v>
      </c>
      <c r="J24" s="898">
        <v>0.45583985300000007</v>
      </c>
      <c r="K24" s="898">
        <v>2.3607731210000003</v>
      </c>
      <c r="L24" s="898">
        <v>3.4696410210000002</v>
      </c>
      <c r="M24" s="898">
        <v>1.2284513640000001</v>
      </c>
      <c r="N24" s="898">
        <v>1.433992119</v>
      </c>
      <c r="O24" s="898">
        <v>2.1656114549999996</v>
      </c>
      <c r="P24" s="898">
        <v>3.0616786550000001</v>
      </c>
      <c r="Q24" s="898">
        <v>5.6107319449999995</v>
      </c>
      <c r="R24" s="898">
        <v>5.8755082050000009</v>
      </c>
      <c r="S24" s="898">
        <v>6.1961353020000001</v>
      </c>
      <c r="T24" s="898">
        <v>3.8199007489999999</v>
      </c>
      <c r="U24" s="898">
        <v>4.4184025270000005</v>
      </c>
      <c r="V24" s="898">
        <v>6.1023862550000008</v>
      </c>
      <c r="W24" s="898">
        <v>2.3072936880000001</v>
      </c>
      <c r="X24" s="898">
        <v>2.7676604200000003</v>
      </c>
      <c r="Y24" s="898">
        <v>2.4756183391511017</v>
      </c>
      <c r="Z24" s="898">
        <v>2.4756183391511017</v>
      </c>
      <c r="AA24" s="898">
        <v>2.4756183391511017</v>
      </c>
      <c r="AB24" s="898">
        <v>2.4756183391511017</v>
      </c>
      <c r="AC24" s="898">
        <v>2.4756183391511017</v>
      </c>
      <c r="AD24" s="898">
        <v>0.32519078959051179</v>
      </c>
      <c r="AE24" s="910">
        <v>0.80447048260418508</v>
      </c>
      <c r="AF24" s="910">
        <v>1.010416507299261</v>
      </c>
      <c r="AG24" s="910">
        <v>1.0938459593944094</v>
      </c>
      <c r="AH24" s="910">
        <v>1.167575104411009</v>
      </c>
      <c r="AI24" s="898">
        <v>5.4388850953124948</v>
      </c>
      <c r="AJ24" s="898">
        <v>5.2805452188457904</v>
      </c>
      <c r="AK24" s="898">
        <v>5.223564154043693</v>
      </c>
      <c r="AL24" s="898">
        <v>3.9628966063607409</v>
      </c>
      <c r="AM24" s="898">
        <v>4.4688795289538552</v>
      </c>
      <c r="AN24" s="898">
        <v>4.4707582262292167</v>
      </c>
      <c r="AO24" s="898">
        <v>4.4926494530859555</v>
      </c>
      <c r="AP24" s="898">
        <v>4.0987818126510911</v>
      </c>
      <c r="AQ24" s="898">
        <v>4.2194996728226233</v>
      </c>
      <c r="AR24" s="898">
        <v>3.7583028618150052</v>
      </c>
      <c r="AS24" s="899">
        <v>4.4325475773695242</v>
      </c>
      <c r="AT24" s="152">
        <v>4.5111834897160978</v>
      </c>
      <c r="AU24" s="901">
        <f>SUM(AE24:AR24)</f>
        <v>49.491070683829321</v>
      </c>
      <c r="AV24" s="901">
        <f>AVERAGE(AE24:AR24)</f>
        <v>3.5350764774163799</v>
      </c>
      <c r="AW24" s="901">
        <f>AVERAGE(AI24:AR24)</f>
        <v>4.5414762630120453</v>
      </c>
    </row>
    <row r="25" spans="3:49" hidden="1" x14ac:dyDescent="0.25">
      <c r="C25" s="250" t="s">
        <v>121</v>
      </c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52">
        <v>23.471340999999999</v>
      </c>
      <c r="Y25" s="252">
        <v>15.654388000000001</v>
      </c>
      <c r="Z25" s="252">
        <v>16.177610999999999</v>
      </c>
      <c r="AA25" s="252">
        <v>13.049913</v>
      </c>
      <c r="AB25" s="232"/>
      <c r="AC25" s="232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U25" s="261">
        <f>SUM(AU23:AU24)</f>
        <v>130.57413468382933</v>
      </c>
    </row>
    <row r="26" spans="3:49" s="152" customFormat="1" hidden="1" x14ac:dyDescent="0.25">
      <c r="C26" s="152" t="s">
        <v>147</v>
      </c>
      <c r="AE26" s="903">
        <f>AVERAGE(AE24:AR25)</f>
        <v>3.5350764774163799</v>
      </c>
      <c r="AR26" s="904">
        <f>SUM(AR23:AR24)</f>
        <v>10.119943861815006</v>
      </c>
    </row>
    <row r="27" spans="3:49" x14ac:dyDescent="0.25">
      <c r="C27" s="331" t="s">
        <v>160</v>
      </c>
      <c r="AE27" s="911">
        <f>AVERAGE(AE24:AH24)</f>
        <v>1.019077013427216</v>
      </c>
      <c r="AH27" s="152"/>
      <c r="AI27" s="905">
        <f>AVERAGE(AI24:AR24)</f>
        <v>4.5414762630120453</v>
      </c>
      <c r="AJ27" s="152" t="s">
        <v>274</v>
      </c>
      <c r="AK27" s="152"/>
      <c r="AL27" s="152"/>
      <c r="AM27" s="152"/>
      <c r="AN27" s="152"/>
    </row>
    <row r="28" spans="3:49" s="152" customFormat="1" x14ac:dyDescent="0.25">
      <c r="AE28" s="909"/>
      <c r="AI28" s="905"/>
    </row>
    <row r="29" spans="3:49" s="152" customFormat="1" x14ac:dyDescent="0.25">
      <c r="AE29" s="909"/>
      <c r="AI29" s="905"/>
    </row>
    <row r="30" spans="3:49" s="152" customFormat="1" x14ac:dyDescent="0.25">
      <c r="AE30" s="909"/>
      <c r="AI30" s="905"/>
    </row>
    <row r="31" spans="3:49" s="152" customFormat="1" x14ac:dyDescent="0.25">
      <c r="AE31" s="909"/>
      <c r="AI31" s="905"/>
    </row>
    <row r="32" spans="3:49" s="152" customFormat="1" x14ac:dyDescent="0.25">
      <c r="C32" s="900" t="s">
        <v>123</v>
      </c>
    </row>
    <row r="33" spans="2:49" x14ac:dyDescent="0.25">
      <c r="C33" s="233"/>
      <c r="D33" s="152"/>
      <c r="E33" s="152"/>
      <c r="F33" s="152"/>
      <c r="AE33" s="261">
        <f>AVERAGE(AE35:AH35)</f>
        <v>4.3574999999999999</v>
      </c>
    </row>
    <row r="34" spans="2:49" x14ac:dyDescent="0.25">
      <c r="C34" s="895"/>
      <c r="D34" s="896">
        <v>1990</v>
      </c>
      <c r="E34" s="896">
        <v>1991</v>
      </c>
      <c r="F34" s="896">
        <v>1992</v>
      </c>
      <c r="G34" s="896">
        <v>1993</v>
      </c>
      <c r="H34" s="896">
        <v>1994</v>
      </c>
      <c r="I34" s="896">
        <v>1995</v>
      </c>
      <c r="J34" s="896">
        <v>1996</v>
      </c>
      <c r="K34" s="896">
        <v>1997</v>
      </c>
      <c r="L34" s="896">
        <v>1998</v>
      </c>
      <c r="M34" s="896">
        <v>1999</v>
      </c>
      <c r="N34" s="896">
        <v>2000</v>
      </c>
      <c r="O34" s="896">
        <v>2001</v>
      </c>
      <c r="P34" s="896">
        <v>2002</v>
      </c>
      <c r="Q34" s="896">
        <v>2003</v>
      </c>
      <c r="R34" s="896">
        <v>2004</v>
      </c>
      <c r="S34" s="896">
        <v>2005</v>
      </c>
      <c r="T34" s="896">
        <v>2006</v>
      </c>
      <c r="U34" s="896">
        <v>2007</v>
      </c>
      <c r="V34" s="896">
        <v>2008</v>
      </c>
      <c r="W34" s="896">
        <v>2009</v>
      </c>
      <c r="X34" s="896">
        <v>2010</v>
      </c>
      <c r="Y34" s="896">
        <v>2011</v>
      </c>
      <c r="Z34" s="896">
        <v>2012</v>
      </c>
      <c r="AA34" s="896">
        <v>2013</v>
      </c>
      <c r="AB34" s="896">
        <v>2014</v>
      </c>
      <c r="AC34" s="896">
        <v>2015</v>
      </c>
      <c r="AD34" s="896">
        <v>2016</v>
      </c>
      <c r="AE34" s="896">
        <v>2017</v>
      </c>
      <c r="AF34" s="896">
        <v>2018</v>
      </c>
      <c r="AG34" s="896">
        <v>2019</v>
      </c>
      <c r="AH34" s="896">
        <v>2020</v>
      </c>
      <c r="AI34" s="896">
        <v>2021</v>
      </c>
      <c r="AJ34" s="896">
        <v>2022</v>
      </c>
      <c r="AK34" s="896">
        <v>2023</v>
      </c>
      <c r="AL34" s="896">
        <v>2024</v>
      </c>
      <c r="AM34" s="896">
        <v>2025</v>
      </c>
      <c r="AN34" s="896">
        <v>2026</v>
      </c>
      <c r="AO34" s="896">
        <v>2027</v>
      </c>
      <c r="AP34" s="896">
        <v>2028</v>
      </c>
      <c r="AQ34" s="896">
        <v>2029</v>
      </c>
      <c r="AR34" s="896">
        <v>2030</v>
      </c>
      <c r="AS34" s="897" t="s">
        <v>122</v>
      </c>
      <c r="AT34" s="152"/>
    </row>
    <row r="35" spans="2:49" x14ac:dyDescent="0.25">
      <c r="C35" s="907" t="s">
        <v>119</v>
      </c>
      <c r="D35" s="898">
        <v>25.796574325754555</v>
      </c>
      <c r="E35" s="898">
        <v>27.426230450673845</v>
      </c>
      <c r="F35" s="898">
        <v>27.098857893374131</v>
      </c>
      <c r="G35" s="898">
        <v>17.978030911613313</v>
      </c>
      <c r="H35" s="898">
        <v>15.713476545245641</v>
      </c>
      <c r="I35" s="898">
        <v>17.902015357600757</v>
      </c>
      <c r="J35" s="898">
        <v>20.445851589271587</v>
      </c>
      <c r="K35" s="898">
        <v>25.965652196798011</v>
      </c>
      <c r="L35" s="898">
        <v>34.226387561888544</v>
      </c>
      <c r="M35" s="898">
        <v>36.173389520998711</v>
      </c>
      <c r="N35" s="898">
        <v>43.383997738322677</v>
      </c>
      <c r="O35" s="898">
        <v>40.821893001603009</v>
      </c>
      <c r="P35" s="898">
        <v>40.160257292696294</v>
      </c>
      <c r="Q35" s="898">
        <v>40.168825040255868</v>
      </c>
      <c r="R35" s="898">
        <v>32.377518517011644</v>
      </c>
      <c r="S35" s="898">
        <v>34.461789223469736</v>
      </c>
      <c r="T35" s="898">
        <v>29.89007389788339</v>
      </c>
      <c r="U35" s="898">
        <v>32.869252958356469</v>
      </c>
      <c r="V35" s="898">
        <v>27.393724504265531</v>
      </c>
      <c r="W35" s="898">
        <v>14.937108924707692</v>
      </c>
      <c r="X35" s="898">
        <v>19.802272114057871</v>
      </c>
      <c r="Y35" s="898">
        <v>14.218297326696581</v>
      </c>
      <c r="Z35" s="898">
        <v>14.154796364649654</v>
      </c>
      <c r="AA35" s="898">
        <v>10.890218042777899</v>
      </c>
      <c r="AB35" s="898">
        <v>5.41</v>
      </c>
      <c r="AC35" s="898">
        <v>4.25</v>
      </c>
      <c r="AD35" s="898">
        <v>3.72</v>
      </c>
      <c r="AE35" s="898">
        <v>3.77</v>
      </c>
      <c r="AF35" s="898">
        <v>4.42</v>
      </c>
      <c r="AG35" s="898">
        <v>4.63</v>
      </c>
      <c r="AH35" s="898">
        <v>4.6100000000000003</v>
      </c>
      <c r="AI35" s="898">
        <v>7.32</v>
      </c>
      <c r="AJ35" s="898">
        <v>7.41</v>
      </c>
      <c r="AK35" s="898">
        <v>7.71</v>
      </c>
      <c r="AL35" s="898">
        <v>7.36</v>
      </c>
      <c r="AM35" s="898">
        <v>7.19</v>
      </c>
      <c r="AN35" s="898">
        <v>6.32</v>
      </c>
      <c r="AO35" s="898">
        <v>6.94</v>
      </c>
      <c r="AP35" s="898">
        <v>7.02</v>
      </c>
      <c r="AQ35" s="898">
        <v>7.64</v>
      </c>
      <c r="AR35" s="898">
        <v>7.98</v>
      </c>
      <c r="AS35" s="899" t="s">
        <v>120</v>
      </c>
      <c r="AT35" s="152"/>
      <c r="AU35" s="261">
        <f>SUM(AE35:AR35)</f>
        <v>90.32</v>
      </c>
      <c r="AV35" s="261">
        <f>AVERAGE(AE35:AR35)</f>
        <v>6.4514285714285711</v>
      </c>
      <c r="AW35" s="261">
        <f>AVERAGE(AI35:AR35)</f>
        <v>7.2889999999999997</v>
      </c>
    </row>
    <row r="36" spans="2:49" x14ac:dyDescent="0.25">
      <c r="C36" s="908" t="s">
        <v>129</v>
      </c>
      <c r="D36" s="898">
        <v>8.7840001129999994</v>
      </c>
      <c r="E36" s="898">
        <v>0.545219962</v>
      </c>
      <c r="F36" s="898">
        <v>0.30327495100000007</v>
      </c>
      <c r="G36" s="898">
        <v>0.148668261</v>
      </c>
      <c r="H36" s="898">
        <v>0.14099553300000001</v>
      </c>
      <c r="I36" s="898">
        <v>0.157863174</v>
      </c>
      <c r="J36" s="898">
        <v>0.45583985300000007</v>
      </c>
      <c r="K36" s="898">
        <v>2.3607731210000003</v>
      </c>
      <c r="L36" s="898">
        <v>3.4696410210000002</v>
      </c>
      <c r="M36" s="898">
        <v>1.2284513640000001</v>
      </c>
      <c r="N36" s="898">
        <v>1.433992119</v>
      </c>
      <c r="O36" s="898">
        <v>2.1656114549999996</v>
      </c>
      <c r="P36" s="898">
        <v>3.0616786550000001</v>
      </c>
      <c r="Q36" s="898">
        <v>5.6107319449999995</v>
      </c>
      <c r="R36" s="898">
        <v>5.8755082050000009</v>
      </c>
      <c r="S36" s="898">
        <v>6.1961353020000001</v>
      </c>
      <c r="T36" s="898">
        <v>3.8199007489999999</v>
      </c>
      <c r="U36" s="898">
        <v>4.4184025270000005</v>
      </c>
      <c r="V36" s="898">
        <v>6.1023862550000008</v>
      </c>
      <c r="W36" s="898">
        <v>2.3072936880000001</v>
      </c>
      <c r="X36" s="898">
        <v>2.7676604200000003</v>
      </c>
      <c r="Y36" s="898">
        <v>2.4756183391511017</v>
      </c>
      <c r="Z36" s="898">
        <v>2.4756183391511017</v>
      </c>
      <c r="AA36" s="898">
        <v>2.4756183391511017</v>
      </c>
      <c r="AB36" s="898">
        <v>2.4756183391511017</v>
      </c>
      <c r="AC36" s="898">
        <v>2.4756183391511017</v>
      </c>
      <c r="AD36" s="898">
        <v>2.4756183391511017</v>
      </c>
      <c r="AE36" s="898">
        <f t="shared" ref="AE36:AR36" si="0">$AE26</f>
        <v>3.5350764774163799</v>
      </c>
      <c r="AF36" s="898">
        <f t="shared" si="0"/>
        <v>3.5350764774163799</v>
      </c>
      <c r="AG36" s="898">
        <f t="shared" si="0"/>
        <v>3.5350764774163799</v>
      </c>
      <c r="AH36" s="898">
        <f t="shared" si="0"/>
        <v>3.5350764774163799</v>
      </c>
      <c r="AI36" s="898">
        <f t="shared" si="0"/>
        <v>3.5350764774163799</v>
      </c>
      <c r="AJ36" s="898">
        <f t="shared" si="0"/>
        <v>3.5350764774163799</v>
      </c>
      <c r="AK36" s="898">
        <f t="shared" si="0"/>
        <v>3.5350764774163799</v>
      </c>
      <c r="AL36" s="898">
        <f t="shared" si="0"/>
        <v>3.5350764774163799</v>
      </c>
      <c r="AM36" s="898">
        <f t="shared" si="0"/>
        <v>3.5350764774163799</v>
      </c>
      <c r="AN36" s="898">
        <f t="shared" si="0"/>
        <v>3.5350764774163799</v>
      </c>
      <c r="AO36" s="898">
        <f t="shared" si="0"/>
        <v>3.5350764774163799</v>
      </c>
      <c r="AP36" s="898">
        <f t="shared" si="0"/>
        <v>3.5350764774163799</v>
      </c>
      <c r="AQ36" s="898">
        <f t="shared" si="0"/>
        <v>3.5350764774163799</v>
      </c>
      <c r="AR36" s="898">
        <f t="shared" si="0"/>
        <v>3.5350764774163799</v>
      </c>
      <c r="AS36" s="900" t="s">
        <v>148</v>
      </c>
      <c r="AT36" s="152"/>
      <c r="AU36" s="261">
        <f>SUM(AE36:AR36)</f>
        <v>49.491070683829321</v>
      </c>
      <c r="AV36" s="261">
        <f>AVERAGE(AE36:AR36)</f>
        <v>3.5350764774163799</v>
      </c>
      <c r="AW36" s="261">
        <f>AVERAGE(AI36:AR36)</f>
        <v>3.5350764774163794</v>
      </c>
    </row>
    <row r="37" spans="2:49" x14ac:dyDescent="0.25">
      <c r="C37" s="907" t="s">
        <v>121</v>
      </c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898">
        <v>23.471340999999999</v>
      </c>
      <c r="Y37" s="898">
        <v>15.654388000000001</v>
      </c>
      <c r="Z37" s="898">
        <v>16.177610999999999</v>
      </c>
      <c r="AA37" s="898">
        <v>13.049913</v>
      </c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52"/>
      <c r="AT37" s="152"/>
    </row>
    <row r="38" spans="2:49" x14ac:dyDescent="0.25">
      <c r="C38" s="801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901">
        <f>AH35+AH24</f>
        <v>5.7775751044110093</v>
      </c>
      <c r="AI38" s="152">
        <f>AH38*0.95*19.86</f>
        <v>109.00550949492251</v>
      </c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</row>
    <row r="39" spans="2:49" x14ac:dyDescent="0.25">
      <c r="C39" s="801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</row>
    <row r="40" spans="2:49" s="906" customFormat="1" x14ac:dyDescent="0.25"/>
    <row r="41" spans="2:49" s="152" customFormat="1" x14ac:dyDescent="0.25"/>
    <row r="42" spans="2:49" ht="15.75" thickBot="1" x14ac:dyDescent="0.3"/>
    <row r="43" spans="2:49" x14ac:dyDescent="0.25">
      <c r="B43" s="1639" t="s">
        <v>639</v>
      </c>
      <c r="C43" s="1640"/>
      <c r="D43" s="1299"/>
      <c r="E43" s="1299"/>
      <c r="F43" s="1299"/>
      <c r="G43" s="1299"/>
      <c r="H43" s="1299"/>
      <c r="I43" s="1299"/>
      <c r="J43" s="1299"/>
      <c r="K43" s="1299"/>
      <c r="L43" s="1299"/>
      <c r="M43" s="1299"/>
      <c r="N43" s="1299"/>
      <c r="O43" s="1299"/>
      <c r="P43" s="1299"/>
      <c r="Q43" s="1299"/>
      <c r="R43" s="1299"/>
      <c r="S43" s="1299"/>
      <c r="T43" s="1299"/>
      <c r="U43" s="1299"/>
      <c r="V43" s="1299"/>
      <c r="W43" s="1299"/>
      <c r="X43" s="1299"/>
      <c r="Y43" s="1299"/>
      <c r="Z43" s="1299"/>
      <c r="AA43" s="1299"/>
      <c r="AB43" s="1299"/>
      <c r="AC43" s="1299"/>
      <c r="AD43" s="1300">
        <v>2016</v>
      </c>
      <c r="AE43" s="1301">
        <v>2017</v>
      </c>
      <c r="AF43" s="1301">
        <v>2018</v>
      </c>
      <c r="AG43" s="1301">
        <v>2019</v>
      </c>
      <c r="AH43" s="1301">
        <v>2020</v>
      </c>
      <c r="AI43" s="1301">
        <v>2021</v>
      </c>
      <c r="AJ43" s="1301">
        <v>2022</v>
      </c>
      <c r="AK43" s="1301">
        <v>2023</v>
      </c>
      <c r="AL43" s="1301">
        <v>2024</v>
      </c>
      <c r="AM43" s="1301">
        <v>2025</v>
      </c>
      <c r="AN43" s="1301">
        <v>2026</v>
      </c>
      <c r="AO43" s="1301">
        <v>2027</v>
      </c>
      <c r="AP43" s="1301">
        <v>2028</v>
      </c>
      <c r="AQ43" s="1301">
        <v>2029</v>
      </c>
      <c r="AR43" s="1302">
        <v>2030</v>
      </c>
    </row>
    <row r="44" spans="2:49" ht="45" customHeight="1" x14ac:dyDescent="0.25">
      <c r="B44" s="1638" t="s">
        <v>644</v>
      </c>
      <c r="C44" s="1314" t="s">
        <v>640</v>
      </c>
      <c r="D44" s="1315"/>
      <c r="E44" s="1315"/>
      <c r="F44" s="1315"/>
      <c r="G44" s="1315"/>
      <c r="H44" s="1315"/>
      <c r="I44" s="1315"/>
      <c r="J44" s="1315"/>
      <c r="K44" s="1315"/>
      <c r="L44" s="1315"/>
      <c r="M44" s="1315"/>
      <c r="N44" s="1315"/>
      <c r="O44" s="1315"/>
      <c r="P44" s="1315"/>
      <c r="Q44" s="1315"/>
      <c r="R44" s="1315"/>
      <c r="S44" s="1315"/>
      <c r="T44" s="1315"/>
      <c r="U44" s="1315"/>
      <c r="V44" s="1315"/>
      <c r="W44" s="1315"/>
      <c r="X44" s="1315"/>
      <c r="Y44" s="1315"/>
      <c r="Z44" s="1315"/>
      <c r="AA44" s="1315"/>
      <c r="AB44" s="1315"/>
      <c r="AC44" s="1315"/>
      <c r="AD44" s="1316"/>
      <c r="AE44" s="1317"/>
      <c r="AF44" s="1317"/>
      <c r="AG44" s="1317"/>
      <c r="AH44" s="1317"/>
      <c r="AI44" s="1298"/>
      <c r="AJ44" s="1298"/>
      <c r="AK44" s="1298"/>
      <c r="AL44" s="1298"/>
      <c r="AM44" s="1298"/>
      <c r="AN44" s="1298"/>
      <c r="AO44" s="1298"/>
      <c r="AP44" s="1298"/>
      <c r="AQ44" s="1298"/>
      <c r="AR44" s="1320"/>
    </row>
    <row r="45" spans="2:49" x14ac:dyDescent="0.25">
      <c r="B45" s="1638"/>
      <c r="C45" s="1318" t="s">
        <v>483</v>
      </c>
      <c r="D45" s="1315"/>
      <c r="E45" s="1315"/>
      <c r="F45" s="1315"/>
      <c r="G45" s="1315"/>
      <c r="H45" s="1315"/>
      <c r="I45" s="1315"/>
      <c r="J45" s="1315"/>
      <c r="K45" s="1315"/>
      <c r="L45" s="1315"/>
      <c r="M45" s="1315"/>
      <c r="N45" s="1315"/>
      <c r="O45" s="1315"/>
      <c r="P45" s="1315"/>
      <c r="Q45" s="1315"/>
      <c r="R45" s="1315"/>
      <c r="S45" s="1315"/>
      <c r="T45" s="1315"/>
      <c r="U45" s="1315"/>
      <c r="V45" s="1315"/>
      <c r="W45" s="1315"/>
      <c r="X45" s="1315"/>
      <c r="Y45" s="1315"/>
      <c r="Z45" s="1315"/>
      <c r="AA45" s="1315"/>
      <c r="AB45" s="1315"/>
      <c r="AC45" s="1315"/>
      <c r="AD45" s="1316"/>
      <c r="AE45" s="1317"/>
      <c r="AF45" s="1317"/>
      <c r="AG45" s="1317"/>
      <c r="AH45" s="1317"/>
      <c r="AI45" s="1298"/>
      <c r="AJ45" s="1298"/>
      <c r="AK45" s="1298"/>
      <c r="AL45" s="1298"/>
      <c r="AM45" s="1298"/>
      <c r="AN45" s="1298"/>
      <c r="AO45" s="1298"/>
      <c r="AP45" s="1298"/>
      <c r="AQ45" s="1298"/>
      <c r="AR45" s="1320"/>
    </row>
    <row r="46" spans="2:49" x14ac:dyDescent="0.25">
      <c r="B46" s="1638"/>
      <c r="C46" s="1319" t="s">
        <v>641</v>
      </c>
      <c r="D46" s="1315"/>
      <c r="E46" s="1315"/>
      <c r="F46" s="1315"/>
      <c r="G46" s="1315"/>
      <c r="H46" s="1315"/>
      <c r="I46" s="1315"/>
      <c r="J46" s="1315"/>
      <c r="K46" s="1315"/>
      <c r="L46" s="1315"/>
      <c r="M46" s="1315"/>
      <c r="N46" s="1315"/>
      <c r="O46" s="1315"/>
      <c r="P46" s="1315"/>
      <c r="Q46" s="1315"/>
      <c r="R46" s="1315"/>
      <c r="S46" s="1315"/>
      <c r="T46" s="1315"/>
      <c r="U46" s="1315"/>
      <c r="V46" s="1315"/>
      <c r="W46" s="1315"/>
      <c r="X46" s="1315"/>
      <c r="Y46" s="1315"/>
      <c r="Z46" s="1315"/>
      <c r="AA46" s="1315"/>
      <c r="AB46" s="1315"/>
      <c r="AC46" s="1315"/>
      <c r="AD46" s="1316"/>
      <c r="AE46" s="1317"/>
      <c r="AF46" s="1317"/>
      <c r="AG46" s="1317"/>
      <c r="AH46" s="1317"/>
      <c r="AI46" s="1298"/>
      <c r="AJ46" s="1298"/>
      <c r="AK46" s="1298"/>
      <c r="AL46" s="1298"/>
      <c r="AM46" s="1298"/>
      <c r="AN46" s="1298"/>
      <c r="AO46" s="1298"/>
      <c r="AP46" s="1298"/>
      <c r="AQ46" s="1298"/>
      <c r="AR46" s="1320"/>
    </row>
    <row r="47" spans="2:49" x14ac:dyDescent="0.25">
      <c r="B47" s="1642" t="s">
        <v>643</v>
      </c>
      <c r="C47" s="1643"/>
      <c r="D47" s="1643"/>
      <c r="E47" s="1643"/>
      <c r="F47" s="1643"/>
      <c r="G47" s="1643"/>
      <c r="H47" s="1643"/>
      <c r="I47" s="1643"/>
      <c r="J47" s="1643"/>
      <c r="K47" s="1643"/>
      <c r="L47" s="1643"/>
      <c r="M47" s="1643"/>
      <c r="N47" s="1643"/>
      <c r="O47" s="1643"/>
      <c r="P47" s="1643"/>
      <c r="Q47" s="1643"/>
      <c r="R47" s="1643"/>
      <c r="S47" s="1643"/>
      <c r="T47" s="1643"/>
      <c r="U47" s="1643"/>
      <c r="V47" s="1643"/>
      <c r="W47" s="1643"/>
      <c r="X47" s="1643"/>
      <c r="Y47" s="1643"/>
      <c r="Z47" s="1643"/>
      <c r="AA47" s="1643"/>
      <c r="AB47" s="1643"/>
      <c r="AC47" s="1643"/>
      <c r="AD47" s="1643"/>
      <c r="AE47" s="1643"/>
      <c r="AF47" s="1643"/>
      <c r="AG47" s="1643"/>
      <c r="AH47" s="1643"/>
      <c r="AI47" s="1643"/>
      <c r="AJ47" s="1643"/>
      <c r="AK47" s="1643"/>
      <c r="AL47" s="1643"/>
      <c r="AM47" s="1643"/>
      <c r="AN47" s="1643"/>
      <c r="AO47" s="1643"/>
      <c r="AP47" s="1643"/>
      <c r="AQ47" s="1643"/>
      <c r="AR47" s="1644"/>
    </row>
    <row r="48" spans="2:49" x14ac:dyDescent="0.25">
      <c r="B48" s="1641" t="s">
        <v>645</v>
      </c>
      <c r="C48" s="1303" t="s">
        <v>640</v>
      </c>
      <c r="D48" s="1304"/>
      <c r="E48" s="1304"/>
      <c r="F48" s="1304"/>
      <c r="G48" s="1304"/>
      <c r="H48" s="1304"/>
      <c r="I48" s="1304"/>
      <c r="J48" s="1304"/>
      <c r="K48" s="1304"/>
      <c r="L48" s="1304"/>
      <c r="M48" s="1304"/>
      <c r="N48" s="1304"/>
      <c r="O48" s="1304"/>
      <c r="P48" s="1304"/>
      <c r="Q48" s="1304"/>
      <c r="R48" s="1304"/>
      <c r="S48" s="1304"/>
      <c r="T48" s="1304"/>
      <c r="U48" s="1304"/>
      <c r="V48" s="1304"/>
      <c r="W48" s="1304"/>
      <c r="X48" s="1304"/>
      <c r="Y48" s="1304"/>
      <c r="Z48" s="1304"/>
      <c r="AA48" s="1304"/>
      <c r="AB48" s="1304"/>
      <c r="AC48" s="1304"/>
      <c r="AD48" s="1304"/>
      <c r="AE48" s="1305">
        <f t="shared" ref="AE48:AR48" si="1">AE14</f>
        <v>3.8</v>
      </c>
      <c r="AF48" s="1305">
        <f t="shared" si="1"/>
        <v>3.5</v>
      </c>
      <c r="AG48" s="1305">
        <f t="shared" si="1"/>
        <v>3.1</v>
      </c>
      <c r="AH48" s="1305">
        <f t="shared" si="1"/>
        <v>3.4</v>
      </c>
      <c r="AI48" s="1305">
        <f t="shared" si="1"/>
        <v>3.6</v>
      </c>
      <c r="AJ48" s="1305">
        <f t="shared" si="1"/>
        <v>3.7</v>
      </c>
      <c r="AK48" s="1305">
        <f t="shared" si="1"/>
        <v>4.2</v>
      </c>
      <c r="AL48" s="1305">
        <f t="shared" si="1"/>
        <v>3.4</v>
      </c>
      <c r="AM48" s="1305">
        <f t="shared" si="1"/>
        <v>4.7</v>
      </c>
      <c r="AN48" s="1305">
        <f t="shared" si="1"/>
        <v>3.8</v>
      </c>
      <c r="AO48" s="1305">
        <f t="shared" si="1"/>
        <v>3.9</v>
      </c>
      <c r="AP48" s="1305">
        <f t="shared" si="1"/>
        <v>3.7</v>
      </c>
      <c r="AQ48" s="1305">
        <f t="shared" si="1"/>
        <v>3.9</v>
      </c>
      <c r="AR48" s="1306">
        <f t="shared" si="1"/>
        <v>3.8</v>
      </c>
    </row>
    <row r="49" spans="2:63" x14ac:dyDescent="0.25">
      <c r="B49" s="1641"/>
      <c r="C49" s="1307" t="s">
        <v>483</v>
      </c>
      <c r="D49" s="1304"/>
      <c r="E49" s="1304"/>
      <c r="F49" s="1304"/>
      <c r="G49" s="1304"/>
      <c r="H49" s="1304"/>
      <c r="I49" s="1304"/>
      <c r="J49" s="1304"/>
      <c r="K49" s="1304"/>
      <c r="L49" s="1304"/>
      <c r="M49" s="1304"/>
      <c r="N49" s="1304"/>
      <c r="O49" s="1304"/>
      <c r="P49" s="1304"/>
      <c r="Q49" s="1304"/>
      <c r="R49" s="1304"/>
      <c r="S49" s="1304"/>
      <c r="T49" s="1304"/>
      <c r="U49" s="1304"/>
      <c r="V49" s="1304"/>
      <c r="W49" s="1304"/>
      <c r="X49" s="1304"/>
      <c r="Y49" s="1304"/>
      <c r="Z49" s="1304"/>
      <c r="AA49" s="1304"/>
      <c r="AB49" s="1304"/>
      <c r="AC49" s="1304"/>
      <c r="AD49" s="1304"/>
      <c r="AE49" s="1305"/>
      <c r="AF49" s="1305"/>
      <c r="AG49" s="1305"/>
      <c r="AH49" s="1305"/>
      <c r="AI49" s="1305">
        <f t="shared" ref="AI49:AR49" si="2">AI15</f>
        <v>3</v>
      </c>
      <c r="AJ49" s="1305">
        <f t="shared" si="2"/>
        <v>3</v>
      </c>
      <c r="AK49" s="1305">
        <f t="shared" si="2"/>
        <v>4</v>
      </c>
      <c r="AL49" s="1305">
        <f t="shared" si="2"/>
        <v>3</v>
      </c>
      <c r="AM49" s="1305">
        <f t="shared" si="2"/>
        <v>6</v>
      </c>
      <c r="AN49" s="1305">
        <f t="shared" si="2"/>
        <v>6</v>
      </c>
      <c r="AO49" s="1305">
        <f t="shared" si="2"/>
        <v>5</v>
      </c>
      <c r="AP49" s="1305">
        <f t="shared" si="2"/>
        <v>4</v>
      </c>
      <c r="AQ49" s="1305">
        <f t="shared" si="2"/>
        <v>4</v>
      </c>
      <c r="AR49" s="1306">
        <f t="shared" si="2"/>
        <v>4</v>
      </c>
    </row>
    <row r="50" spans="2:63" x14ac:dyDescent="0.25">
      <c r="B50" s="1641" t="s">
        <v>637</v>
      </c>
      <c r="C50" s="1303" t="s">
        <v>640</v>
      </c>
      <c r="D50" s="1304"/>
      <c r="E50" s="1304"/>
      <c r="F50" s="1304"/>
      <c r="G50" s="1304"/>
      <c r="H50" s="1304"/>
      <c r="I50" s="1304"/>
      <c r="J50" s="1304"/>
      <c r="K50" s="1304"/>
      <c r="L50" s="1304"/>
      <c r="M50" s="1304"/>
      <c r="N50" s="1304"/>
      <c r="O50" s="1304"/>
      <c r="P50" s="1304"/>
      <c r="Q50" s="1304"/>
      <c r="R50" s="1304"/>
      <c r="S50" s="1304"/>
      <c r="T50" s="1304"/>
      <c r="U50" s="1304"/>
      <c r="V50" s="1304"/>
      <c r="W50" s="1304"/>
      <c r="X50" s="1304"/>
      <c r="Y50" s="1304"/>
      <c r="Z50" s="1304"/>
      <c r="AA50" s="1304"/>
      <c r="AB50" s="1304"/>
      <c r="AC50" s="1304"/>
      <c r="AD50" s="1304"/>
      <c r="AE50" s="1305">
        <f t="shared" ref="AE50:AR50" si="3">AE23</f>
        <v>4.0630889999999997</v>
      </c>
      <c r="AF50" s="1305">
        <f t="shared" si="3"/>
        <v>4.441408</v>
      </c>
      <c r="AG50" s="1305">
        <f t="shared" si="3"/>
        <v>3.6506069999999999</v>
      </c>
      <c r="AH50" s="1305">
        <f t="shared" si="3"/>
        <v>3.827369</v>
      </c>
      <c r="AI50" s="1305">
        <f t="shared" si="3"/>
        <v>6.879861</v>
      </c>
      <c r="AJ50" s="1305">
        <f t="shared" si="3"/>
        <v>7.2997910000000008</v>
      </c>
      <c r="AK50" s="1305">
        <f t="shared" si="3"/>
        <v>7.6543890000000001</v>
      </c>
      <c r="AL50" s="1305">
        <f t="shared" si="3"/>
        <v>6.3818289999999998</v>
      </c>
      <c r="AM50" s="1305">
        <f t="shared" si="3"/>
        <v>6.8949150000000001</v>
      </c>
      <c r="AN50" s="1305">
        <f t="shared" si="3"/>
        <v>5.9168000000000003</v>
      </c>
      <c r="AO50" s="1305">
        <f t="shared" si="3"/>
        <v>5.7011120000000002</v>
      </c>
      <c r="AP50" s="1305">
        <f t="shared" si="3"/>
        <v>5.8453609999999987</v>
      </c>
      <c r="AQ50" s="1305">
        <f t="shared" si="3"/>
        <v>6.164892</v>
      </c>
      <c r="AR50" s="1306">
        <f t="shared" si="3"/>
        <v>6.3616410000000005</v>
      </c>
    </row>
    <row r="51" spans="2:63" x14ac:dyDescent="0.25">
      <c r="B51" s="1641"/>
      <c r="C51" s="1307" t="s">
        <v>483</v>
      </c>
      <c r="D51" s="1304"/>
      <c r="E51" s="1304"/>
      <c r="F51" s="1304"/>
      <c r="G51" s="1304"/>
      <c r="H51" s="1304"/>
      <c r="I51" s="1304"/>
      <c r="J51" s="1304"/>
      <c r="K51" s="1304"/>
      <c r="L51" s="1304"/>
      <c r="M51" s="1304"/>
      <c r="N51" s="1304"/>
      <c r="O51" s="1304"/>
      <c r="P51" s="1304"/>
      <c r="Q51" s="1304"/>
      <c r="R51" s="1304"/>
      <c r="S51" s="1304"/>
      <c r="T51" s="1304"/>
      <c r="U51" s="1304"/>
      <c r="V51" s="1304"/>
      <c r="W51" s="1304"/>
      <c r="X51" s="1304"/>
      <c r="Y51" s="1304"/>
      <c r="Z51" s="1304"/>
      <c r="AA51" s="1304"/>
      <c r="AB51" s="1304"/>
      <c r="AC51" s="1304"/>
      <c r="AD51" s="1304"/>
      <c r="AE51" s="1305">
        <f t="shared" ref="AE51:AR51" si="4">AE24</f>
        <v>0.80447048260418508</v>
      </c>
      <c r="AF51" s="1305">
        <f t="shared" si="4"/>
        <v>1.010416507299261</v>
      </c>
      <c r="AG51" s="1305">
        <f t="shared" si="4"/>
        <v>1.0938459593944094</v>
      </c>
      <c r="AH51" s="1305">
        <f t="shared" si="4"/>
        <v>1.167575104411009</v>
      </c>
      <c r="AI51" s="1305">
        <f t="shared" si="4"/>
        <v>5.4388850953124948</v>
      </c>
      <c r="AJ51" s="1305">
        <f t="shared" si="4"/>
        <v>5.2805452188457904</v>
      </c>
      <c r="AK51" s="1305">
        <f t="shared" si="4"/>
        <v>5.223564154043693</v>
      </c>
      <c r="AL51" s="1305">
        <f t="shared" si="4"/>
        <v>3.9628966063607409</v>
      </c>
      <c r="AM51" s="1305">
        <f t="shared" si="4"/>
        <v>4.4688795289538552</v>
      </c>
      <c r="AN51" s="1305">
        <f t="shared" si="4"/>
        <v>4.4707582262292167</v>
      </c>
      <c r="AO51" s="1305">
        <f t="shared" si="4"/>
        <v>4.4926494530859555</v>
      </c>
      <c r="AP51" s="1305">
        <f t="shared" si="4"/>
        <v>4.0987818126510911</v>
      </c>
      <c r="AQ51" s="1305">
        <f t="shared" si="4"/>
        <v>4.2194996728226233</v>
      </c>
      <c r="AR51" s="1306">
        <f t="shared" si="4"/>
        <v>3.7583028618150052</v>
      </c>
    </row>
    <row r="52" spans="2:63" ht="23.25" x14ac:dyDescent="0.25">
      <c r="B52" s="1308" t="s">
        <v>638</v>
      </c>
      <c r="C52" s="1303" t="s">
        <v>640</v>
      </c>
      <c r="D52" s="1304"/>
      <c r="E52" s="1304"/>
      <c r="F52" s="1304"/>
      <c r="G52" s="1304"/>
      <c r="H52" s="1304"/>
      <c r="I52" s="1304"/>
      <c r="J52" s="1304"/>
      <c r="K52" s="1304"/>
      <c r="L52" s="1304"/>
      <c r="M52" s="1304"/>
      <c r="N52" s="1304"/>
      <c r="O52" s="1304"/>
      <c r="P52" s="1304"/>
      <c r="Q52" s="1304"/>
      <c r="R52" s="1304"/>
      <c r="S52" s="1304"/>
      <c r="T52" s="1304"/>
      <c r="U52" s="1304"/>
      <c r="V52" s="1304"/>
      <c r="W52" s="1304"/>
      <c r="X52" s="1304"/>
      <c r="Y52" s="1304"/>
      <c r="Z52" s="1304"/>
      <c r="AA52" s="1304"/>
      <c r="AB52" s="1304"/>
      <c r="AC52" s="1304"/>
      <c r="AD52" s="1304"/>
      <c r="AE52" s="1305">
        <f t="shared" ref="AE52:AR52" si="5">AE35</f>
        <v>3.77</v>
      </c>
      <c r="AF52" s="1305">
        <f t="shared" si="5"/>
        <v>4.42</v>
      </c>
      <c r="AG52" s="1305">
        <f t="shared" si="5"/>
        <v>4.63</v>
      </c>
      <c r="AH52" s="1305">
        <f t="shared" si="5"/>
        <v>4.6100000000000003</v>
      </c>
      <c r="AI52" s="1305">
        <f t="shared" si="5"/>
        <v>7.32</v>
      </c>
      <c r="AJ52" s="1305">
        <f t="shared" si="5"/>
        <v>7.41</v>
      </c>
      <c r="AK52" s="1305">
        <f t="shared" si="5"/>
        <v>7.71</v>
      </c>
      <c r="AL52" s="1305">
        <f t="shared" si="5"/>
        <v>7.36</v>
      </c>
      <c r="AM52" s="1305">
        <f t="shared" si="5"/>
        <v>7.19</v>
      </c>
      <c r="AN52" s="1305">
        <f t="shared" si="5"/>
        <v>6.32</v>
      </c>
      <c r="AO52" s="1305">
        <f t="shared" si="5"/>
        <v>6.94</v>
      </c>
      <c r="AP52" s="1305">
        <f t="shared" si="5"/>
        <v>7.02</v>
      </c>
      <c r="AQ52" s="1305">
        <f t="shared" si="5"/>
        <v>7.64</v>
      </c>
      <c r="AR52" s="1306">
        <f t="shared" si="5"/>
        <v>7.98</v>
      </c>
    </row>
    <row r="53" spans="2:63" ht="15.75" thickBot="1" x14ac:dyDescent="0.3">
      <c r="B53" s="1309" t="s">
        <v>642</v>
      </c>
      <c r="C53" s="1310" t="s">
        <v>483</v>
      </c>
      <c r="D53" s="1311"/>
      <c r="E53" s="1311"/>
      <c r="F53" s="1311"/>
      <c r="G53" s="1311"/>
      <c r="H53" s="1311"/>
      <c r="I53" s="1311"/>
      <c r="J53" s="1311"/>
      <c r="K53" s="1311"/>
      <c r="L53" s="1311"/>
      <c r="M53" s="1311"/>
      <c r="N53" s="1311"/>
      <c r="O53" s="1311"/>
      <c r="P53" s="1311"/>
      <c r="Q53" s="1311"/>
      <c r="R53" s="1311"/>
      <c r="S53" s="1311"/>
      <c r="T53" s="1311"/>
      <c r="U53" s="1311"/>
      <c r="V53" s="1311"/>
      <c r="W53" s="1311"/>
      <c r="X53" s="1311"/>
      <c r="Y53" s="1311"/>
      <c r="Z53" s="1311"/>
      <c r="AA53" s="1311"/>
      <c r="AB53" s="1311"/>
      <c r="AC53" s="1311"/>
      <c r="AD53" s="1311"/>
      <c r="AE53" s="1312">
        <f t="shared" ref="AE53:AR53" si="6">AE36</f>
        <v>3.5350764774163799</v>
      </c>
      <c r="AF53" s="1312">
        <f t="shared" si="6"/>
        <v>3.5350764774163799</v>
      </c>
      <c r="AG53" s="1312">
        <f t="shared" si="6"/>
        <v>3.5350764774163799</v>
      </c>
      <c r="AH53" s="1312">
        <f t="shared" si="6"/>
        <v>3.5350764774163799</v>
      </c>
      <c r="AI53" s="1312">
        <f t="shared" si="6"/>
        <v>3.5350764774163799</v>
      </c>
      <c r="AJ53" s="1312">
        <f t="shared" si="6"/>
        <v>3.5350764774163799</v>
      </c>
      <c r="AK53" s="1312">
        <f t="shared" si="6"/>
        <v>3.5350764774163799</v>
      </c>
      <c r="AL53" s="1312">
        <f t="shared" si="6"/>
        <v>3.5350764774163799</v>
      </c>
      <c r="AM53" s="1312">
        <f t="shared" si="6"/>
        <v>3.5350764774163799</v>
      </c>
      <c r="AN53" s="1312">
        <f t="shared" si="6"/>
        <v>3.5350764774163799</v>
      </c>
      <c r="AO53" s="1312">
        <f t="shared" si="6"/>
        <v>3.5350764774163799</v>
      </c>
      <c r="AP53" s="1312">
        <f t="shared" si="6"/>
        <v>3.5350764774163799</v>
      </c>
      <c r="AQ53" s="1312">
        <f t="shared" si="6"/>
        <v>3.5350764774163799</v>
      </c>
      <c r="AR53" s="1313">
        <f t="shared" si="6"/>
        <v>3.5350764774163799</v>
      </c>
    </row>
    <row r="56" spans="2:63" ht="15.75" thickBot="1" x14ac:dyDescent="0.3"/>
    <row r="57" spans="2:63" ht="15.75" thickBot="1" x14ac:dyDescent="0.3">
      <c r="C57" s="1322" t="s">
        <v>105</v>
      </c>
      <c r="D57" s="1299"/>
      <c r="E57" s="1299"/>
      <c r="F57" s="1299"/>
      <c r="G57" s="1299"/>
      <c r="H57" s="1299"/>
      <c r="I57" s="1299"/>
      <c r="J57" s="1299"/>
      <c r="K57" s="1299"/>
      <c r="L57" s="1299"/>
      <c r="M57" s="1299"/>
      <c r="N57" s="1299"/>
      <c r="O57" s="1299"/>
      <c r="P57" s="1299"/>
      <c r="Q57" s="1299"/>
      <c r="R57" s="1299"/>
      <c r="S57" s="1299"/>
      <c r="T57" s="1299"/>
      <c r="U57" s="1299"/>
      <c r="V57" s="1299"/>
      <c r="W57" s="1299"/>
      <c r="X57" s="1299"/>
      <c r="Y57" s="1299"/>
      <c r="Z57" s="1299"/>
      <c r="AA57" s="1299"/>
      <c r="AB57" s="1299"/>
      <c r="AC57" s="1299"/>
      <c r="AD57" s="1300">
        <v>2016</v>
      </c>
      <c r="AE57" s="1301">
        <v>2017</v>
      </c>
      <c r="AF57" s="1301">
        <v>2018</v>
      </c>
      <c r="AG57" s="1301">
        <v>2019</v>
      </c>
      <c r="AH57" s="1301">
        <v>2020</v>
      </c>
      <c r="AI57" s="1301">
        <v>2021</v>
      </c>
      <c r="AJ57" s="1301">
        <v>2022</v>
      </c>
      <c r="AK57" s="1301">
        <v>2023</v>
      </c>
      <c r="AL57" s="1301">
        <v>2024</v>
      </c>
      <c r="AM57" s="1301">
        <v>2025</v>
      </c>
      <c r="AN57" s="1301">
        <v>2026</v>
      </c>
      <c r="AO57" s="1301">
        <v>2027</v>
      </c>
      <c r="AP57" s="1301">
        <v>2028</v>
      </c>
      <c r="AQ57" s="1301">
        <v>2029</v>
      </c>
      <c r="AR57" s="1302">
        <v>2030</v>
      </c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</row>
    <row r="58" spans="2:63" ht="17.25" customHeight="1" x14ac:dyDescent="0.25">
      <c r="C58" s="1325" t="s">
        <v>646</v>
      </c>
      <c r="D58" s="1315"/>
      <c r="E58" s="1315"/>
      <c r="F58" s="1315"/>
      <c r="G58" s="1315"/>
      <c r="H58" s="1315"/>
      <c r="I58" s="1315"/>
      <c r="J58" s="1315"/>
      <c r="K58" s="1315"/>
      <c r="L58" s="1315"/>
      <c r="M58" s="1315"/>
      <c r="N58" s="1315"/>
      <c r="O58" s="1315"/>
      <c r="P58" s="1315"/>
      <c r="Q58" s="1315"/>
      <c r="R58" s="1315"/>
      <c r="S58" s="1315"/>
      <c r="T58" s="1315"/>
      <c r="U58" s="1315"/>
      <c r="V58" s="1315"/>
      <c r="W58" s="1315"/>
      <c r="X58" s="1315"/>
      <c r="Y58" s="1315"/>
      <c r="Z58" s="1315"/>
      <c r="AA58" s="1315"/>
      <c r="AB58" s="1315"/>
      <c r="AC58" s="1315"/>
      <c r="AD58" s="1316"/>
      <c r="AE58" s="1203"/>
      <c r="AF58" s="1203"/>
      <c r="AG58" s="1203"/>
      <c r="AH58" s="1203"/>
      <c r="AI58" s="1328"/>
      <c r="AJ58" s="1328"/>
      <c r="AK58" s="1328"/>
      <c r="AL58" s="1328"/>
      <c r="AM58" s="1328"/>
      <c r="AN58" s="1328"/>
      <c r="AO58" s="1328"/>
      <c r="AP58" s="1328"/>
      <c r="AQ58" s="1328"/>
      <c r="AR58" s="1329"/>
      <c r="AV58" s="173"/>
      <c r="AW58" s="173"/>
      <c r="AX58" s="1301">
        <v>2017</v>
      </c>
      <c r="AY58" s="1301">
        <v>2018</v>
      </c>
      <c r="AZ58" s="1301">
        <v>2019</v>
      </c>
      <c r="BA58" s="1301">
        <v>2020</v>
      </c>
      <c r="BB58" s="1301">
        <v>2021</v>
      </c>
      <c r="BC58" s="1301">
        <v>2022</v>
      </c>
      <c r="BD58" s="1301">
        <v>2023</v>
      </c>
      <c r="BE58" s="1301">
        <v>2024</v>
      </c>
      <c r="BF58" s="1301">
        <v>2025</v>
      </c>
      <c r="BG58" s="1301">
        <v>2026</v>
      </c>
      <c r="BH58" s="1301">
        <v>2027</v>
      </c>
      <c r="BI58" s="1301">
        <v>2028</v>
      </c>
      <c r="BJ58" s="1301">
        <v>2029</v>
      </c>
      <c r="BK58" s="1302">
        <v>2030</v>
      </c>
    </row>
    <row r="59" spans="2:63" ht="19.5" customHeight="1" x14ac:dyDescent="0.25">
      <c r="C59" s="1332" t="s">
        <v>649</v>
      </c>
      <c r="D59" s="1315"/>
      <c r="E59" s="1315"/>
      <c r="F59" s="1315"/>
      <c r="G59" s="1315"/>
      <c r="H59" s="1315"/>
      <c r="I59" s="1315"/>
      <c r="J59" s="1315"/>
      <c r="K59" s="1315"/>
      <c r="L59" s="1315"/>
      <c r="M59" s="1315"/>
      <c r="N59" s="1315"/>
      <c r="O59" s="1315"/>
      <c r="P59" s="1315"/>
      <c r="Q59" s="1315"/>
      <c r="R59" s="1315"/>
      <c r="S59" s="1315"/>
      <c r="T59" s="1315"/>
      <c r="U59" s="1315"/>
      <c r="V59" s="1315"/>
      <c r="W59" s="1315"/>
      <c r="X59" s="1315"/>
      <c r="Y59" s="1315"/>
      <c r="Z59" s="1315"/>
      <c r="AA59" s="1315"/>
      <c r="AB59" s="1315"/>
      <c r="AC59" s="1315"/>
      <c r="AD59" s="1316"/>
      <c r="AE59" s="1324">
        <f>$AE$27</f>
        <v>1.019077013427216</v>
      </c>
      <c r="AF59" s="1324">
        <f>$AE$27</f>
        <v>1.019077013427216</v>
      </c>
      <c r="AG59" s="1324">
        <f>$AE$27</f>
        <v>1.019077013427216</v>
      </c>
      <c r="AH59" s="1324">
        <f>$AE$27</f>
        <v>1.019077013427216</v>
      </c>
      <c r="AI59" s="1645"/>
      <c r="AJ59" s="1646"/>
      <c r="AK59" s="1646"/>
      <c r="AL59" s="1646"/>
      <c r="AM59" s="1646"/>
      <c r="AN59" s="1646"/>
      <c r="AO59" s="1646"/>
      <c r="AP59" s="1646"/>
      <c r="AQ59" s="1646"/>
      <c r="AR59" s="1647"/>
      <c r="AV59" s="173"/>
      <c r="AW59" s="1339" t="s">
        <v>660</v>
      </c>
      <c r="AX59" s="1340">
        <f>AE59</f>
        <v>1.019077013427216</v>
      </c>
      <c r="AY59" s="1340">
        <f>AF59</f>
        <v>1.019077013427216</v>
      </c>
      <c r="AZ59" s="1340">
        <f>AG59</f>
        <v>1.019077013427216</v>
      </c>
      <c r="BA59" s="1340">
        <f>AH59</f>
        <v>1.019077013427216</v>
      </c>
      <c r="BB59" s="1340"/>
      <c r="BC59" s="1340"/>
      <c r="BD59" s="1340"/>
      <c r="BE59" s="1340"/>
      <c r="BF59" s="1340"/>
      <c r="BG59" s="1340"/>
      <c r="BH59" s="1340"/>
      <c r="BI59" s="1340"/>
      <c r="BJ59" s="1340"/>
      <c r="BK59" s="1340"/>
    </row>
    <row r="60" spans="2:63" x14ac:dyDescent="0.25">
      <c r="C60" s="1635" t="s">
        <v>647</v>
      </c>
      <c r="D60" s="1636"/>
      <c r="E60" s="1636"/>
      <c r="F60" s="1636"/>
      <c r="G60" s="1636"/>
      <c r="H60" s="1636"/>
      <c r="I60" s="1636"/>
      <c r="J60" s="1636"/>
      <c r="K60" s="1636"/>
      <c r="L60" s="1636"/>
      <c r="M60" s="1636"/>
      <c r="N60" s="1636"/>
      <c r="O60" s="1636"/>
      <c r="P60" s="1636"/>
      <c r="Q60" s="1636"/>
      <c r="R60" s="1636"/>
      <c r="S60" s="1636"/>
      <c r="T60" s="1636"/>
      <c r="U60" s="1636"/>
      <c r="V60" s="1636"/>
      <c r="W60" s="1636"/>
      <c r="X60" s="1636"/>
      <c r="Y60" s="1636"/>
      <c r="Z60" s="1636"/>
      <c r="AA60" s="1636"/>
      <c r="AB60" s="1636"/>
      <c r="AC60" s="1636"/>
      <c r="AD60" s="1636"/>
      <c r="AE60" s="1636"/>
      <c r="AF60" s="1636"/>
      <c r="AG60" s="1636"/>
      <c r="AH60" s="1636"/>
      <c r="AI60" s="1636"/>
      <c r="AJ60" s="1636"/>
      <c r="AK60" s="1636"/>
      <c r="AL60" s="1636"/>
      <c r="AM60" s="1636"/>
      <c r="AN60" s="1636"/>
      <c r="AO60" s="1636"/>
      <c r="AP60" s="1636"/>
      <c r="AQ60" s="1636"/>
      <c r="AR60" s="1637"/>
      <c r="AV60" s="173"/>
      <c r="AW60" s="1339" t="s">
        <v>658</v>
      </c>
      <c r="AX60" s="1340"/>
      <c r="AY60" s="1340"/>
      <c r="AZ60" s="1340"/>
      <c r="BA60" s="1340"/>
      <c r="BB60" s="1340">
        <f>AI61</f>
        <v>4.2</v>
      </c>
      <c r="BC60" s="1340">
        <f t="shared" ref="BC60:BK60" si="7">AJ61</f>
        <v>4.2</v>
      </c>
      <c r="BD60" s="1340">
        <f t="shared" si="7"/>
        <v>4.2</v>
      </c>
      <c r="BE60" s="1340">
        <f t="shared" si="7"/>
        <v>4.2</v>
      </c>
      <c r="BF60" s="1340">
        <f t="shared" si="7"/>
        <v>4.2</v>
      </c>
      <c r="BG60" s="1340">
        <f t="shared" si="7"/>
        <v>4.2</v>
      </c>
      <c r="BH60" s="1340">
        <f t="shared" si="7"/>
        <v>4.2</v>
      </c>
      <c r="BI60" s="1340">
        <f t="shared" si="7"/>
        <v>4.2</v>
      </c>
      <c r="BJ60" s="1340">
        <f t="shared" si="7"/>
        <v>4.2</v>
      </c>
      <c r="BK60" s="1340">
        <f t="shared" si="7"/>
        <v>4.2</v>
      </c>
    </row>
    <row r="61" spans="2:63" x14ac:dyDescent="0.25">
      <c r="C61" s="1333" t="s">
        <v>650</v>
      </c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315"/>
      <c r="R61" s="1315"/>
      <c r="S61" s="1315"/>
      <c r="T61" s="1315"/>
      <c r="U61" s="1315"/>
      <c r="V61" s="1315"/>
      <c r="W61" s="1315"/>
      <c r="X61" s="1315"/>
      <c r="Y61" s="1315"/>
      <c r="Z61" s="1315"/>
      <c r="AA61" s="1315"/>
      <c r="AB61" s="1315"/>
      <c r="AC61" s="1315"/>
      <c r="AD61" s="1316"/>
      <c r="AE61" s="1632"/>
      <c r="AF61" s="1633"/>
      <c r="AG61" s="1633"/>
      <c r="AH61" s="1634"/>
      <c r="AI61" s="1323">
        <f>AVERAGE($AI$64:$AR$64)</f>
        <v>4.2</v>
      </c>
      <c r="AJ61" s="1323">
        <f t="shared" ref="AJ61:AR61" si="8">AVERAGE($AI$64:$AR$64)</f>
        <v>4.2</v>
      </c>
      <c r="AK61" s="1323">
        <f t="shared" si="8"/>
        <v>4.2</v>
      </c>
      <c r="AL61" s="1323">
        <f t="shared" si="8"/>
        <v>4.2</v>
      </c>
      <c r="AM61" s="1323">
        <f t="shared" si="8"/>
        <v>4.2</v>
      </c>
      <c r="AN61" s="1323">
        <f t="shared" si="8"/>
        <v>4.2</v>
      </c>
      <c r="AO61" s="1323">
        <f t="shared" si="8"/>
        <v>4.2</v>
      </c>
      <c r="AP61" s="1323">
        <f t="shared" si="8"/>
        <v>4.2</v>
      </c>
      <c r="AQ61" s="1323">
        <f t="shared" si="8"/>
        <v>4.2</v>
      </c>
      <c r="AR61" s="1334">
        <f t="shared" si="8"/>
        <v>4.2</v>
      </c>
      <c r="AV61" s="173"/>
      <c r="AW61" s="1339" t="s">
        <v>659</v>
      </c>
      <c r="AX61" s="1340"/>
      <c r="AY61" s="1340"/>
      <c r="AZ61" s="1340"/>
      <c r="BA61" s="1340"/>
      <c r="BB61" s="1340">
        <f>AI62</f>
        <v>4.2</v>
      </c>
      <c r="BC61" s="1340">
        <f t="shared" ref="BC61:BK61" si="9">AJ62</f>
        <v>4.0743252668827497</v>
      </c>
      <c r="BD61" s="1340">
        <f t="shared" si="9"/>
        <v>3.9486505337654987</v>
      </c>
      <c r="BE61" s="1340">
        <f t="shared" si="9"/>
        <v>3.8229758006482477</v>
      </c>
      <c r="BF61" s="1340">
        <f t="shared" si="9"/>
        <v>3.6973010675309972</v>
      </c>
      <c r="BG61" s="1340">
        <f t="shared" si="9"/>
        <v>3.5716263344137467</v>
      </c>
      <c r="BH61" s="1340">
        <f t="shared" si="9"/>
        <v>3.4459516012964961</v>
      </c>
      <c r="BI61" s="1340">
        <f t="shared" si="9"/>
        <v>3.3202768681792456</v>
      </c>
      <c r="BJ61" s="1340">
        <f t="shared" si="9"/>
        <v>3.1946021350619946</v>
      </c>
      <c r="BK61" s="1340">
        <f t="shared" si="9"/>
        <v>3.0689274019447428</v>
      </c>
    </row>
    <row r="62" spans="2:63" x14ac:dyDescent="0.25">
      <c r="C62" s="1335" t="s">
        <v>651</v>
      </c>
      <c r="D62" s="1315"/>
      <c r="E62" s="1315"/>
      <c r="F62" s="1315"/>
      <c r="G62" s="1315"/>
      <c r="H62" s="1315"/>
      <c r="I62" s="1315"/>
      <c r="J62" s="1315"/>
      <c r="K62" s="1315"/>
      <c r="L62" s="1315"/>
      <c r="M62" s="1315"/>
      <c r="N62" s="1315"/>
      <c r="O62" s="1315"/>
      <c r="P62" s="1315"/>
      <c r="Q62" s="1315"/>
      <c r="R62" s="1315"/>
      <c r="S62" s="1315"/>
      <c r="T62" s="1315"/>
      <c r="U62" s="1315"/>
      <c r="V62" s="1315"/>
      <c r="W62" s="1315"/>
      <c r="X62" s="1315"/>
      <c r="Y62" s="1315"/>
      <c r="Z62" s="1315"/>
      <c r="AA62" s="1315"/>
      <c r="AB62" s="1315"/>
      <c r="AC62" s="1315"/>
      <c r="AD62" s="1316"/>
      <c r="AE62" s="1632"/>
      <c r="AF62" s="1633"/>
      <c r="AG62" s="1633"/>
      <c r="AH62" s="1634"/>
      <c r="AI62" s="1323">
        <f>AVERAGE($AI$64:$AR$64)</f>
        <v>4.2</v>
      </c>
      <c r="AJ62" s="1323">
        <f>'Post-2020Caps_July25Navius FP 2'!AF58</f>
        <v>4.0743252668827497</v>
      </c>
      <c r="AK62" s="1323">
        <f>'Post-2020Caps_July25Navius FP 2'!AG58</f>
        <v>3.9486505337654987</v>
      </c>
      <c r="AL62" s="1323">
        <f>'Post-2020Caps_July25Navius FP 2'!AH58</f>
        <v>3.8229758006482477</v>
      </c>
      <c r="AM62" s="1323">
        <f>'Post-2020Caps_July25Navius FP 2'!AI58</f>
        <v>3.6973010675309972</v>
      </c>
      <c r="AN62" s="1323">
        <f>'Post-2020Caps_July25Navius FP 2'!AJ58</f>
        <v>3.5716263344137467</v>
      </c>
      <c r="AO62" s="1323">
        <f>'Post-2020Caps_July25Navius FP 2'!AK58</f>
        <v>3.4459516012964961</v>
      </c>
      <c r="AP62" s="1323">
        <f>'Post-2020Caps_July25Navius FP 2'!AL58</f>
        <v>3.3202768681792456</v>
      </c>
      <c r="AQ62" s="1323">
        <f>'Post-2020Caps_July25Navius FP 2'!AM58</f>
        <v>3.1946021350619946</v>
      </c>
      <c r="AR62" s="1334">
        <f>'Post-2020Caps_July25Navius FP 2'!AN58</f>
        <v>3.0689274019447428</v>
      </c>
      <c r="AV62" s="173"/>
      <c r="AW62" s="1339" t="s">
        <v>657</v>
      </c>
      <c r="AX62" s="173"/>
      <c r="AY62" s="173"/>
      <c r="AZ62" s="173"/>
      <c r="BA62" s="173"/>
      <c r="BB62" s="1340">
        <f>AI64</f>
        <v>3</v>
      </c>
      <c r="BC62" s="1340">
        <f t="shared" ref="BC62:BK62" si="10">AJ64</f>
        <v>3</v>
      </c>
      <c r="BD62" s="1340">
        <f t="shared" si="10"/>
        <v>4</v>
      </c>
      <c r="BE62" s="1340">
        <f t="shared" si="10"/>
        <v>3</v>
      </c>
      <c r="BF62" s="1340">
        <f t="shared" si="10"/>
        <v>6</v>
      </c>
      <c r="BG62" s="1340">
        <f t="shared" si="10"/>
        <v>6</v>
      </c>
      <c r="BH62" s="1340">
        <f t="shared" si="10"/>
        <v>5</v>
      </c>
      <c r="BI62" s="1340">
        <f t="shared" si="10"/>
        <v>4</v>
      </c>
      <c r="BJ62" s="1340">
        <f t="shared" si="10"/>
        <v>4</v>
      </c>
      <c r="BK62" s="1340">
        <f t="shared" si="10"/>
        <v>4</v>
      </c>
    </row>
    <row r="63" spans="2:63" x14ac:dyDescent="0.25">
      <c r="C63" s="1326" t="s">
        <v>648</v>
      </c>
      <c r="D63" s="1336"/>
      <c r="E63" s="1336"/>
      <c r="F63" s="1336"/>
      <c r="G63" s="1336"/>
      <c r="H63" s="1336"/>
      <c r="I63" s="1336"/>
      <c r="J63" s="1336"/>
      <c r="K63" s="1336"/>
      <c r="L63" s="1336"/>
      <c r="M63" s="1336"/>
      <c r="N63" s="1336"/>
      <c r="O63" s="1336"/>
      <c r="P63" s="1336"/>
      <c r="Q63" s="1336"/>
      <c r="R63" s="1336"/>
      <c r="S63" s="1336"/>
      <c r="T63" s="1336"/>
      <c r="U63" s="1336"/>
      <c r="V63" s="1336"/>
      <c r="W63" s="1336"/>
      <c r="X63" s="1336"/>
      <c r="Y63" s="1336"/>
      <c r="Z63" s="1336"/>
      <c r="AA63" s="1336"/>
      <c r="AB63" s="1336"/>
      <c r="AC63" s="1336"/>
      <c r="AD63" s="1336"/>
      <c r="AE63" s="1336"/>
      <c r="AF63" s="1336"/>
      <c r="AG63" s="1336"/>
      <c r="AH63" s="1336"/>
      <c r="AI63" s="1336"/>
      <c r="AJ63" s="1336"/>
      <c r="AK63" s="1336"/>
      <c r="AL63" s="1336"/>
      <c r="AM63" s="1336"/>
      <c r="AN63" s="1336"/>
      <c r="AO63" s="1336"/>
      <c r="AP63" s="1336"/>
      <c r="AQ63" s="1336"/>
      <c r="AR63" s="1321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</row>
    <row r="64" spans="2:63" x14ac:dyDescent="0.25">
      <c r="C64" s="1331" t="s">
        <v>655</v>
      </c>
      <c r="D64" s="1304"/>
      <c r="E64" s="1304"/>
      <c r="F64" s="1304"/>
      <c r="G64" s="1304"/>
      <c r="H64" s="1304"/>
      <c r="I64" s="1304"/>
      <c r="J64" s="1304"/>
      <c r="K64" s="1304"/>
      <c r="L64" s="1304"/>
      <c r="M64" s="1304"/>
      <c r="N64" s="1304"/>
      <c r="O64" s="1304"/>
      <c r="P64" s="1304"/>
      <c r="Q64" s="1304"/>
      <c r="R64" s="1304"/>
      <c r="S64" s="1304"/>
      <c r="T64" s="1304"/>
      <c r="U64" s="1304"/>
      <c r="V64" s="1304"/>
      <c r="W64" s="1304"/>
      <c r="X64" s="1304"/>
      <c r="Y64" s="1304"/>
      <c r="Z64" s="1304"/>
      <c r="AA64" s="1304"/>
      <c r="AB64" s="1304"/>
      <c r="AC64" s="1304"/>
      <c r="AD64" s="1304"/>
      <c r="AE64" s="1305"/>
      <c r="AF64" s="1305"/>
      <c r="AG64" s="1305"/>
      <c r="AH64" s="1305"/>
      <c r="AI64" s="1327">
        <f>AI49</f>
        <v>3</v>
      </c>
      <c r="AJ64" s="1327">
        <f t="shared" ref="AJ64:AR64" si="11">AJ49</f>
        <v>3</v>
      </c>
      <c r="AK64" s="1327">
        <f t="shared" si="11"/>
        <v>4</v>
      </c>
      <c r="AL64" s="1327">
        <f t="shared" si="11"/>
        <v>3</v>
      </c>
      <c r="AM64" s="1327">
        <f t="shared" si="11"/>
        <v>6</v>
      </c>
      <c r="AN64" s="1327">
        <f t="shared" si="11"/>
        <v>6</v>
      </c>
      <c r="AO64" s="1327">
        <f t="shared" si="11"/>
        <v>5</v>
      </c>
      <c r="AP64" s="1327">
        <f t="shared" si="11"/>
        <v>4</v>
      </c>
      <c r="AQ64" s="1327">
        <f t="shared" si="11"/>
        <v>4</v>
      </c>
      <c r="AR64" s="1337">
        <f t="shared" si="11"/>
        <v>4</v>
      </c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</row>
    <row r="65" spans="3:63" ht="15.75" customHeight="1" thickBot="1" x14ac:dyDescent="0.3">
      <c r="C65" s="1338" t="s">
        <v>656</v>
      </c>
      <c r="D65" s="1311"/>
      <c r="E65" s="1311"/>
      <c r="F65" s="1311"/>
      <c r="G65" s="1311"/>
      <c r="H65" s="1311"/>
      <c r="I65" s="1311"/>
      <c r="J65" s="1311"/>
      <c r="K65" s="1311"/>
      <c r="L65" s="1311"/>
      <c r="M65" s="1311"/>
      <c r="N65" s="1311"/>
      <c r="O65" s="1311"/>
      <c r="P65" s="1311"/>
      <c r="Q65" s="1311"/>
      <c r="R65" s="1311"/>
      <c r="S65" s="1311"/>
      <c r="T65" s="1311"/>
      <c r="U65" s="1311"/>
      <c r="V65" s="1311"/>
      <c r="W65" s="1311"/>
      <c r="X65" s="1311"/>
      <c r="Y65" s="1311"/>
      <c r="Z65" s="1311"/>
      <c r="AA65" s="1311"/>
      <c r="AB65" s="1311"/>
      <c r="AC65" s="1311"/>
      <c r="AD65" s="1311"/>
      <c r="AE65" s="1312"/>
      <c r="AF65" s="1312"/>
      <c r="AG65" s="1312"/>
      <c r="AH65" s="1312"/>
      <c r="AI65" s="1312">
        <f>AI51</f>
        <v>5.4388850953124948</v>
      </c>
      <c r="AJ65" s="1312">
        <f t="shared" ref="AJ65:AR65" si="12">AJ51</f>
        <v>5.2805452188457904</v>
      </c>
      <c r="AK65" s="1312">
        <f t="shared" si="12"/>
        <v>5.223564154043693</v>
      </c>
      <c r="AL65" s="1312">
        <f t="shared" si="12"/>
        <v>3.9628966063607409</v>
      </c>
      <c r="AM65" s="1312">
        <f t="shared" si="12"/>
        <v>4.4688795289538552</v>
      </c>
      <c r="AN65" s="1312">
        <f t="shared" si="12"/>
        <v>4.4707582262292167</v>
      </c>
      <c r="AO65" s="1312">
        <f t="shared" si="12"/>
        <v>4.4926494530859555</v>
      </c>
      <c r="AP65" s="1312">
        <f t="shared" si="12"/>
        <v>4.0987818126510911</v>
      </c>
      <c r="AQ65" s="1312">
        <f t="shared" si="12"/>
        <v>4.2194996728226233</v>
      </c>
      <c r="AR65" s="1313">
        <f t="shared" si="12"/>
        <v>3.7583028618150052</v>
      </c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</row>
    <row r="66" spans="3:63" x14ac:dyDescent="0.25"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</row>
    <row r="67" spans="3:63" x14ac:dyDescent="0.25">
      <c r="C67" s="173" t="s">
        <v>652</v>
      </c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</row>
    <row r="68" spans="3:63" x14ac:dyDescent="0.25">
      <c r="C68" s="1330" t="s">
        <v>653</v>
      </c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</row>
    <row r="69" spans="3:63" s="152" customFormat="1" x14ac:dyDescent="0.25">
      <c r="C69" s="1330" t="s">
        <v>654</v>
      </c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</row>
    <row r="70" spans="3:63" s="152" customFormat="1" hidden="1" x14ac:dyDescent="0.25">
      <c r="AV70" s="948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</row>
    <row r="71" spans="3:63" s="152" customFormat="1" hidden="1" x14ac:dyDescent="0.25">
      <c r="AV71" s="948"/>
      <c r="AW71" s="948"/>
      <c r="AX71" s="948"/>
      <c r="AY71" s="948"/>
      <c r="AZ71" s="948"/>
      <c r="BA71" s="948"/>
      <c r="BB71" s="948"/>
      <c r="BC71" s="948"/>
      <c r="BD71" s="948"/>
      <c r="BE71" s="948"/>
      <c r="BF71" s="948"/>
      <c r="BG71" s="948"/>
      <c r="BH71" s="948"/>
      <c r="BI71" s="948"/>
      <c r="BJ71" s="948"/>
      <c r="BK71" s="948"/>
    </row>
    <row r="72" spans="3:63" s="152" customFormat="1" hidden="1" x14ac:dyDescent="0.25">
      <c r="AV72" s="948"/>
      <c r="AW72" s="948"/>
      <c r="AX72" s="948"/>
      <c r="AY72" s="948"/>
      <c r="AZ72" s="948"/>
      <c r="BA72" s="948"/>
      <c r="BB72" s="948"/>
      <c r="BC72" s="948"/>
      <c r="BD72" s="948"/>
      <c r="BE72" s="948"/>
      <c r="BF72" s="948"/>
      <c r="BG72" s="948"/>
      <c r="BH72" s="948"/>
      <c r="BI72" s="948"/>
      <c r="BJ72" s="948"/>
      <c r="BK72" s="948"/>
    </row>
    <row r="73" spans="3:63" s="152" customFormat="1" hidden="1" x14ac:dyDescent="0.25">
      <c r="AV73" s="948"/>
      <c r="AW73" s="948"/>
      <c r="AX73" s="948"/>
      <c r="AY73" s="948"/>
      <c r="AZ73" s="948"/>
      <c r="BA73" s="948"/>
      <c r="BB73" s="948"/>
      <c r="BC73" s="948"/>
      <c r="BD73" s="948"/>
      <c r="BE73" s="948"/>
      <c r="BF73" s="948"/>
      <c r="BG73" s="948"/>
      <c r="BH73" s="948"/>
      <c r="BI73" s="948"/>
      <c r="BJ73" s="948"/>
      <c r="BK73" s="948"/>
    </row>
    <row r="74" spans="3:63" s="152" customFormat="1" hidden="1" x14ac:dyDescent="0.25">
      <c r="AV74" s="948"/>
      <c r="AW74" s="948"/>
      <c r="AX74" s="948"/>
      <c r="AY74" s="948"/>
      <c r="AZ74" s="948"/>
      <c r="BA74" s="948"/>
      <c r="BB74" s="948"/>
      <c r="BC74" s="948"/>
      <c r="BD74" s="948"/>
      <c r="BE74" s="948"/>
      <c r="BF74" s="948"/>
      <c r="BG74" s="948"/>
      <c r="BH74" s="948"/>
      <c r="BI74" s="948"/>
      <c r="BJ74" s="948"/>
      <c r="BK74" s="948"/>
    </row>
    <row r="75" spans="3:63" s="152" customFormat="1" hidden="1" x14ac:dyDescent="0.25">
      <c r="AV75" s="948"/>
      <c r="AW75" s="948"/>
      <c r="AX75" s="948"/>
      <c r="AY75" s="948"/>
      <c r="AZ75" s="948"/>
      <c r="BA75" s="948"/>
      <c r="BB75" s="948"/>
      <c r="BC75" s="948"/>
      <c r="BD75" s="948"/>
      <c r="BE75" s="948"/>
      <c r="BF75" s="948"/>
      <c r="BG75" s="948"/>
      <c r="BH75" s="948"/>
      <c r="BI75" s="948"/>
      <c r="BJ75" s="948"/>
      <c r="BK75" s="948"/>
    </row>
    <row r="76" spans="3:63" s="152" customFormat="1" hidden="1" x14ac:dyDescent="0.25">
      <c r="AV76" s="948"/>
      <c r="AW76" s="948"/>
      <c r="AX76" s="948"/>
      <c r="AY76" s="948"/>
      <c r="AZ76" s="948"/>
      <c r="BA76" s="948"/>
      <c r="BB76" s="948"/>
      <c r="BC76" s="948"/>
      <c r="BD76" s="948"/>
      <c r="BE76" s="948"/>
      <c r="BF76" s="948"/>
      <c r="BG76" s="948"/>
      <c r="BH76" s="948"/>
      <c r="BI76" s="948"/>
      <c r="BJ76" s="948"/>
      <c r="BK76" s="948"/>
    </row>
    <row r="77" spans="3:63" s="152" customFormat="1" hidden="1" x14ac:dyDescent="0.25">
      <c r="AV77" s="948"/>
      <c r="AW77" s="948"/>
      <c r="AX77" s="948"/>
      <c r="AY77" s="948"/>
      <c r="AZ77" s="948"/>
      <c r="BA77" s="948"/>
      <c r="BB77" s="948"/>
      <c r="BC77" s="948"/>
      <c r="BD77" s="948"/>
      <c r="BE77" s="948"/>
      <c r="BF77" s="948"/>
      <c r="BG77" s="948"/>
      <c r="BH77" s="948"/>
      <c r="BI77" s="948"/>
      <c r="BJ77" s="948"/>
      <c r="BK77" s="948"/>
    </row>
    <row r="78" spans="3:63" s="152" customFormat="1" hidden="1" x14ac:dyDescent="0.25">
      <c r="AV78" s="948"/>
      <c r="AW78" s="948"/>
      <c r="AX78" s="948"/>
      <c r="AY78" s="948"/>
      <c r="AZ78" s="948"/>
      <c r="BA78" s="948"/>
      <c r="BB78" s="948"/>
      <c r="BC78" s="948"/>
      <c r="BD78" s="948"/>
      <c r="BE78" s="948"/>
      <c r="BF78" s="948"/>
      <c r="BG78" s="948"/>
      <c r="BH78" s="948"/>
      <c r="BI78" s="948"/>
      <c r="BJ78" s="948"/>
      <c r="BK78" s="948"/>
    </row>
    <row r="79" spans="3:63" s="152" customFormat="1" hidden="1" x14ac:dyDescent="0.25">
      <c r="AV79" s="948"/>
      <c r="AW79" s="948"/>
      <c r="AX79" s="948"/>
      <c r="AY79" s="948"/>
      <c r="AZ79" s="948"/>
      <c r="BA79" s="948"/>
      <c r="BB79" s="948"/>
      <c r="BC79" s="948"/>
      <c r="BD79" s="948"/>
      <c r="BE79" s="948"/>
      <c r="BF79" s="948"/>
      <c r="BG79" s="948"/>
      <c r="BH79" s="948"/>
      <c r="BI79" s="948"/>
      <c r="BJ79" s="948"/>
      <c r="BK79" s="948"/>
    </row>
    <row r="80" spans="3:63" s="152" customFormat="1" hidden="1" x14ac:dyDescent="0.25">
      <c r="AV80" s="948"/>
      <c r="AW80" s="948"/>
      <c r="AX80" s="948"/>
      <c r="AY80" s="948"/>
      <c r="AZ80" s="948"/>
      <c r="BA80" s="948"/>
      <c r="BB80" s="948"/>
      <c r="BC80" s="948"/>
      <c r="BD80" s="948"/>
      <c r="BE80" s="948"/>
      <c r="BF80" s="948"/>
      <c r="BG80" s="948"/>
      <c r="BH80" s="948"/>
      <c r="BI80" s="948"/>
      <c r="BJ80" s="948"/>
      <c r="BK80" s="948"/>
    </row>
    <row r="81" spans="3:63" hidden="1" x14ac:dyDescent="0.25">
      <c r="C81" t="s">
        <v>130</v>
      </c>
      <c r="AV81" s="948"/>
      <c r="AW81" s="948"/>
      <c r="AX81" s="948"/>
      <c r="AY81" s="948"/>
      <c r="AZ81" s="948"/>
      <c r="BA81" s="948"/>
      <c r="BB81" s="948"/>
      <c r="BC81" s="948"/>
      <c r="BD81" s="948"/>
      <c r="BE81" s="948"/>
      <c r="BF81" s="948"/>
      <c r="BG81" s="948"/>
      <c r="BH81" s="948"/>
      <c r="BI81" s="948"/>
      <c r="BJ81" s="948"/>
      <c r="BK81" s="948"/>
    </row>
    <row r="82" spans="3:63" hidden="1" x14ac:dyDescent="0.25">
      <c r="AE82" s="237">
        <v>2017</v>
      </c>
      <c r="AF82" s="237">
        <v>2018</v>
      </c>
      <c r="AG82" s="237">
        <v>2019</v>
      </c>
      <c r="AH82" s="237">
        <v>2020</v>
      </c>
      <c r="AI82" s="237">
        <v>2021</v>
      </c>
      <c r="AJ82" s="237">
        <v>2022</v>
      </c>
      <c r="AK82" s="237">
        <v>2023</v>
      </c>
      <c r="AL82" s="237">
        <v>2024</v>
      </c>
      <c r="AM82" s="237">
        <v>2025</v>
      </c>
      <c r="AN82" s="237">
        <v>2026</v>
      </c>
      <c r="AO82" s="237">
        <v>2027</v>
      </c>
      <c r="AP82" s="237">
        <v>2028</v>
      </c>
      <c r="AQ82" s="237">
        <v>2029</v>
      </c>
      <c r="AR82" s="278">
        <v>2030</v>
      </c>
      <c r="AS82" s="280" t="s">
        <v>124</v>
      </c>
      <c r="AV82" s="173"/>
      <c r="AW82" s="948"/>
      <c r="AX82" s="948"/>
      <c r="AY82" s="948"/>
      <c r="AZ82" s="948"/>
      <c r="BA82" s="948"/>
      <c r="BB82" s="948"/>
      <c r="BC82" s="948"/>
      <c r="BD82" s="948"/>
      <c r="BE82" s="948"/>
      <c r="BF82" s="948"/>
      <c r="BG82" s="948"/>
      <c r="BH82" s="948"/>
      <c r="BI82" s="948"/>
      <c r="BJ82" s="948"/>
      <c r="BK82" s="948"/>
    </row>
    <row r="83" spans="3:63" hidden="1" x14ac:dyDescent="0.25">
      <c r="AD83" t="s">
        <v>125</v>
      </c>
      <c r="AE83" s="238">
        <v>3.77</v>
      </c>
      <c r="AF83" s="238">
        <v>4.42</v>
      </c>
      <c r="AG83" s="238">
        <v>4.63</v>
      </c>
      <c r="AH83" s="238">
        <v>4.6100000000000003</v>
      </c>
      <c r="AI83" s="238">
        <v>7.32</v>
      </c>
      <c r="AJ83" s="238">
        <v>7.41</v>
      </c>
      <c r="AK83" s="238">
        <v>7.71</v>
      </c>
      <c r="AL83" s="238">
        <v>7.36</v>
      </c>
      <c r="AM83" s="238">
        <v>7.19</v>
      </c>
      <c r="AN83" s="238">
        <v>6.32</v>
      </c>
      <c r="AO83" s="238">
        <v>6.94</v>
      </c>
      <c r="AP83" s="238">
        <v>7.02</v>
      </c>
      <c r="AQ83" s="238">
        <v>7.64</v>
      </c>
      <c r="AR83" s="281">
        <v>7.98</v>
      </c>
      <c r="AS83" s="282">
        <f>SUM(AE83:AR83)</f>
        <v>90.32</v>
      </c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</row>
    <row r="84" spans="3:63" hidden="1" x14ac:dyDescent="0.25">
      <c r="AD84" t="s">
        <v>134</v>
      </c>
      <c r="AE84" s="249">
        <f t="shared" ref="AE84:AR84" si="13">AE83+AE36</f>
        <v>7.3050764774163799</v>
      </c>
      <c r="AF84" s="249">
        <f t="shared" si="13"/>
        <v>7.9550764774163802</v>
      </c>
      <c r="AG84" s="249">
        <f t="shared" si="13"/>
        <v>8.1650764774163793</v>
      </c>
      <c r="AH84" s="249">
        <f t="shared" si="13"/>
        <v>8.1450764774163797</v>
      </c>
      <c r="AI84" s="249">
        <f t="shared" si="13"/>
        <v>10.855076477416381</v>
      </c>
      <c r="AJ84" s="249">
        <f t="shared" si="13"/>
        <v>10.94507647741638</v>
      </c>
      <c r="AK84" s="249">
        <f t="shared" si="13"/>
        <v>11.245076477416379</v>
      </c>
      <c r="AL84" s="249">
        <f t="shared" si="13"/>
        <v>10.89507647741638</v>
      </c>
      <c r="AM84" s="249">
        <f t="shared" si="13"/>
        <v>10.72507647741638</v>
      </c>
      <c r="AN84" s="249">
        <f t="shared" si="13"/>
        <v>9.8550764774163806</v>
      </c>
      <c r="AO84" s="249">
        <f t="shared" si="13"/>
        <v>10.47507647741638</v>
      </c>
      <c r="AP84" s="249">
        <f t="shared" si="13"/>
        <v>10.55507647741638</v>
      </c>
      <c r="AQ84" s="249">
        <f t="shared" si="13"/>
        <v>11.175076477416379</v>
      </c>
      <c r="AR84" s="249">
        <f t="shared" si="13"/>
        <v>11.515076477416381</v>
      </c>
      <c r="AS84" s="228">
        <f>SUM(AE84:AR84)</f>
        <v>139.81107068382931</v>
      </c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</row>
    <row r="85" spans="3:63" ht="27" hidden="1" customHeight="1" x14ac:dyDescent="0.25">
      <c r="AD85" t="s">
        <v>137</v>
      </c>
      <c r="AE85" s="260">
        <v>14.97</v>
      </c>
      <c r="AF85" s="200">
        <f>AE85-($AE$85-$AR$85)/13</f>
        <v>14.203076923076924</v>
      </c>
      <c r="AG85" s="200">
        <f t="shared" ref="AG85:AQ85" si="14">AF85-($AE$85-$AR$85)/13</f>
        <v>13.436153846153848</v>
      </c>
      <c r="AH85" s="200">
        <f t="shared" si="14"/>
        <v>12.669230769230772</v>
      </c>
      <c r="AI85" s="200">
        <f t="shared" si="14"/>
        <v>11.902307692307696</v>
      </c>
      <c r="AJ85" s="200">
        <f t="shared" si="14"/>
        <v>11.13538461538462</v>
      </c>
      <c r="AK85" s="200">
        <f t="shared" si="14"/>
        <v>10.368461538461544</v>
      </c>
      <c r="AL85" s="200">
        <f t="shared" si="14"/>
        <v>9.6015384615384676</v>
      </c>
      <c r="AM85" s="200">
        <f t="shared" si="14"/>
        <v>8.8346153846153914</v>
      </c>
      <c r="AN85" s="200">
        <f t="shared" si="14"/>
        <v>8.0676923076923153</v>
      </c>
      <c r="AO85" s="200">
        <f t="shared" si="14"/>
        <v>7.3007692307692382</v>
      </c>
      <c r="AP85" s="200">
        <f t="shared" si="14"/>
        <v>6.5338461538461612</v>
      </c>
      <c r="AQ85" s="200">
        <f t="shared" si="14"/>
        <v>5.7669230769230841</v>
      </c>
      <c r="AR85" s="248">
        <v>5</v>
      </c>
      <c r="AS85" s="228">
        <f>SUM(AE85:AR85)</f>
        <v>139.79000000000008</v>
      </c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</row>
    <row r="86" spans="3:63" hidden="1" x14ac:dyDescent="0.25">
      <c r="AD86" t="s">
        <v>126</v>
      </c>
      <c r="AE86" s="241">
        <v>9.8539999999999992</v>
      </c>
      <c r="AF86" s="235">
        <f>AE86-($AE$86-$AR$86)/13</f>
        <v>9.7113846153846151</v>
      </c>
      <c r="AG86" s="235">
        <f t="shared" ref="AG86:AQ86" si="15">AF86-($AE$86-$AR$86)/13</f>
        <v>9.5687692307692309</v>
      </c>
      <c r="AH86" s="235">
        <f t="shared" si="15"/>
        <v>9.4261538461538468</v>
      </c>
      <c r="AI86" s="235">
        <f t="shared" si="15"/>
        <v>9.2835384615384626</v>
      </c>
      <c r="AJ86" s="235">
        <f t="shared" si="15"/>
        <v>9.1409230769230785</v>
      </c>
      <c r="AK86" s="235">
        <f t="shared" si="15"/>
        <v>8.9983076923076943</v>
      </c>
      <c r="AL86" s="235">
        <f t="shared" si="15"/>
        <v>8.8556923076923102</v>
      </c>
      <c r="AM86" s="235">
        <f t="shared" si="15"/>
        <v>8.7130769230769261</v>
      </c>
      <c r="AN86" s="235">
        <f t="shared" si="15"/>
        <v>8.5704615384615419</v>
      </c>
      <c r="AO86" s="235">
        <f t="shared" si="15"/>
        <v>8.4278461538461578</v>
      </c>
      <c r="AP86" s="235">
        <f t="shared" si="15"/>
        <v>8.2852307692307736</v>
      </c>
      <c r="AQ86" s="235">
        <f t="shared" si="15"/>
        <v>8.1426153846153895</v>
      </c>
      <c r="AR86" s="240">
        <v>8</v>
      </c>
      <c r="AS86" s="239">
        <f>SUM(AE86:AR86)</f>
        <v>124.97800000000004</v>
      </c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</row>
    <row r="87" spans="3:63" hidden="1" x14ac:dyDescent="0.25">
      <c r="AD87" s="242" t="s">
        <v>126</v>
      </c>
      <c r="AE87" s="243">
        <v>9</v>
      </c>
      <c r="AF87" s="244">
        <f>AE87-($AE$87-$AR$87)/13</f>
        <v>9</v>
      </c>
      <c r="AG87" s="244">
        <f t="shared" ref="AG87:AQ87" si="16">AF87-($AE$87-$AR$87)/13</f>
        <v>9</v>
      </c>
      <c r="AH87" s="244">
        <f t="shared" si="16"/>
        <v>9</v>
      </c>
      <c r="AI87" s="244">
        <f t="shared" si="16"/>
        <v>9</v>
      </c>
      <c r="AJ87" s="244">
        <f t="shared" si="16"/>
        <v>9</v>
      </c>
      <c r="AK87" s="244">
        <f t="shared" si="16"/>
        <v>9</v>
      </c>
      <c r="AL87" s="244">
        <f t="shared" si="16"/>
        <v>9</v>
      </c>
      <c r="AM87" s="244">
        <f t="shared" si="16"/>
        <v>9</v>
      </c>
      <c r="AN87" s="244">
        <f t="shared" si="16"/>
        <v>9</v>
      </c>
      <c r="AO87" s="244">
        <f t="shared" si="16"/>
        <v>9</v>
      </c>
      <c r="AP87" s="244">
        <f t="shared" si="16"/>
        <v>9</v>
      </c>
      <c r="AQ87" s="244">
        <f t="shared" si="16"/>
        <v>9</v>
      </c>
      <c r="AR87" s="245">
        <v>9</v>
      </c>
      <c r="AS87" s="246">
        <f>SUM(AE87:AR87)</f>
        <v>126</v>
      </c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</row>
    <row r="88" spans="3:63" hidden="1" x14ac:dyDescent="0.25">
      <c r="AD88" s="262" t="s">
        <v>141</v>
      </c>
      <c r="AE88" s="263">
        <f>AE36</f>
        <v>3.5350764774163799</v>
      </c>
      <c r="AF88" s="264">
        <f>AE88*AF85/AE85</f>
        <v>3.3539721534872844</v>
      </c>
      <c r="AG88" s="264">
        <f t="shared" ref="AG88:AR88" si="17">AF88*AG85/AF85</f>
        <v>3.1728678295581894</v>
      </c>
      <c r="AH88" s="264">
        <f t="shared" si="17"/>
        <v>2.9917635056290939</v>
      </c>
      <c r="AI88" s="264">
        <f t="shared" si="17"/>
        <v>2.8106591816999984</v>
      </c>
      <c r="AJ88" s="264">
        <f t="shared" si="17"/>
        <v>2.6295548577709029</v>
      </c>
      <c r="AK88" s="264">
        <f t="shared" si="17"/>
        <v>2.4484505338418074</v>
      </c>
      <c r="AL88" s="264">
        <f t="shared" si="17"/>
        <v>2.267346209912712</v>
      </c>
      <c r="AM88" s="264">
        <f t="shared" si="17"/>
        <v>2.0862418859836165</v>
      </c>
      <c r="AN88" s="264">
        <f t="shared" si="17"/>
        <v>1.905137562054521</v>
      </c>
      <c r="AO88" s="264">
        <f t="shared" si="17"/>
        <v>1.7240332381254251</v>
      </c>
      <c r="AP88" s="264">
        <f t="shared" si="17"/>
        <v>1.5429289141963294</v>
      </c>
      <c r="AQ88" s="264">
        <f t="shared" si="17"/>
        <v>1.3618245902672339</v>
      </c>
      <c r="AR88" s="264">
        <f t="shared" si="17"/>
        <v>1.1807202663381364</v>
      </c>
      <c r="AV88" s="173"/>
      <c r="AW88" s="173"/>
      <c r="AX88" s="173"/>
      <c r="AY88" s="173"/>
      <c r="AZ88" s="173"/>
      <c r="BA88" s="173"/>
      <c r="BB88" s="173"/>
      <c r="BC88" s="173"/>
      <c r="BD88" s="173"/>
      <c r="BE88" s="173"/>
      <c r="BF88" s="173"/>
      <c r="BG88" s="173"/>
      <c r="BH88" s="173"/>
      <c r="BI88" s="173"/>
      <c r="BJ88" s="173"/>
      <c r="BK88" s="173"/>
    </row>
    <row r="89" spans="3:63" hidden="1" x14ac:dyDescent="0.25">
      <c r="AD89" s="247">
        <f>SUM(AE89:AH89)</f>
        <v>23.708155628796028</v>
      </c>
      <c r="AE89" s="247">
        <f>AE85-AE84</f>
        <v>7.6649235225836208</v>
      </c>
      <c r="AF89" s="247">
        <f>AF85-AF84</f>
        <v>6.2480004456605442</v>
      </c>
      <c r="AG89" s="247">
        <f>AG85-AG84</f>
        <v>5.271077368737469</v>
      </c>
      <c r="AH89" s="247">
        <f>AH85-AH84</f>
        <v>4.5241542918143924</v>
      </c>
      <c r="AV89" s="173"/>
      <c r="AW89" s="173"/>
      <c r="AX89" s="173"/>
      <c r="AY89" s="173"/>
      <c r="AZ89" s="173"/>
      <c r="BA89" s="173"/>
      <c r="BB89" s="173"/>
      <c r="BC89" s="173"/>
      <c r="BD89" s="173"/>
      <c r="BE89" s="173"/>
      <c r="BF89" s="173"/>
      <c r="BG89" s="173"/>
      <c r="BH89" s="173"/>
      <c r="BI89" s="173"/>
      <c r="BJ89" s="173"/>
      <c r="BK89" s="173"/>
    </row>
    <row r="90" spans="3:63" hidden="1" x14ac:dyDescent="0.25">
      <c r="AV90" s="173"/>
      <c r="AW90" s="173"/>
      <c r="AX90" s="173"/>
      <c r="AY90" s="173"/>
      <c r="AZ90" s="173"/>
      <c r="BA90" s="173"/>
      <c r="BB90" s="173"/>
      <c r="BC90" s="173"/>
      <c r="BD90" s="173"/>
      <c r="BE90" s="173"/>
      <c r="BF90" s="173"/>
      <c r="BG90" s="173"/>
      <c r="BH90" s="173"/>
      <c r="BI90" s="173"/>
      <c r="BJ90" s="173"/>
      <c r="BK90" s="173"/>
    </row>
    <row r="91" spans="3:63" hidden="1" x14ac:dyDescent="0.25">
      <c r="AF91" s="301">
        <f>AF85/AE85-1</f>
        <v>-5.1230666461127283E-2</v>
      </c>
      <c r="AG91" s="301">
        <f t="shared" ref="AG91:AR91" si="18">AG85/AF85-1</f>
        <v>-5.3996967071057167E-2</v>
      </c>
      <c r="AH91" s="301">
        <f t="shared" si="18"/>
        <v>-5.7079063376653028E-2</v>
      </c>
      <c r="AI91" s="301">
        <f t="shared" si="18"/>
        <v>-6.0534304796599825E-2</v>
      </c>
      <c r="AJ91" s="301">
        <f t="shared" si="18"/>
        <v>-6.4434821947909171E-2</v>
      </c>
      <c r="AK91" s="301">
        <f t="shared" si="18"/>
        <v>-6.8872616744957038E-2</v>
      </c>
      <c r="AL91" s="301">
        <f t="shared" si="18"/>
        <v>-7.3966911491950338E-2</v>
      </c>
      <c r="AM91" s="301">
        <f t="shared" si="18"/>
        <v>-7.9875020028841393E-2</v>
      </c>
      <c r="AN91" s="301">
        <f t="shared" si="18"/>
        <v>-8.6808881149325057E-2</v>
      </c>
      <c r="AO91" s="301">
        <f t="shared" si="18"/>
        <v>-9.506102212051859E-2</v>
      </c>
      <c r="AP91" s="301">
        <f t="shared" si="18"/>
        <v>-0.10504688652407534</v>
      </c>
      <c r="AQ91" s="301">
        <f t="shared" si="18"/>
        <v>-0.11737697198022123</v>
      </c>
      <c r="AR91" s="301">
        <f t="shared" si="18"/>
        <v>-0.13298652794451227</v>
      </c>
      <c r="AV91" s="173"/>
      <c r="AW91" s="173"/>
      <c r="AX91" s="173"/>
      <c r="AY91" s="173"/>
      <c r="AZ91" s="173"/>
      <c r="BA91" s="173"/>
      <c r="BB91" s="173"/>
      <c r="BC91" s="173"/>
      <c r="BD91" s="173"/>
      <c r="BE91" s="173"/>
      <c r="BF91" s="173"/>
      <c r="BG91" s="173"/>
      <c r="BH91" s="173"/>
      <c r="BI91" s="173"/>
      <c r="BJ91" s="173"/>
      <c r="BK91" s="173"/>
    </row>
    <row r="92" spans="3:63" hidden="1" x14ac:dyDescent="0.25">
      <c r="AV92" s="173"/>
      <c r="AW92" s="173"/>
      <c r="AX92" s="173"/>
      <c r="AY92" s="173"/>
      <c r="AZ92" s="173"/>
      <c r="BA92" s="173"/>
      <c r="BB92" s="173"/>
      <c r="BC92" s="173"/>
      <c r="BD92" s="173"/>
      <c r="BE92" s="173"/>
      <c r="BF92" s="173"/>
      <c r="BG92" s="173"/>
      <c r="BH92" s="173"/>
      <c r="BI92" s="173"/>
      <c r="BJ92" s="173"/>
      <c r="BK92" s="173"/>
    </row>
    <row r="93" spans="3:63" hidden="1" x14ac:dyDescent="0.25">
      <c r="AV93" s="173"/>
      <c r="AW93" s="173"/>
      <c r="AX93" s="173"/>
      <c r="AY93" s="173"/>
      <c r="AZ93" s="173"/>
      <c r="BA93" s="173"/>
      <c r="BB93" s="173"/>
      <c r="BC93" s="173"/>
      <c r="BD93" s="173"/>
      <c r="BE93" s="173"/>
      <c r="BF93" s="173"/>
      <c r="BG93" s="173"/>
      <c r="BH93" s="173"/>
      <c r="BI93" s="173"/>
      <c r="BJ93" s="173"/>
      <c r="BK93" s="173"/>
    </row>
    <row r="94" spans="3:63" hidden="1" x14ac:dyDescent="0.25">
      <c r="AV94" s="173"/>
      <c r="AW94" s="173"/>
      <c r="AX94" s="173"/>
      <c r="AY94" s="173"/>
      <c r="AZ94" s="173"/>
      <c r="BA94" s="173"/>
      <c r="BB94" s="173"/>
      <c r="BC94" s="173"/>
      <c r="BD94" s="173"/>
      <c r="BE94" s="173"/>
      <c r="BF94" s="173"/>
      <c r="BG94" s="173"/>
      <c r="BH94" s="173"/>
      <c r="BI94" s="173"/>
      <c r="BJ94" s="173"/>
      <c r="BK94" s="173"/>
    </row>
    <row r="95" spans="3:63" hidden="1" x14ac:dyDescent="0.25">
      <c r="AV95" s="173"/>
      <c r="AW95" s="173"/>
      <c r="AX95" s="173"/>
      <c r="AY95" s="173"/>
      <c r="AZ95" s="173"/>
      <c r="BA95" s="173"/>
      <c r="BB95" s="173"/>
      <c r="BC95" s="173"/>
      <c r="BD95" s="173"/>
      <c r="BE95" s="173"/>
      <c r="BF95" s="173"/>
      <c r="BG95" s="173"/>
      <c r="BH95" s="173"/>
      <c r="BI95" s="173"/>
      <c r="BJ95" s="173"/>
      <c r="BK95" s="173"/>
    </row>
    <row r="96" spans="3:63" hidden="1" x14ac:dyDescent="0.25">
      <c r="AV96" s="173"/>
      <c r="AW96" s="173"/>
      <c r="AX96" s="173"/>
      <c r="AY96" s="173"/>
      <c r="AZ96" s="173"/>
      <c r="BA96" s="173"/>
      <c r="BB96" s="173"/>
      <c r="BC96" s="173"/>
      <c r="BD96" s="173"/>
      <c r="BE96" s="173"/>
      <c r="BF96" s="173"/>
      <c r="BG96" s="173"/>
      <c r="BH96" s="173"/>
      <c r="BI96" s="173"/>
      <c r="BJ96" s="173"/>
      <c r="BK96" s="173"/>
    </row>
    <row r="97" spans="30:63" ht="15.75" hidden="1" thickBot="1" x14ac:dyDescent="0.3">
      <c r="AD97" s="658" t="s">
        <v>292</v>
      </c>
      <c r="AE97" s="659">
        <v>2017</v>
      </c>
      <c r="AF97" s="659">
        <v>2018</v>
      </c>
      <c r="AG97" s="659">
        <v>2019</v>
      </c>
      <c r="AH97" s="659">
        <v>2020</v>
      </c>
      <c r="AI97" s="660">
        <v>2021</v>
      </c>
      <c r="AJ97" s="660">
        <v>2022</v>
      </c>
      <c r="AK97" s="660">
        <v>2023</v>
      </c>
      <c r="AL97" s="660">
        <v>2024</v>
      </c>
      <c r="AM97" s="660">
        <v>2025</v>
      </c>
      <c r="AN97" s="660">
        <v>2026</v>
      </c>
      <c r="AO97" s="660">
        <v>2027</v>
      </c>
      <c r="AP97" s="660">
        <v>2028</v>
      </c>
      <c r="AQ97" s="660">
        <v>2029</v>
      </c>
      <c r="AR97" s="660">
        <v>2030</v>
      </c>
      <c r="AS97" s="634">
        <v>2031</v>
      </c>
      <c r="AT97" s="634">
        <v>2032</v>
      </c>
      <c r="AU97" s="634">
        <v>2033</v>
      </c>
      <c r="AV97" s="173"/>
      <c r="AW97" s="173"/>
      <c r="AX97" s="173"/>
      <c r="AY97" s="173"/>
      <c r="AZ97" s="173"/>
      <c r="BA97" s="173"/>
      <c r="BB97" s="173"/>
      <c r="BC97" s="173"/>
      <c r="BD97" s="173"/>
      <c r="BE97" s="173"/>
      <c r="BF97" s="173"/>
      <c r="BG97" s="173"/>
      <c r="BH97" s="173"/>
      <c r="BI97" s="173"/>
      <c r="BJ97" s="173"/>
      <c r="BK97" s="173"/>
    </row>
    <row r="98" spans="30:63" ht="15.75" hidden="1" thickBot="1" x14ac:dyDescent="0.3">
      <c r="AD98" s="652" t="s">
        <v>293</v>
      </c>
      <c r="AE98" s="653">
        <v>3.5</v>
      </c>
      <c r="AF98" s="653">
        <v>3.5</v>
      </c>
      <c r="AG98" s="653">
        <v>3.1</v>
      </c>
      <c r="AH98" s="653">
        <v>3.4</v>
      </c>
      <c r="AI98" s="654">
        <v>3.6</v>
      </c>
      <c r="AJ98" s="654">
        <v>3.7</v>
      </c>
      <c r="AK98" s="654">
        <v>4.2</v>
      </c>
      <c r="AL98" s="654">
        <v>3.4</v>
      </c>
      <c r="AM98" s="654">
        <v>4.7</v>
      </c>
      <c r="AN98" s="654">
        <v>3.8</v>
      </c>
      <c r="AO98" s="654">
        <v>3.9</v>
      </c>
      <c r="AP98" s="654">
        <v>3.7</v>
      </c>
      <c r="AQ98" s="654">
        <v>3.9</v>
      </c>
      <c r="AR98" s="654">
        <v>3.8</v>
      </c>
      <c r="AS98" s="635">
        <v>4.5</v>
      </c>
      <c r="AT98" s="635">
        <v>4</v>
      </c>
      <c r="AU98" s="635">
        <v>4.2</v>
      </c>
      <c r="AV98" s="634">
        <v>2034</v>
      </c>
      <c r="AW98" s="173"/>
      <c r="AX98" s="173"/>
      <c r="AY98" s="173"/>
      <c r="AZ98" s="173"/>
      <c r="BA98" s="173"/>
      <c r="BB98" s="173"/>
      <c r="BC98" s="173"/>
      <c r="BD98" s="173"/>
      <c r="BE98" s="173"/>
      <c r="BF98" s="173"/>
      <c r="BG98" s="173"/>
      <c r="BH98" s="173"/>
      <c r="BI98" s="173"/>
      <c r="BJ98" s="173"/>
      <c r="BK98" s="173"/>
    </row>
    <row r="99" spans="30:63" ht="15.75" hidden="1" thickBot="1" x14ac:dyDescent="0.3">
      <c r="AD99" s="652" t="s">
        <v>294</v>
      </c>
      <c r="AE99" s="653">
        <v>3</v>
      </c>
      <c r="AF99" s="653">
        <v>3</v>
      </c>
      <c r="AG99" s="653">
        <v>2</v>
      </c>
      <c r="AH99" s="653">
        <v>3</v>
      </c>
      <c r="AI99" s="654">
        <v>3</v>
      </c>
      <c r="AJ99" s="654">
        <v>3</v>
      </c>
      <c r="AK99" s="654">
        <v>4</v>
      </c>
      <c r="AL99" s="654">
        <v>3</v>
      </c>
      <c r="AM99" s="654">
        <v>6</v>
      </c>
      <c r="AN99" s="654">
        <v>6</v>
      </c>
      <c r="AO99" s="654">
        <v>5</v>
      </c>
      <c r="AP99" s="654">
        <v>4</v>
      </c>
      <c r="AQ99" s="654">
        <v>4</v>
      </c>
      <c r="AR99" s="654">
        <v>4</v>
      </c>
      <c r="AS99" s="635">
        <v>4</v>
      </c>
      <c r="AT99" s="635">
        <v>3</v>
      </c>
      <c r="AU99" s="635">
        <v>3</v>
      </c>
      <c r="AV99" s="635">
        <v>4.5999999999999996</v>
      </c>
      <c r="AW99" s="634">
        <v>2035</v>
      </c>
      <c r="AX99" s="173"/>
      <c r="AY99" s="173"/>
      <c r="AZ99" s="173"/>
      <c r="BA99" s="173"/>
      <c r="BB99" s="173"/>
      <c r="BC99" s="173"/>
      <c r="BD99" s="173"/>
      <c r="BE99" s="173"/>
      <c r="BF99" s="173"/>
      <c r="BG99" s="173"/>
      <c r="BH99" s="173"/>
      <c r="BI99" s="173"/>
      <c r="BJ99" s="173"/>
      <c r="BK99" s="173"/>
    </row>
    <row r="100" spans="30:63" ht="15.75" hidden="1" thickBot="1" x14ac:dyDescent="0.3">
      <c r="AD100" s="655" t="s">
        <v>81</v>
      </c>
      <c r="AE100" s="656">
        <v>6.5</v>
      </c>
      <c r="AF100" s="656">
        <v>6.5</v>
      </c>
      <c r="AG100" s="656">
        <v>5.0999999999999996</v>
      </c>
      <c r="AH100" s="656">
        <v>6.4</v>
      </c>
      <c r="AI100" s="657">
        <v>6.6</v>
      </c>
      <c r="AJ100" s="657">
        <v>6.7</v>
      </c>
      <c r="AK100" s="657">
        <v>8.1999999999999993</v>
      </c>
      <c r="AL100" s="657">
        <v>6.4</v>
      </c>
      <c r="AM100" s="657">
        <v>10.7</v>
      </c>
      <c r="AN100" s="657">
        <v>9.8000000000000007</v>
      </c>
      <c r="AO100" s="657">
        <v>8.9</v>
      </c>
      <c r="AP100" s="657">
        <v>7.7</v>
      </c>
      <c r="AQ100" s="657">
        <v>7.9</v>
      </c>
      <c r="AR100" s="657">
        <v>7.8</v>
      </c>
      <c r="AS100" s="636">
        <v>8.5</v>
      </c>
      <c r="AT100" s="636">
        <v>7</v>
      </c>
      <c r="AU100" s="636">
        <v>7.2</v>
      </c>
      <c r="AV100" s="635">
        <v>3</v>
      </c>
      <c r="AW100" s="635">
        <v>5.3</v>
      </c>
      <c r="AX100" s="173"/>
      <c r="AY100" s="173"/>
      <c r="AZ100" s="173"/>
      <c r="BA100" s="173"/>
      <c r="BB100" s="173"/>
      <c r="BC100" s="173"/>
      <c r="BD100" s="173"/>
      <c r="BE100" s="173"/>
      <c r="BF100" s="173"/>
      <c r="BG100" s="173"/>
      <c r="BH100" s="173"/>
      <c r="BI100" s="173"/>
      <c r="BJ100" s="173"/>
      <c r="BK100" s="173"/>
    </row>
    <row r="101" spans="30:63" ht="15.75" hidden="1" thickBot="1" x14ac:dyDescent="0.3">
      <c r="AD101" s="273" t="s">
        <v>298</v>
      </c>
      <c r="AE101" s="661">
        <f>AVERAGE(AE100:AH100)</f>
        <v>6.125</v>
      </c>
      <c r="AF101" s="273"/>
      <c r="AG101" s="273"/>
      <c r="AH101" s="273"/>
      <c r="AI101" s="273"/>
      <c r="AJ101" s="273"/>
      <c r="AK101" s="273"/>
      <c r="AL101" s="273"/>
      <c r="AM101" s="273"/>
      <c r="AN101" s="273"/>
      <c r="AO101" s="273"/>
      <c r="AP101" s="273"/>
      <c r="AQ101" s="273"/>
      <c r="AR101" s="273"/>
      <c r="AV101" s="636">
        <v>7.6</v>
      </c>
      <c r="AW101" s="635">
        <v>3</v>
      </c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</row>
    <row r="102" spans="30:63" ht="15.75" hidden="1" thickBot="1" x14ac:dyDescent="0.3">
      <c r="AD102" s="273" t="s">
        <v>299</v>
      </c>
      <c r="AE102" s="661">
        <f>AVERAGE(AE99:AH99)</f>
        <v>2.75</v>
      </c>
      <c r="AF102" s="273"/>
      <c r="AG102" s="273"/>
      <c r="AH102" s="273"/>
      <c r="AI102" s="273"/>
      <c r="AJ102" s="273"/>
      <c r="AK102" s="273"/>
      <c r="AL102" s="273"/>
      <c r="AM102" s="273"/>
      <c r="AN102" s="273"/>
      <c r="AO102" s="273"/>
      <c r="AP102" s="273"/>
      <c r="AQ102" s="273"/>
      <c r="AR102" s="273"/>
      <c r="AV102" s="173"/>
      <c r="AW102" s="636">
        <v>8.3000000000000007</v>
      </c>
      <c r="AX102" s="173"/>
      <c r="AY102" s="173"/>
      <c r="AZ102" s="173"/>
      <c r="BA102" s="173"/>
      <c r="BB102" s="173"/>
      <c r="BC102" s="173"/>
      <c r="BD102" s="173"/>
      <c r="BE102" s="173"/>
      <c r="BF102" s="173"/>
      <c r="BG102" s="173"/>
      <c r="BH102" s="173"/>
      <c r="BI102" s="173"/>
      <c r="BJ102" s="173"/>
      <c r="BK102" s="173"/>
    </row>
    <row r="103" spans="30:63" hidden="1" x14ac:dyDescent="0.25">
      <c r="AD103" s="273" t="s">
        <v>300</v>
      </c>
      <c r="AE103" s="661">
        <f>AVERAGE(AE100:AR100)</f>
        <v>7.5142857142857142</v>
      </c>
      <c r="AF103" s="273"/>
      <c r="AG103" s="273"/>
      <c r="AH103" s="273"/>
      <c r="AI103" s="273"/>
      <c r="AJ103" s="273"/>
      <c r="AK103" s="273"/>
      <c r="AL103" s="273"/>
      <c r="AM103" s="273"/>
      <c r="AN103" s="273"/>
      <c r="AO103" s="273"/>
      <c r="AP103" s="273"/>
      <c r="AQ103" s="273"/>
      <c r="AR103" s="273"/>
      <c r="AV103" s="173"/>
      <c r="AW103" s="173"/>
      <c r="AX103" s="173"/>
      <c r="AY103" s="173"/>
      <c r="AZ103" s="173"/>
      <c r="BA103" s="173"/>
      <c r="BB103" s="173"/>
      <c r="BC103" s="173"/>
      <c r="BD103" s="173"/>
      <c r="BE103" s="173"/>
      <c r="BF103" s="173"/>
      <c r="BG103" s="173"/>
      <c r="BH103" s="173"/>
      <c r="BI103" s="173"/>
      <c r="BJ103" s="173"/>
      <c r="BK103" s="173"/>
    </row>
    <row r="104" spans="30:63" hidden="1" x14ac:dyDescent="0.25">
      <c r="AD104" s="273"/>
      <c r="AE104" s="273"/>
      <c r="AF104" s="273"/>
      <c r="AG104" s="273"/>
      <c r="AH104" s="273"/>
      <c r="AI104" s="273"/>
      <c r="AJ104" s="273"/>
      <c r="AK104" s="273"/>
      <c r="AL104" s="273"/>
      <c r="AM104" s="273"/>
      <c r="AN104" s="273"/>
      <c r="AO104" s="273"/>
      <c r="AP104" s="273"/>
      <c r="AQ104" s="273"/>
      <c r="AR104" s="273"/>
      <c r="AV104" s="173"/>
      <c r="AW104" s="173"/>
      <c r="AX104" s="173"/>
      <c r="AY104" s="173"/>
      <c r="AZ104" s="173"/>
      <c r="BA104" s="173"/>
      <c r="BB104" s="173"/>
      <c r="BC104" s="173"/>
      <c r="BD104" s="173"/>
      <c r="BE104" s="173"/>
      <c r="BF104" s="173"/>
      <c r="BG104" s="173"/>
      <c r="BH104" s="173"/>
      <c r="BI104" s="173"/>
      <c r="BJ104" s="173"/>
      <c r="BK104" s="173"/>
    </row>
    <row r="105" spans="30:63" hidden="1" x14ac:dyDescent="0.25">
      <c r="AV105" s="173"/>
      <c r="AW105" s="173"/>
      <c r="AX105" s="173"/>
      <c r="AY105" s="173"/>
      <c r="AZ105" s="173"/>
      <c r="BA105" s="173"/>
      <c r="BB105" s="173"/>
      <c r="BC105" s="173"/>
      <c r="BD105" s="173"/>
      <c r="BE105" s="173"/>
      <c r="BF105" s="173"/>
      <c r="BG105" s="173"/>
      <c r="BH105" s="173"/>
      <c r="BI105" s="173"/>
      <c r="BJ105" s="173"/>
      <c r="BK105" s="173"/>
    </row>
    <row r="106" spans="30:63" ht="33" hidden="1" customHeight="1" x14ac:dyDescent="0.25">
      <c r="AD106" s="185"/>
      <c r="AE106" s="648">
        <v>2017</v>
      </c>
      <c r="AF106" s="648">
        <v>2018</v>
      </c>
      <c r="AG106" s="648">
        <v>2019</v>
      </c>
      <c r="AH106" s="648">
        <v>2020</v>
      </c>
      <c r="AI106" s="647" t="s">
        <v>295</v>
      </c>
      <c r="AJ106" s="647" t="s">
        <v>229</v>
      </c>
      <c r="AV106" s="173"/>
      <c r="AW106" s="173"/>
      <c r="AX106" s="173"/>
      <c r="AY106" s="173"/>
      <c r="AZ106" s="173"/>
      <c r="BA106" s="173"/>
      <c r="BB106" s="173"/>
      <c r="BC106" s="173"/>
      <c r="BD106" s="173"/>
      <c r="BE106" s="173"/>
      <c r="BF106" s="173"/>
      <c r="BG106" s="173"/>
      <c r="BH106" s="173"/>
      <c r="BI106" s="173"/>
      <c r="BJ106" s="173"/>
      <c r="BK106" s="173"/>
    </row>
    <row r="107" spans="30:63" hidden="1" x14ac:dyDescent="0.25">
      <c r="AD107" s="644" t="s">
        <v>207</v>
      </c>
      <c r="AE107" s="645">
        <f>'December 2016_pst 2020 Proceeds'!D6</f>
        <v>17.629100357258849</v>
      </c>
      <c r="AF107" s="645">
        <f>'December 2016_pst 2020 Proceeds'!E6</f>
        <v>18.088308300000001</v>
      </c>
      <c r="AG107" s="645">
        <f>'December 2016_pst 2020 Proceeds'!F6</f>
        <v>18.76265024156098</v>
      </c>
      <c r="AH107" s="645">
        <f>'December 2016_pst 2020 Proceeds'!G6</f>
        <v>19.457915859459053</v>
      </c>
      <c r="AI107" s="171"/>
      <c r="AJ107" s="171"/>
      <c r="AV107" s="173"/>
      <c r="AW107" s="173"/>
      <c r="AX107" s="173"/>
      <c r="AY107" s="173"/>
      <c r="AZ107" s="173"/>
      <c r="BA107" s="173"/>
      <c r="BB107" s="173"/>
      <c r="BC107" s="173"/>
      <c r="BD107" s="173"/>
      <c r="BE107" s="173"/>
      <c r="BF107" s="173"/>
      <c r="BG107" s="173"/>
      <c r="BH107" s="173"/>
      <c r="BI107" s="173"/>
      <c r="BJ107" s="173"/>
      <c r="BK107" s="173"/>
    </row>
    <row r="108" spans="30:63" hidden="1" x14ac:dyDescent="0.25">
      <c r="AD108" s="646" t="s">
        <v>296</v>
      </c>
      <c r="AE108" s="650">
        <f>7.5-AE100</f>
        <v>1</v>
      </c>
      <c r="AF108" s="650">
        <f>7.5-AF100</f>
        <v>1</v>
      </c>
      <c r="AG108" s="650">
        <f>7.5-AG100</f>
        <v>2.4000000000000004</v>
      </c>
      <c r="AH108" s="650">
        <f>7.5-AH100</f>
        <v>1.0999999999999996</v>
      </c>
      <c r="AI108" s="171"/>
      <c r="AJ108" s="351">
        <f>AVERAGE(AE108:AH108)</f>
        <v>1.375</v>
      </c>
      <c r="AV108" s="173"/>
      <c r="AW108" s="173"/>
      <c r="AX108" s="173"/>
      <c r="AY108" s="173"/>
      <c r="AZ108" s="173"/>
      <c r="BA108" s="173"/>
      <c r="BB108" s="173"/>
      <c r="BC108" s="173"/>
      <c r="BD108" s="173"/>
      <c r="BE108" s="173"/>
      <c r="BF108" s="173"/>
      <c r="BG108" s="173"/>
      <c r="BH108" s="173"/>
      <c r="BI108" s="173"/>
      <c r="BJ108" s="173"/>
      <c r="BK108" s="173"/>
    </row>
    <row r="109" spans="30:63" hidden="1" x14ac:dyDescent="0.25">
      <c r="AD109" s="651" t="s">
        <v>297</v>
      </c>
      <c r="AE109" s="649">
        <f>AE107*AE108</f>
        <v>17.629100357258849</v>
      </c>
      <c r="AF109" s="649">
        <f>AF107*AF108</f>
        <v>18.088308300000001</v>
      </c>
      <c r="AG109" s="649">
        <f>AG107*AG108</f>
        <v>45.030360579746358</v>
      </c>
      <c r="AH109" s="649">
        <f>AH107*AH108</f>
        <v>21.403707445404951</v>
      </c>
      <c r="AI109" s="649">
        <f>SUM(AE109:AH109)</f>
        <v>102.15147668241015</v>
      </c>
      <c r="AJ109" s="171"/>
      <c r="AV109" s="173"/>
      <c r="AW109" s="173"/>
      <c r="AX109" s="173"/>
      <c r="AY109" s="173"/>
      <c r="AZ109" s="173"/>
      <c r="BA109" s="173"/>
      <c r="BB109" s="173"/>
      <c r="BC109" s="173"/>
      <c r="BD109" s="173"/>
      <c r="BE109" s="173"/>
      <c r="BF109" s="173"/>
      <c r="BG109" s="173"/>
      <c r="BH109" s="173"/>
      <c r="BI109" s="173"/>
      <c r="BJ109" s="173"/>
      <c r="BK109" s="173"/>
    </row>
    <row r="110" spans="30:63" hidden="1" x14ac:dyDescent="0.25">
      <c r="AD110" s="171" t="s">
        <v>304</v>
      </c>
      <c r="AE110" s="662">
        <v>143.66217302233557</v>
      </c>
      <c r="AF110" s="662">
        <v>144.26525382939295</v>
      </c>
      <c r="AG110" s="662">
        <v>144.90735357009473</v>
      </c>
      <c r="AH110" s="662">
        <v>145.59017084986547</v>
      </c>
      <c r="AI110" s="662">
        <f>AP110/1000</f>
        <v>0</v>
      </c>
      <c r="AJ110" s="171"/>
      <c r="AV110" s="173"/>
      <c r="AW110" s="173"/>
      <c r="AX110" s="173"/>
      <c r="AY110" s="173"/>
      <c r="AZ110" s="173"/>
      <c r="BA110" s="173"/>
      <c r="BB110" s="173"/>
      <c r="BC110" s="173"/>
      <c r="BD110" s="173"/>
      <c r="BE110" s="173"/>
      <c r="BF110" s="173"/>
      <c r="BG110" s="173"/>
      <c r="BH110" s="173"/>
      <c r="BI110" s="173"/>
      <c r="BJ110" s="173"/>
      <c r="BK110" s="173"/>
    </row>
    <row r="111" spans="30:63" hidden="1" x14ac:dyDescent="0.25">
      <c r="AD111" s="171" t="s">
        <v>302</v>
      </c>
      <c r="AE111" s="663">
        <f>AE108/AE110</f>
        <v>6.9607745655115988E-3</v>
      </c>
      <c r="AF111" s="663">
        <f>AF108/AF110</f>
        <v>6.9316760166144567E-3</v>
      </c>
      <c r="AG111" s="663">
        <f>AG108/AG110</f>
        <v>1.6562306472866956E-2</v>
      </c>
      <c r="AH111" s="663">
        <f>AH108/AH110</f>
        <v>7.555455107847454E-3</v>
      </c>
      <c r="AI111" s="171"/>
      <c r="AJ111" s="664">
        <f>AVERAGE(AE111:AH111)</f>
        <v>9.5025530407101162E-3</v>
      </c>
      <c r="AV111" s="173"/>
      <c r="AW111" s="173"/>
      <c r="AX111" s="173"/>
      <c r="AY111" s="173"/>
      <c r="AZ111" s="173"/>
      <c r="BA111" s="173"/>
      <c r="BB111" s="173"/>
      <c r="BC111" s="173"/>
      <c r="BD111" s="173"/>
      <c r="BE111" s="173"/>
      <c r="BF111" s="173"/>
      <c r="BG111" s="173"/>
      <c r="BH111" s="173"/>
      <c r="BI111" s="173"/>
      <c r="BJ111" s="173"/>
      <c r="BK111" s="173"/>
    </row>
    <row r="112" spans="30:63" hidden="1" x14ac:dyDescent="0.25">
      <c r="AD112" s="171" t="s">
        <v>301</v>
      </c>
      <c r="AE112" s="662">
        <v>111.74499198144457</v>
      </c>
      <c r="AF112" s="662">
        <v>106.77760168896849</v>
      </c>
      <c r="AG112" s="662">
        <v>102.23195770549069</v>
      </c>
      <c r="AH112" s="662">
        <v>85.081048684319441</v>
      </c>
      <c r="AI112" s="171"/>
      <c r="AJ112" s="171"/>
      <c r="AV112" s="173"/>
      <c r="AW112" s="173"/>
      <c r="AX112" s="173"/>
      <c r="AY112" s="173"/>
      <c r="AZ112" s="173"/>
      <c r="BA112" s="173"/>
      <c r="BB112" s="173"/>
      <c r="BC112" s="173"/>
      <c r="BD112" s="173"/>
      <c r="BE112" s="173"/>
      <c r="BF112" s="173"/>
      <c r="BG112" s="173"/>
      <c r="BH112" s="173"/>
      <c r="BI112" s="173"/>
      <c r="BJ112" s="173"/>
      <c r="BK112" s="173"/>
    </row>
    <row r="113" spans="30:63" hidden="1" x14ac:dyDescent="0.25">
      <c r="AD113" s="171" t="s">
        <v>303</v>
      </c>
      <c r="AE113" s="663">
        <f>AE108/AE112</f>
        <v>8.9489469037328448E-3</v>
      </c>
      <c r="AF113" s="663">
        <f>AF108/AF112</f>
        <v>9.3652599813291455E-3</v>
      </c>
      <c r="AG113" s="663">
        <f>AG108/AG112</f>
        <v>2.3476025049954618E-2</v>
      </c>
      <c r="AH113" s="663">
        <f>AH108/AH112</f>
        <v>1.2928848633276558E-2</v>
      </c>
      <c r="AI113" s="171"/>
      <c r="AJ113" s="664">
        <f>AVERAGE(AE113:AH113)</f>
        <v>1.367977014207329E-2</v>
      </c>
      <c r="AV113" s="173"/>
      <c r="AW113" s="173"/>
      <c r="AX113" s="173"/>
      <c r="AY113" s="173"/>
      <c r="AZ113" s="173"/>
      <c r="BA113" s="173"/>
      <c r="BB113" s="173"/>
      <c r="BC113" s="173"/>
      <c r="BD113" s="173"/>
      <c r="BE113" s="173"/>
      <c r="BF113" s="173"/>
      <c r="BG113" s="173"/>
      <c r="BH113" s="173"/>
      <c r="BI113" s="173"/>
      <c r="BJ113" s="173"/>
      <c r="BK113" s="173"/>
    </row>
    <row r="114" spans="30:63" hidden="1" x14ac:dyDescent="0.25">
      <c r="AV114" s="173"/>
      <c r="AW114" s="173"/>
      <c r="AX114" s="173"/>
      <c r="AY114" s="173"/>
      <c r="AZ114" s="173"/>
      <c r="BA114" s="173"/>
      <c r="BB114" s="173"/>
      <c r="BC114" s="173"/>
      <c r="BD114" s="173"/>
      <c r="BE114" s="173"/>
      <c r="BF114" s="173"/>
      <c r="BG114" s="173"/>
      <c r="BH114" s="173"/>
      <c r="BI114" s="173"/>
      <c r="BJ114" s="173"/>
      <c r="BK114" s="173"/>
    </row>
    <row r="115" spans="30:63" s="253" customFormat="1" hidden="1" x14ac:dyDescent="0.25">
      <c r="AV115" s="173"/>
      <c r="AW115" s="173"/>
      <c r="AX115" s="173"/>
      <c r="AY115" s="173"/>
      <c r="AZ115" s="173"/>
      <c r="BA115" s="173"/>
      <c r="BB115" s="173"/>
      <c r="BC115" s="173"/>
      <c r="BD115" s="173"/>
      <c r="BE115" s="173"/>
      <c r="BF115" s="173"/>
      <c r="BG115" s="173"/>
      <c r="BH115" s="173"/>
      <c r="BI115" s="173"/>
      <c r="BJ115" s="173"/>
      <c r="BK115" s="173"/>
    </row>
    <row r="116" spans="30:63" s="152" customFormat="1" hidden="1" x14ac:dyDescent="0.25">
      <c r="AV116" s="1341"/>
      <c r="AW116" s="173"/>
      <c r="AX116" s="173"/>
      <c r="AY116" s="173"/>
      <c r="AZ116" s="173"/>
      <c r="BA116" s="173"/>
      <c r="BB116" s="173"/>
      <c r="BC116" s="173"/>
      <c r="BD116" s="173"/>
      <c r="BE116" s="173"/>
      <c r="BF116" s="173"/>
      <c r="BG116" s="173"/>
      <c r="BH116" s="173"/>
      <c r="BI116" s="173"/>
      <c r="BJ116" s="173"/>
      <c r="BK116" s="173"/>
    </row>
    <row r="117" spans="30:63" s="152" customFormat="1" hidden="1" x14ac:dyDescent="0.25">
      <c r="AV117" s="948"/>
      <c r="AW117" s="1341"/>
      <c r="AX117" s="1341"/>
      <c r="AY117" s="1341"/>
      <c r="AZ117" s="1341"/>
      <c r="BA117" s="1341"/>
      <c r="BB117" s="1341"/>
      <c r="BC117" s="1341"/>
      <c r="BD117" s="1341"/>
      <c r="BE117" s="1341"/>
      <c r="BF117" s="1341"/>
      <c r="BG117" s="1341"/>
      <c r="BH117" s="1341"/>
      <c r="BI117" s="1341"/>
      <c r="BJ117" s="1341"/>
      <c r="BK117" s="1341"/>
    </row>
    <row r="118" spans="30:63" s="152" customFormat="1" hidden="1" x14ac:dyDescent="0.25">
      <c r="AV118" s="948"/>
      <c r="AW118" s="948"/>
      <c r="AX118" s="948"/>
      <c r="AY118" s="948"/>
      <c r="AZ118" s="948"/>
      <c r="BA118" s="948"/>
      <c r="BB118" s="948"/>
      <c r="BC118" s="948"/>
      <c r="BD118" s="948"/>
      <c r="BE118" s="948"/>
      <c r="BF118" s="948"/>
      <c r="BG118" s="948"/>
      <c r="BH118" s="948"/>
      <c r="BI118" s="948"/>
      <c r="BJ118" s="948"/>
      <c r="BK118" s="948"/>
    </row>
    <row r="119" spans="30:63" s="152" customFormat="1" hidden="1" x14ac:dyDescent="0.25">
      <c r="AV119" s="948"/>
      <c r="AW119" s="948"/>
      <c r="AX119" s="948"/>
      <c r="AY119" s="948"/>
      <c r="AZ119" s="948"/>
      <c r="BA119" s="948"/>
      <c r="BB119" s="948"/>
      <c r="BC119" s="948"/>
      <c r="BD119" s="948"/>
      <c r="BE119" s="948"/>
      <c r="BF119" s="948"/>
      <c r="BG119" s="948"/>
      <c r="BH119" s="948"/>
      <c r="BI119" s="948"/>
      <c r="BJ119" s="948"/>
      <c r="BK119" s="948"/>
    </row>
    <row r="120" spans="30:63" s="152" customFormat="1" hidden="1" x14ac:dyDescent="0.25">
      <c r="AV120" s="948"/>
      <c r="AW120" s="948"/>
      <c r="AX120" s="948"/>
      <c r="AY120" s="948"/>
      <c r="AZ120" s="948"/>
      <c r="BA120" s="948"/>
      <c r="BB120" s="948"/>
      <c r="BC120" s="948"/>
      <c r="BD120" s="948"/>
      <c r="BE120" s="948"/>
      <c r="BF120" s="948"/>
      <c r="BG120" s="948"/>
      <c r="BH120" s="948"/>
      <c r="BI120" s="948"/>
      <c r="BJ120" s="948"/>
      <c r="BK120" s="948"/>
    </row>
    <row r="121" spans="30:63" s="152" customFormat="1" x14ac:dyDescent="0.25">
      <c r="AV121" s="948"/>
      <c r="AW121" s="948"/>
      <c r="AX121" s="948"/>
      <c r="AY121" s="948"/>
      <c r="AZ121" s="948"/>
      <c r="BA121" s="948"/>
      <c r="BB121" s="948"/>
      <c r="BC121" s="948"/>
      <c r="BD121" s="948"/>
      <c r="BE121" s="948"/>
      <c r="BF121" s="948"/>
      <c r="BG121" s="948"/>
      <c r="BH121" s="948"/>
      <c r="BI121" s="948"/>
      <c r="BJ121" s="948"/>
      <c r="BK121" s="948"/>
    </row>
    <row r="122" spans="30:63" s="152" customFormat="1" x14ac:dyDescent="0.25">
      <c r="AV122" s="948"/>
      <c r="AW122" s="948"/>
      <c r="AX122" s="948"/>
      <c r="AY122" s="948"/>
      <c r="AZ122" s="948"/>
      <c r="BA122" s="948"/>
      <c r="BB122" s="948"/>
      <c r="BC122" s="948"/>
      <c r="BD122" s="948"/>
      <c r="BE122" s="948"/>
      <c r="BF122" s="948"/>
      <c r="BG122" s="948"/>
      <c r="BH122" s="948"/>
      <c r="BI122" s="948"/>
      <c r="BJ122" s="948"/>
      <c r="BK122" s="948"/>
    </row>
    <row r="123" spans="30:63" s="152" customFormat="1" x14ac:dyDescent="0.25">
      <c r="AE123" s="152">
        <v>2017</v>
      </c>
      <c r="AF123" s="152">
        <v>2018</v>
      </c>
      <c r="AG123" s="152">
        <v>2019</v>
      </c>
      <c r="AH123" s="152">
        <v>2020</v>
      </c>
      <c r="AI123" s="152">
        <v>2021</v>
      </c>
      <c r="AJ123" s="152">
        <v>2022</v>
      </c>
      <c r="AK123" s="152">
        <v>2023</v>
      </c>
      <c r="AL123" s="152">
        <v>2024</v>
      </c>
      <c r="AM123" s="152">
        <v>2025</v>
      </c>
      <c r="AN123" s="152">
        <v>2026</v>
      </c>
      <c r="AO123" s="152">
        <v>2027</v>
      </c>
      <c r="AP123" s="152">
        <v>2028</v>
      </c>
      <c r="AQ123" s="152">
        <v>2029</v>
      </c>
      <c r="AR123" s="152">
        <v>2030</v>
      </c>
      <c r="AV123" s="948"/>
      <c r="AW123" s="948"/>
      <c r="AX123" s="948"/>
      <c r="AY123" s="948"/>
      <c r="AZ123" s="948"/>
      <c r="BA123" s="948"/>
      <c r="BB123" s="948"/>
      <c r="BC123" s="948"/>
      <c r="BD123" s="948"/>
      <c r="BE123" s="948"/>
      <c r="BF123" s="948"/>
      <c r="BG123" s="948"/>
      <c r="BH123" s="948"/>
      <c r="BI123" s="948"/>
      <c r="BJ123" s="948"/>
      <c r="BK123" s="948"/>
    </row>
    <row r="124" spans="30:63" s="152" customFormat="1" x14ac:dyDescent="0.25">
      <c r="AD124" s="152" t="s">
        <v>595</v>
      </c>
      <c r="AV124" s="948"/>
      <c r="AW124" s="948"/>
      <c r="AX124" s="948"/>
      <c r="AY124" s="948"/>
      <c r="AZ124" s="948"/>
      <c r="BA124" s="948"/>
      <c r="BB124" s="948"/>
      <c r="BC124" s="948"/>
      <c r="BD124" s="948"/>
      <c r="BE124" s="948"/>
      <c r="BF124" s="948"/>
      <c r="BG124" s="948"/>
      <c r="BH124" s="948"/>
      <c r="BI124" s="948"/>
      <c r="BJ124" s="948"/>
      <c r="BK124" s="948"/>
    </row>
    <row r="125" spans="30:63" s="152" customFormat="1" x14ac:dyDescent="0.25">
      <c r="AD125" s="152" t="s">
        <v>596</v>
      </c>
      <c r="AV125" s="948"/>
      <c r="AW125" s="948"/>
      <c r="AX125" s="948"/>
      <c r="AY125" s="948"/>
      <c r="AZ125" s="948"/>
      <c r="BA125" s="948"/>
      <c r="BB125" s="948"/>
      <c r="BC125" s="948"/>
      <c r="BD125" s="948"/>
      <c r="BE125" s="948"/>
      <c r="BF125" s="948"/>
      <c r="BG125" s="948"/>
      <c r="BH125" s="948"/>
      <c r="BI125" s="948"/>
      <c r="BJ125" s="948"/>
      <c r="BK125" s="948"/>
    </row>
    <row r="126" spans="30:63" s="152" customFormat="1" x14ac:dyDescent="0.25">
      <c r="AD126" s="152" t="s">
        <v>599</v>
      </c>
      <c r="AV126" s="948"/>
      <c r="AW126" s="948"/>
      <c r="AX126" s="948"/>
      <c r="AY126" s="948"/>
      <c r="AZ126" s="948"/>
      <c r="BA126" s="948"/>
      <c r="BB126" s="948"/>
      <c r="BC126" s="948"/>
      <c r="BD126" s="948"/>
      <c r="BE126" s="948"/>
      <c r="BF126" s="948"/>
      <c r="BG126" s="948"/>
      <c r="BH126" s="948"/>
      <c r="BI126" s="948"/>
      <c r="BJ126" s="948"/>
      <c r="BK126" s="948"/>
    </row>
    <row r="127" spans="30:63" s="152" customFormat="1" x14ac:dyDescent="0.25">
      <c r="AD127" s="152" t="s">
        <v>598</v>
      </c>
      <c r="AV127" s="948"/>
      <c r="AW127" s="948"/>
      <c r="AX127" s="948"/>
      <c r="AY127" s="948"/>
      <c r="AZ127" s="948"/>
      <c r="BA127" s="948"/>
      <c r="BB127" s="948"/>
      <c r="BC127" s="948"/>
      <c r="BD127" s="948"/>
      <c r="BE127" s="948"/>
      <c r="BF127" s="948"/>
      <c r="BG127" s="948"/>
      <c r="BH127" s="948"/>
      <c r="BI127" s="948"/>
      <c r="BJ127" s="948"/>
      <c r="BK127" s="948"/>
    </row>
    <row r="128" spans="30:63" s="152" customFormat="1" x14ac:dyDescent="0.25">
      <c r="AD128" s="152" t="s">
        <v>600</v>
      </c>
      <c r="AV128" s="948"/>
      <c r="AW128" s="948"/>
      <c r="AX128" s="948"/>
      <c r="AY128" s="948"/>
      <c r="AZ128" s="948"/>
      <c r="BA128" s="948"/>
      <c r="BB128" s="948"/>
      <c r="BC128" s="948"/>
      <c r="BD128" s="948"/>
      <c r="BE128" s="948"/>
      <c r="BF128" s="948"/>
      <c r="BG128" s="948"/>
      <c r="BH128" s="948"/>
      <c r="BI128" s="948"/>
      <c r="BJ128" s="948"/>
      <c r="BK128" s="948"/>
    </row>
    <row r="129" spans="3:70" s="152" customFormat="1" x14ac:dyDescent="0.25">
      <c r="AD129" s="152" t="s">
        <v>601</v>
      </c>
      <c r="AV129" s="948"/>
      <c r="AW129" s="948"/>
      <c r="AX129" s="948"/>
      <c r="AY129" s="948"/>
      <c r="AZ129" s="948"/>
      <c r="BA129" s="948"/>
      <c r="BB129" s="948"/>
      <c r="BC129" s="948"/>
      <c r="BD129" s="948"/>
      <c r="BE129" s="948"/>
      <c r="BF129" s="948"/>
      <c r="BG129" s="948"/>
      <c r="BH129" s="948"/>
      <c r="BI129" s="948"/>
      <c r="BJ129" s="948"/>
      <c r="BK129" s="948"/>
    </row>
    <row r="130" spans="3:70" s="152" customFormat="1" x14ac:dyDescent="0.25">
      <c r="AV130" s="948"/>
      <c r="AW130" s="948"/>
      <c r="AX130" s="948"/>
      <c r="AY130" s="948"/>
      <c r="AZ130" s="948"/>
      <c r="BA130" s="948"/>
      <c r="BB130" s="948"/>
      <c r="BC130" s="948"/>
      <c r="BD130" s="948"/>
      <c r="BE130" s="948"/>
      <c r="BF130" s="948"/>
      <c r="BG130" s="948"/>
      <c r="BH130" s="948"/>
      <c r="BI130" s="948"/>
      <c r="BJ130" s="948"/>
      <c r="BK130" s="948"/>
    </row>
    <row r="131" spans="3:70" s="152" customFormat="1" x14ac:dyDescent="0.25">
      <c r="AD131" s="1248" t="s">
        <v>490</v>
      </c>
      <c r="AW131" s="948"/>
      <c r="AX131" s="948"/>
      <c r="AY131" s="948"/>
      <c r="AZ131" s="948"/>
      <c r="BA131" s="948"/>
      <c r="BB131" s="948"/>
      <c r="BC131" s="948"/>
      <c r="BD131" s="948"/>
      <c r="BE131" s="948"/>
      <c r="BF131" s="948"/>
      <c r="BG131" s="948"/>
      <c r="BH131" s="948"/>
      <c r="BI131" s="948"/>
      <c r="BJ131" s="948"/>
      <c r="BK131" s="948"/>
    </row>
    <row r="132" spans="3:70" s="152" customFormat="1" hidden="1" x14ac:dyDescent="0.25"/>
    <row r="133" spans="3:70" s="152" customFormat="1" hidden="1" x14ac:dyDescent="0.25"/>
    <row r="134" spans="3:70" s="152" customFormat="1" hidden="1" x14ac:dyDescent="0.25"/>
    <row r="135" spans="3:70" s="152" customFormat="1" hidden="1" x14ac:dyDescent="0.25"/>
    <row r="136" spans="3:70" s="152" customFormat="1" hidden="1" x14ac:dyDescent="0.25"/>
    <row r="137" spans="3:70" s="152" customFormat="1" hidden="1" x14ac:dyDescent="0.25"/>
    <row r="138" spans="3:70" s="152" customFormat="1" hidden="1" x14ac:dyDescent="0.25"/>
    <row r="139" spans="3:70" s="152" customFormat="1" hidden="1" x14ac:dyDescent="0.25"/>
    <row r="140" spans="3:70" s="152" customFormat="1" hidden="1" x14ac:dyDescent="0.25"/>
    <row r="141" spans="3:70" s="152" customFormat="1" hidden="1" x14ac:dyDescent="0.25"/>
    <row r="142" spans="3:70" s="152" customFormat="1" hidden="1" x14ac:dyDescent="0.25"/>
    <row r="143" spans="3:70" hidden="1" x14ac:dyDescent="0.25">
      <c r="C143" t="s">
        <v>131</v>
      </c>
      <c r="AW143" s="152"/>
      <c r="AX143" s="152"/>
      <c r="AY143" s="152"/>
      <c r="AZ143" s="152"/>
      <c r="BA143" s="152"/>
      <c r="BB143" s="152"/>
      <c r="BC143" s="152"/>
      <c r="BD143" s="152"/>
      <c r="BE143" s="152"/>
      <c r="BF143" s="152"/>
      <c r="BG143" s="152"/>
      <c r="BH143" s="152"/>
      <c r="BI143" s="152"/>
      <c r="BJ143" s="152"/>
      <c r="BK143" s="152"/>
    </row>
    <row r="144" spans="3:70" ht="19.5" hidden="1" customHeight="1" x14ac:dyDescent="0.25">
      <c r="AE144" s="237">
        <v>2017</v>
      </c>
      <c r="AF144" s="237">
        <v>2018</v>
      </c>
      <c r="AG144" s="237">
        <v>2019</v>
      </c>
      <c r="AH144" s="237">
        <v>2020</v>
      </c>
      <c r="AI144" s="237">
        <v>2021</v>
      </c>
      <c r="AJ144" s="237">
        <v>2022</v>
      </c>
      <c r="AK144" s="237">
        <v>2023</v>
      </c>
      <c r="AL144" s="237">
        <v>2024</v>
      </c>
      <c r="AM144" s="237">
        <v>2025</v>
      </c>
      <c r="AN144" s="237">
        <v>2026</v>
      </c>
      <c r="AO144" s="237">
        <v>2027</v>
      </c>
      <c r="AP144" s="237">
        <v>2028</v>
      </c>
      <c r="AQ144" s="237">
        <v>2029</v>
      </c>
      <c r="AR144" s="237">
        <v>2030</v>
      </c>
      <c r="AS144" s="280" t="s">
        <v>124</v>
      </c>
      <c r="AT144" t="s">
        <v>156</v>
      </c>
      <c r="AU144" t="s">
        <v>157</v>
      </c>
      <c r="BN144" s="237">
        <v>2017</v>
      </c>
      <c r="BO144" s="237">
        <v>2018</v>
      </c>
      <c r="BP144" s="237">
        <v>2019</v>
      </c>
      <c r="BQ144" s="278">
        <v>2020</v>
      </c>
      <c r="BR144" s="324" t="s">
        <v>124</v>
      </c>
    </row>
    <row r="145" spans="30:70" hidden="1" x14ac:dyDescent="0.25">
      <c r="AD145" t="s">
        <v>125</v>
      </c>
      <c r="AE145" s="238">
        <v>4.0630889999999997</v>
      </c>
      <c r="AF145" s="238">
        <v>4.441408</v>
      </c>
      <c r="AG145" s="238">
        <v>3.6506069999999999</v>
      </c>
      <c r="AH145" s="238">
        <v>3.827369</v>
      </c>
      <c r="AI145" s="238">
        <v>6.879861</v>
      </c>
      <c r="AJ145" s="238">
        <v>7.2997910000000008</v>
      </c>
      <c r="AK145" s="238">
        <v>7.6543890000000001</v>
      </c>
      <c r="AL145" s="238">
        <v>6.3818289999999998</v>
      </c>
      <c r="AM145" s="238">
        <v>6.8949150000000001</v>
      </c>
      <c r="AN145" s="238">
        <v>5.9168000000000003</v>
      </c>
      <c r="AO145" s="238">
        <v>5.7011120000000002</v>
      </c>
      <c r="AP145" s="238">
        <v>5.8453609999999987</v>
      </c>
      <c r="AQ145" s="238">
        <v>6.164892</v>
      </c>
      <c r="AR145" s="238">
        <v>6.3616410000000005</v>
      </c>
      <c r="AS145" s="228">
        <f>SUM(AE145:AR145)</f>
        <v>81.083064000000007</v>
      </c>
      <c r="BG145" s="237">
        <v>2017</v>
      </c>
      <c r="BH145" s="237">
        <v>2018</v>
      </c>
      <c r="BI145" s="237">
        <v>2019</v>
      </c>
      <c r="BJ145" s="278">
        <v>2020</v>
      </c>
      <c r="BK145" s="316" t="s">
        <v>124</v>
      </c>
      <c r="BM145" t="s">
        <v>125</v>
      </c>
      <c r="BN145" s="238">
        <v>4.0630889999999997</v>
      </c>
      <c r="BO145" s="238">
        <v>4.441408</v>
      </c>
      <c r="BP145" s="238">
        <v>3.6506069999999999</v>
      </c>
      <c r="BQ145" s="281">
        <v>3.827369</v>
      </c>
      <c r="BR145" s="324"/>
    </row>
    <row r="146" spans="30:70" ht="20.25" hidden="1" customHeight="1" x14ac:dyDescent="0.25">
      <c r="AD146" t="s">
        <v>135</v>
      </c>
      <c r="AE146" s="249">
        <f t="shared" ref="AE146:AR146" si="19">AE145+AE24</f>
        <v>4.867559482604185</v>
      </c>
      <c r="AF146" s="249">
        <f t="shared" si="19"/>
        <v>5.4518245072992606</v>
      </c>
      <c r="AG146" s="249">
        <f t="shared" si="19"/>
        <v>4.7444529593944091</v>
      </c>
      <c r="AH146" s="249">
        <f t="shared" si="19"/>
        <v>4.994944104411009</v>
      </c>
      <c r="AI146" s="249">
        <f t="shared" si="19"/>
        <v>12.318746095312495</v>
      </c>
      <c r="AJ146" s="249">
        <f t="shared" si="19"/>
        <v>12.58033621884579</v>
      </c>
      <c r="AK146" s="249">
        <f t="shared" si="19"/>
        <v>12.877953154043693</v>
      </c>
      <c r="AL146" s="249">
        <f t="shared" si="19"/>
        <v>10.34472560636074</v>
      </c>
      <c r="AM146" s="249">
        <f t="shared" si="19"/>
        <v>11.363794528953855</v>
      </c>
      <c r="AN146" s="249">
        <f t="shared" si="19"/>
        <v>10.387558226229217</v>
      </c>
      <c r="AO146" s="249">
        <f t="shared" si="19"/>
        <v>10.193761453085955</v>
      </c>
      <c r="AP146" s="249">
        <f t="shared" si="19"/>
        <v>9.9441428126510907</v>
      </c>
      <c r="AQ146" s="249">
        <f t="shared" si="19"/>
        <v>10.384391672822623</v>
      </c>
      <c r="AR146" s="249">
        <f t="shared" si="19"/>
        <v>10.119943861815006</v>
      </c>
      <c r="AS146" s="310">
        <f>SUM(AE146:AR146)</f>
        <v>130.57413468382936</v>
      </c>
      <c r="BF146" t="s">
        <v>125</v>
      </c>
      <c r="BG146" s="238">
        <v>4.0630889999999997</v>
      </c>
      <c r="BH146" s="238">
        <v>4.441408</v>
      </c>
      <c r="BI146" s="238">
        <v>3.6506069999999999</v>
      </c>
      <c r="BJ146" s="281">
        <v>3.827369</v>
      </c>
      <c r="BK146" s="316"/>
      <c r="BM146" t="s">
        <v>135</v>
      </c>
      <c r="BN146" s="249">
        <f>BG147</f>
        <v>4.867559482604185</v>
      </c>
      <c r="BO146" s="249">
        <f>BH147</f>
        <v>5.4518245072992606</v>
      </c>
      <c r="BP146" s="249">
        <f>BI147</f>
        <v>4.7444529593944091</v>
      </c>
      <c r="BQ146" s="249">
        <f>BJ147</f>
        <v>4.994944104411009</v>
      </c>
      <c r="BR146" s="319">
        <v>20</v>
      </c>
    </row>
    <row r="147" spans="30:70" ht="33.75" hidden="1" customHeight="1" x14ac:dyDescent="0.25">
      <c r="AD147" t="s">
        <v>136</v>
      </c>
      <c r="AE147" s="276">
        <v>10</v>
      </c>
      <c r="AF147" s="181">
        <f>AE147-($AE$147-$AR$147)/13</f>
        <v>9.8963846153846156</v>
      </c>
      <c r="AG147" s="181">
        <f t="shared" ref="AG147:AQ147" si="20">AF147-($AE$147-$AR$147)/13</f>
        <v>9.7927692307692311</v>
      </c>
      <c r="AH147" s="181">
        <f t="shared" si="20"/>
        <v>9.6891538461538467</v>
      </c>
      <c r="AI147" s="181">
        <f t="shared" si="20"/>
        <v>9.5855384615384622</v>
      </c>
      <c r="AJ147" s="181">
        <f t="shared" si="20"/>
        <v>9.4819230769230778</v>
      </c>
      <c r="AK147" s="181">
        <f t="shared" si="20"/>
        <v>9.3783076923076933</v>
      </c>
      <c r="AL147" s="181">
        <f t="shared" si="20"/>
        <v>9.2746923076923089</v>
      </c>
      <c r="AM147" s="181">
        <f t="shared" si="20"/>
        <v>9.1710769230769245</v>
      </c>
      <c r="AN147" s="181">
        <f t="shared" si="20"/>
        <v>9.06746153846154</v>
      </c>
      <c r="AO147" s="181">
        <f t="shared" si="20"/>
        <v>8.9638461538461556</v>
      </c>
      <c r="AP147" s="181">
        <f t="shared" si="20"/>
        <v>8.8602307692307711</v>
      </c>
      <c r="AQ147" s="181">
        <f t="shared" si="20"/>
        <v>8.7566153846153867</v>
      </c>
      <c r="AR147" s="277">
        <v>8.6530000000000005</v>
      </c>
      <c r="AS147" s="310">
        <v>130.571</v>
      </c>
      <c r="BF147" t="s">
        <v>135</v>
      </c>
      <c r="BG147" s="249">
        <f>AE146</f>
        <v>4.867559482604185</v>
      </c>
      <c r="BH147" s="249">
        <f>AF146</f>
        <v>5.4518245072992606</v>
      </c>
      <c r="BI147" s="249">
        <f>AG146</f>
        <v>4.7444529593944091</v>
      </c>
      <c r="BJ147" s="249">
        <f>AH146</f>
        <v>4.994944104411009</v>
      </c>
      <c r="BK147" s="319">
        <v>20</v>
      </c>
      <c r="BM147" t="s">
        <v>136</v>
      </c>
      <c r="BN147" s="276">
        <v>10</v>
      </c>
      <c r="BO147" s="181">
        <f>BN147-($AE$147-$AR$147)/13</f>
        <v>9.8963846153846156</v>
      </c>
      <c r="BP147" s="181">
        <f>BO147-($AE$147-$AR$147)/13</f>
        <v>9.7927692307692311</v>
      </c>
      <c r="BQ147" s="181">
        <f>BP147-($AE$147-$AR$147)/13</f>
        <v>9.6891538461538467</v>
      </c>
      <c r="BR147" s="319">
        <f>SUM(BN147:BQ147)</f>
        <v>39.378307692307693</v>
      </c>
    </row>
    <row r="148" spans="30:70" hidden="1" x14ac:dyDescent="0.25">
      <c r="AD148" t="s">
        <v>136</v>
      </c>
      <c r="AE148" s="260">
        <v>13.653</v>
      </c>
      <c r="AF148" s="200">
        <f>AE148-($AE$148-$AR$148)/13</f>
        <v>12.987384615384617</v>
      </c>
      <c r="AG148" s="200">
        <f t="shared" ref="AG148:AQ148" si="21">AF148-($AE$148-$AR$148)/13</f>
        <v>12.321769230769233</v>
      </c>
      <c r="AH148" s="200">
        <f t="shared" si="21"/>
        <v>11.656153846153849</v>
      </c>
      <c r="AI148" s="200">
        <f t="shared" si="21"/>
        <v>10.990538461538465</v>
      </c>
      <c r="AJ148" s="200">
        <f t="shared" si="21"/>
        <v>10.324923076923081</v>
      </c>
      <c r="AK148" s="200">
        <f t="shared" si="21"/>
        <v>9.6593076923076975</v>
      </c>
      <c r="AL148" s="200">
        <f t="shared" si="21"/>
        <v>8.9936923076923136</v>
      </c>
      <c r="AM148" s="200">
        <f t="shared" si="21"/>
        <v>8.3280769230769298</v>
      </c>
      <c r="AN148" s="200">
        <f t="shared" si="21"/>
        <v>7.6624615384615451</v>
      </c>
      <c r="AO148" s="200">
        <f t="shared" si="21"/>
        <v>6.9968461538461604</v>
      </c>
      <c r="AP148" s="200">
        <f t="shared" si="21"/>
        <v>6.3312307692307757</v>
      </c>
      <c r="AQ148" s="200">
        <f t="shared" si="21"/>
        <v>5.6656153846153909</v>
      </c>
      <c r="AR148" s="248">
        <v>5</v>
      </c>
      <c r="AS148" s="311">
        <f>SUM(AE148:AR148)</f>
        <v>130.57100000000005</v>
      </c>
      <c r="BF148" t="s">
        <v>136</v>
      </c>
      <c r="BG148" s="276">
        <v>10</v>
      </c>
      <c r="BH148" s="181">
        <f>BG148-($AE$147-$AR$147)/13</f>
        <v>9.8963846153846156</v>
      </c>
      <c r="BI148" s="181">
        <f>BH148-($AE$147-$AR$147)/13</f>
        <v>9.7927692307692311</v>
      </c>
      <c r="BJ148" s="181">
        <f>BI148-($AE$147-$AR$147)/13</f>
        <v>9.6891538461538467</v>
      </c>
      <c r="BK148" s="319">
        <f t="shared" ref="BK148:BK154" si="22">SUM(BG148:BJ148)</f>
        <v>39.378307692307693</v>
      </c>
      <c r="BM148" t="s">
        <v>136</v>
      </c>
      <c r="BN148" s="260">
        <v>13.653</v>
      </c>
      <c r="BO148" s="200">
        <f>BN148-($AE$148-$AR$148)/13</f>
        <v>12.987384615384617</v>
      </c>
      <c r="BP148" s="200">
        <f>BO148-($AE$148-$AR$148)/13</f>
        <v>12.321769230769233</v>
      </c>
      <c r="BQ148" s="200">
        <f>BP148-($AE$148-$AR$148)/13</f>
        <v>11.656153846153849</v>
      </c>
      <c r="BR148" s="319">
        <f>SUM(BN148:BQ148)</f>
        <v>50.618307692307702</v>
      </c>
    </row>
    <row r="149" spans="30:70" hidden="1" x14ac:dyDescent="0.25">
      <c r="AD149" s="242" t="s">
        <v>126</v>
      </c>
      <c r="AE149" s="254">
        <v>9.33</v>
      </c>
      <c r="AF149" s="255">
        <f t="shared" ref="AF149:AQ149" si="23">AE149-($AE$87-$AR$87)/13</f>
        <v>9.33</v>
      </c>
      <c r="AG149" s="255">
        <f t="shared" si="23"/>
        <v>9.33</v>
      </c>
      <c r="AH149" s="255">
        <f t="shared" si="23"/>
        <v>9.33</v>
      </c>
      <c r="AI149" s="255">
        <f t="shared" si="23"/>
        <v>9.33</v>
      </c>
      <c r="AJ149" s="255">
        <f t="shared" si="23"/>
        <v>9.33</v>
      </c>
      <c r="AK149" s="255">
        <f t="shared" si="23"/>
        <v>9.33</v>
      </c>
      <c r="AL149" s="255">
        <f t="shared" si="23"/>
        <v>9.33</v>
      </c>
      <c r="AM149" s="255">
        <f t="shared" si="23"/>
        <v>9.33</v>
      </c>
      <c r="AN149" s="255">
        <f t="shared" si="23"/>
        <v>9.33</v>
      </c>
      <c r="AO149" s="255">
        <f t="shared" si="23"/>
        <v>9.33</v>
      </c>
      <c r="AP149" s="255">
        <f t="shared" si="23"/>
        <v>9.33</v>
      </c>
      <c r="AQ149" s="255">
        <f t="shared" si="23"/>
        <v>9.33</v>
      </c>
      <c r="AR149" s="245">
        <v>9</v>
      </c>
      <c r="AS149" s="246">
        <f>SUM(AE149:AR149)</f>
        <v>130.29</v>
      </c>
      <c r="BF149" t="s">
        <v>136</v>
      </c>
      <c r="BG149" s="260">
        <v>13.653</v>
      </c>
      <c r="BH149" s="200">
        <f>BG149-($AE$148-$AR$148)/13</f>
        <v>12.987384615384617</v>
      </c>
      <c r="BI149" s="200">
        <f>BH149-($AE$148-$AR$148)/13</f>
        <v>12.321769230769233</v>
      </c>
      <c r="BJ149" s="200">
        <f>BI149-($AE$148-$AR$148)/13</f>
        <v>11.656153846153849</v>
      </c>
      <c r="BK149" s="319">
        <f t="shared" si="22"/>
        <v>50.618307692307702</v>
      </c>
      <c r="BM149" s="242" t="s">
        <v>126</v>
      </c>
      <c r="BN149" s="254">
        <v>9.33</v>
      </c>
      <c r="BO149" s="255">
        <f>BN149-($AE$87-$AR$87)/13</f>
        <v>9.33</v>
      </c>
      <c r="BP149" s="255">
        <f>BO149-($AE$87-$AR$87)/13</f>
        <v>9.33</v>
      </c>
      <c r="BQ149" s="255">
        <f>BP149-($AE$87-$AR$87)/13</f>
        <v>9.33</v>
      </c>
      <c r="BR149" s="319">
        <f>SUM(BN149:BQ149)</f>
        <v>37.32</v>
      </c>
    </row>
    <row r="150" spans="30:70" hidden="1" x14ac:dyDescent="0.25">
      <c r="AD150" s="262" t="s">
        <v>141</v>
      </c>
      <c r="AE150" s="263">
        <f>AE26</f>
        <v>3.5350764774163799</v>
      </c>
      <c r="AF150" s="264">
        <f>AE150*AF147/AE147</f>
        <v>3.49844764653115</v>
      </c>
      <c r="AG150" s="264">
        <f t="shared" ref="AG150:AR150" si="24">AF150*AG147/AF147</f>
        <v>3.4618188156459206</v>
      </c>
      <c r="AH150" s="264">
        <f t="shared" si="24"/>
        <v>3.4251899847606913</v>
      </c>
      <c r="AI150" s="264">
        <f t="shared" si="24"/>
        <v>3.3885611538754619</v>
      </c>
      <c r="AJ150" s="264">
        <f t="shared" si="24"/>
        <v>3.351932322990232</v>
      </c>
      <c r="AK150" s="264">
        <f t="shared" si="24"/>
        <v>3.3153034921050026</v>
      </c>
      <c r="AL150" s="264">
        <f t="shared" si="24"/>
        <v>3.2786746612197728</v>
      </c>
      <c r="AM150" s="264">
        <f t="shared" si="24"/>
        <v>3.2420458303345434</v>
      </c>
      <c r="AN150" s="264">
        <f t="shared" si="24"/>
        <v>3.2054169994493136</v>
      </c>
      <c r="AO150" s="264">
        <f t="shared" si="24"/>
        <v>3.1687881685640837</v>
      </c>
      <c r="AP150" s="264">
        <f t="shared" si="24"/>
        <v>3.1321593376788539</v>
      </c>
      <c r="AQ150" s="264">
        <f t="shared" si="24"/>
        <v>3.0955305067936241</v>
      </c>
      <c r="AR150" s="264">
        <f t="shared" si="24"/>
        <v>3.0589016759083938</v>
      </c>
      <c r="AS150" s="312"/>
      <c r="BF150" s="242" t="s">
        <v>126</v>
      </c>
      <c r="BG150" s="254">
        <v>9.33</v>
      </c>
      <c r="BH150" s="255">
        <f>BG150-($AE$87-$AR$87)/13</f>
        <v>9.33</v>
      </c>
      <c r="BI150" s="255">
        <f>BH150-($AE$87-$AR$87)/13</f>
        <v>9.33</v>
      </c>
      <c r="BJ150" s="255">
        <f>BI150-($AE$87-$AR$87)/13</f>
        <v>9.33</v>
      </c>
      <c r="BK150" s="319">
        <f t="shared" si="22"/>
        <v>37.32</v>
      </c>
      <c r="BM150" s="262" t="s">
        <v>141</v>
      </c>
      <c r="BN150" s="263">
        <f>BN26</f>
        <v>0</v>
      </c>
      <c r="BO150" s="264">
        <f>BN150*BO147/BN147</f>
        <v>0</v>
      </c>
      <c r="BP150" s="264">
        <f>BO150*BP147/BO147</f>
        <v>0</v>
      </c>
      <c r="BQ150" s="264">
        <f>BP150*BQ147/BP147</f>
        <v>0</v>
      </c>
      <c r="BR150" s="319">
        <f>SUM(BN150:BQ150)</f>
        <v>0</v>
      </c>
    </row>
    <row r="151" spans="30:70" ht="40.5" hidden="1" customHeight="1" x14ac:dyDescent="0.25">
      <c r="AD151" t="s">
        <v>158</v>
      </c>
      <c r="AE151" s="263">
        <f>AVERAGE($AE147:$AR147)</f>
        <v>9.3264999999999993</v>
      </c>
      <c r="AF151" s="263">
        <f t="shared" ref="AF151:AR151" si="25">AVERAGE($AE147:$AR147)</f>
        <v>9.3264999999999993</v>
      </c>
      <c r="AG151" s="263">
        <f t="shared" si="25"/>
        <v>9.3264999999999993</v>
      </c>
      <c r="AH151" s="263">
        <f t="shared" si="25"/>
        <v>9.3264999999999993</v>
      </c>
      <c r="AI151" s="263">
        <f t="shared" si="25"/>
        <v>9.3264999999999993</v>
      </c>
      <c r="AJ151" s="263">
        <f t="shared" si="25"/>
        <v>9.3264999999999993</v>
      </c>
      <c r="AK151" s="263">
        <f t="shared" si="25"/>
        <v>9.3264999999999993</v>
      </c>
      <c r="AL151" s="263">
        <f t="shared" si="25"/>
        <v>9.3264999999999993</v>
      </c>
      <c r="AM151" s="263">
        <f t="shared" si="25"/>
        <v>9.3264999999999993</v>
      </c>
      <c r="AN151" s="263">
        <f t="shared" si="25"/>
        <v>9.3264999999999993</v>
      </c>
      <c r="AO151" s="263">
        <f t="shared" si="25"/>
        <v>9.3264999999999993</v>
      </c>
      <c r="AP151" s="263">
        <f t="shared" si="25"/>
        <v>9.3264999999999993</v>
      </c>
      <c r="AQ151" s="263">
        <f t="shared" si="25"/>
        <v>9.3264999999999993</v>
      </c>
      <c r="AR151" s="263">
        <f t="shared" si="25"/>
        <v>9.3264999999999993</v>
      </c>
      <c r="AS151" s="310">
        <v>130.571</v>
      </c>
      <c r="BF151" s="262" t="s">
        <v>141</v>
      </c>
      <c r="BG151" s="263">
        <f>BG26</f>
        <v>0</v>
      </c>
      <c r="BH151" s="264">
        <f>BG151*BH148/BG148</f>
        <v>0</v>
      </c>
      <c r="BI151" s="264">
        <f>BH151*BI148/BH148</f>
        <v>0</v>
      </c>
      <c r="BJ151" s="264">
        <f>BI151*BJ148/BI148</f>
        <v>0</v>
      </c>
      <c r="BK151" s="319">
        <f t="shared" si="22"/>
        <v>0</v>
      </c>
      <c r="BM151" t="s">
        <v>158</v>
      </c>
      <c r="BN151" s="263">
        <f>AVERAGE($AE147:$AR147)</f>
        <v>9.3264999999999993</v>
      </c>
      <c r="BO151" s="263">
        <f>AVERAGE($AE147:$AR147)</f>
        <v>9.3264999999999993</v>
      </c>
      <c r="BP151" s="263">
        <f>AVERAGE($AE147:$AR147)</f>
        <v>9.3264999999999993</v>
      </c>
      <c r="BQ151" s="263">
        <f>AVERAGE($AE147:$AR147)</f>
        <v>9.3264999999999993</v>
      </c>
      <c r="BR151" s="319">
        <f>SUM(BN151:BQ151)</f>
        <v>37.305999999999997</v>
      </c>
    </row>
    <row r="152" spans="30:70" ht="28.5" hidden="1" customHeight="1" x14ac:dyDescent="0.25">
      <c r="AD152" t="s">
        <v>159</v>
      </c>
      <c r="AE152" s="263">
        <f>AVERAGE($AE146:$AH146)</f>
        <v>5.0146952634272157</v>
      </c>
      <c r="AF152" s="263">
        <f>AVERAGE($AE146:$AH146)</f>
        <v>5.0146952634272157</v>
      </c>
      <c r="AG152" s="263">
        <f>AVERAGE($AE146:$AH146)</f>
        <v>5.0146952634272157</v>
      </c>
      <c r="AH152" s="263">
        <f>AVERAGE($AE146:$AH146)</f>
        <v>5.0146952634272157</v>
      </c>
      <c r="AI152" s="263"/>
      <c r="AJ152" s="263"/>
      <c r="AK152" s="263"/>
      <c r="AL152" s="263"/>
      <c r="AM152" s="263"/>
      <c r="AN152" s="263"/>
      <c r="AO152" s="263"/>
      <c r="AP152" s="263"/>
      <c r="AQ152" s="263"/>
      <c r="AR152" s="263"/>
      <c r="AS152" s="313"/>
      <c r="BF152" t="s">
        <v>158</v>
      </c>
      <c r="BG152" s="263">
        <f>AVERAGE($AE147:$AR147)</f>
        <v>9.3264999999999993</v>
      </c>
      <c r="BH152" s="263">
        <f>AVERAGE($AE147:$AR147)</f>
        <v>9.3264999999999993</v>
      </c>
      <c r="BI152" s="263">
        <f>AVERAGE($AE147:$AR147)</f>
        <v>9.3264999999999993</v>
      </c>
      <c r="BJ152" s="263">
        <f>AVERAGE($AE147:$AR147)</f>
        <v>9.3264999999999993</v>
      </c>
      <c r="BK152" s="319">
        <f t="shared" si="22"/>
        <v>37.305999999999997</v>
      </c>
      <c r="BM152" t="s">
        <v>159</v>
      </c>
      <c r="BN152" s="263">
        <f>AVERAGE($AE146:$AH146)</f>
        <v>5.0146952634272157</v>
      </c>
      <c r="BO152" s="263">
        <f>AVERAGE($AE146:$AH146)</f>
        <v>5.0146952634272157</v>
      </c>
      <c r="BP152" s="263">
        <f>AVERAGE($AE146:$AH146)</f>
        <v>5.0146952634272157</v>
      </c>
      <c r="BQ152" s="263">
        <f>AVERAGE($AE146:$AH146)</f>
        <v>5.0146952634272157</v>
      </c>
      <c r="BR152" s="319">
        <v>20</v>
      </c>
    </row>
    <row r="153" spans="30:70" ht="27.75" hidden="1" customHeight="1" x14ac:dyDescent="0.25">
      <c r="AD153" s="247">
        <f>SUM(AE153:AH153)</f>
        <v>19.31952663859883</v>
      </c>
      <c r="AE153" s="247">
        <f>AE147-AE146</f>
        <v>5.132440517395815</v>
      </c>
      <c r="AF153" s="247">
        <f>AF147-AF146</f>
        <v>4.444560108085355</v>
      </c>
      <c r="AG153" s="247">
        <f>AG147-AG146</f>
        <v>5.048316271374822</v>
      </c>
      <c r="AH153" s="247">
        <f>AH147-AH146</f>
        <v>4.6942097417428377</v>
      </c>
      <c r="BF153" t="s">
        <v>159</v>
      </c>
      <c r="BG153" s="263">
        <f>AVERAGE($AE146:$AH146)</f>
        <v>5.0146952634272157</v>
      </c>
      <c r="BH153" s="263">
        <f>AVERAGE($AE146:$AH146)</f>
        <v>5.0146952634272157</v>
      </c>
      <c r="BI153" s="263">
        <f>AVERAGE($AE146:$AH146)</f>
        <v>5.0146952634272157</v>
      </c>
      <c r="BJ153" s="263">
        <f>AVERAGE($AE146:$AH146)</f>
        <v>5.0146952634272157</v>
      </c>
      <c r="BK153" s="319">
        <v>20</v>
      </c>
      <c r="BM153" t="s">
        <v>162</v>
      </c>
      <c r="BN153" s="235">
        <v>10</v>
      </c>
      <c r="BO153" s="235">
        <v>10</v>
      </c>
      <c r="BP153" s="235">
        <v>10</v>
      </c>
      <c r="BQ153" s="235">
        <v>10</v>
      </c>
      <c r="BR153" s="319">
        <f>SUM(BN153:BQ153)</f>
        <v>40</v>
      </c>
    </row>
    <row r="154" spans="30:70" hidden="1" x14ac:dyDescent="0.25">
      <c r="AD154" s="247" t="s">
        <v>155</v>
      </c>
      <c r="AE154" s="247"/>
      <c r="AF154" s="308">
        <f>(AE147-AF147)/AE147</f>
        <v>1.0361538461538445E-2</v>
      </c>
      <c r="AG154" s="308">
        <f t="shared" ref="AG154:AR154" si="26">(AF147-AG147)/AF147</f>
        <v>1.0470024018095169E-2</v>
      </c>
      <c r="AH154" s="308">
        <f t="shared" si="26"/>
        <v>1.0580805303756286E-2</v>
      </c>
      <c r="AI154" s="308">
        <f t="shared" si="26"/>
        <v>1.0693955969799678E-2</v>
      </c>
      <c r="AJ154" s="308">
        <f t="shared" si="26"/>
        <v>1.0809552852052753E-2</v>
      </c>
      <c r="AK154" s="308">
        <f t="shared" si="26"/>
        <v>1.0927676144891069E-2</v>
      </c>
      <c r="AL154" s="308">
        <f t="shared" si="26"/>
        <v>1.1048409586771417E-2</v>
      </c>
      <c r="AM154" s="308">
        <f t="shared" si="26"/>
        <v>1.1171840658201372E-2</v>
      </c>
      <c r="AN154" s="308">
        <f t="shared" si="26"/>
        <v>1.1298060793128879E-2</v>
      </c>
      <c r="AO154" s="308">
        <f t="shared" si="26"/>
        <v>1.1427165604825347E-2</v>
      </c>
      <c r="AP154" s="308">
        <f t="shared" si="26"/>
        <v>1.1559255127434973E-2</v>
      </c>
      <c r="AQ154" s="308">
        <f t="shared" si="26"/>
        <v>1.1694434074472774E-2</v>
      </c>
      <c r="AR154" s="308">
        <f t="shared" si="26"/>
        <v>1.1832812115675361E-2</v>
      </c>
      <c r="AT154" s="308">
        <f>(AE147-AR147)/AE147</f>
        <v>0.13469999999999996</v>
      </c>
      <c r="AU154" s="309">
        <f>AT154/13</f>
        <v>1.0361538461538458E-2</v>
      </c>
      <c r="BF154" t="s">
        <v>162</v>
      </c>
      <c r="BG154" s="235">
        <v>7.5</v>
      </c>
      <c r="BH154" s="235">
        <v>7.5</v>
      </c>
      <c r="BI154" s="235">
        <v>7.5</v>
      </c>
      <c r="BJ154" s="235">
        <v>7.5</v>
      </c>
      <c r="BK154" s="319">
        <f t="shared" si="22"/>
        <v>30</v>
      </c>
    </row>
    <row r="155" spans="30:70" s="273" customFormat="1" hidden="1" x14ac:dyDescent="0.25">
      <c r="AE155" s="249"/>
      <c r="AF155" s="249"/>
      <c r="AG155" s="249"/>
      <c r="AH155" s="249"/>
      <c r="AI155" s="249"/>
      <c r="AJ155" s="249"/>
      <c r="AK155" s="249"/>
      <c r="AL155" s="249"/>
      <c r="AM155" s="249"/>
      <c r="AN155" s="249"/>
      <c r="AO155" s="249"/>
      <c r="AP155" s="249"/>
      <c r="AQ155" s="249"/>
      <c r="AR155" s="274"/>
      <c r="AS155" s="27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</row>
    <row r="156" spans="30:70" hidden="1" x14ac:dyDescent="0.25">
      <c r="AW156" s="273"/>
      <c r="AX156" s="273"/>
      <c r="AY156" s="273"/>
      <c r="AZ156" s="273"/>
      <c r="BA156" s="273"/>
      <c r="BB156" s="273"/>
      <c r="BC156" s="273"/>
      <c r="BD156" s="273"/>
      <c r="BE156" s="273"/>
      <c r="BF156" s="273"/>
      <c r="BG156" s="273"/>
      <c r="BH156" s="273"/>
      <c r="BI156" s="273"/>
      <c r="BJ156" s="273"/>
      <c r="BK156" s="273"/>
    </row>
    <row r="157" spans="30:70" hidden="1" x14ac:dyDescent="0.25"/>
    <row r="158" spans="30:70" hidden="1" x14ac:dyDescent="0.25"/>
    <row r="159" spans="30:70" hidden="1" x14ac:dyDescent="0.25"/>
    <row r="160" spans="30:70" hidden="1" x14ac:dyDescent="0.25"/>
    <row r="161" spans="3:63" hidden="1" x14ac:dyDescent="0.25"/>
    <row r="162" spans="3:63" hidden="1" x14ac:dyDescent="0.25"/>
    <row r="163" spans="3:63" hidden="1" x14ac:dyDescent="0.25"/>
    <row r="164" spans="3:63" hidden="1" x14ac:dyDescent="0.25"/>
    <row r="165" spans="3:63" hidden="1" x14ac:dyDescent="0.25"/>
    <row r="166" spans="3:63" hidden="1" x14ac:dyDescent="0.25"/>
    <row r="167" spans="3:63" hidden="1" x14ac:dyDescent="0.25"/>
    <row r="168" spans="3:63" hidden="1" x14ac:dyDescent="0.25"/>
    <row r="169" spans="3:63" hidden="1" x14ac:dyDescent="0.25"/>
    <row r="170" spans="3:63" hidden="1" x14ac:dyDescent="0.25"/>
    <row r="171" spans="3:63" hidden="1" x14ac:dyDescent="0.25"/>
    <row r="172" spans="3:63" hidden="1" x14ac:dyDescent="0.25"/>
    <row r="173" spans="3:63" hidden="1" x14ac:dyDescent="0.25"/>
    <row r="174" spans="3:63" hidden="1" x14ac:dyDescent="0.25"/>
    <row r="175" spans="3:63" s="256" customFormat="1" hidden="1" x14ac:dyDescent="0.25"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</row>
    <row r="176" spans="3:63" hidden="1" x14ac:dyDescent="0.25">
      <c r="C176" t="s">
        <v>132</v>
      </c>
      <c r="AW176" s="256"/>
      <c r="AX176" s="256"/>
      <c r="AY176" s="256"/>
      <c r="AZ176" s="256"/>
      <c r="BA176" s="256"/>
      <c r="BB176" s="256"/>
      <c r="BC176" s="256"/>
      <c r="BD176" s="256"/>
      <c r="BE176" s="256"/>
      <c r="BF176" s="256"/>
      <c r="BG176" s="256"/>
      <c r="BH176" s="256"/>
      <c r="BI176" s="256"/>
      <c r="BJ176" s="256"/>
      <c r="BK176" s="256"/>
    </row>
    <row r="177" spans="3:63" hidden="1" x14ac:dyDescent="0.25">
      <c r="AE177" s="258">
        <v>2017</v>
      </c>
      <c r="AF177" s="237">
        <v>2018</v>
      </c>
      <c r="AG177" s="237">
        <v>2019</v>
      </c>
      <c r="AH177" s="237">
        <v>2020</v>
      </c>
      <c r="AI177" s="237">
        <v>2021</v>
      </c>
      <c r="AJ177" s="237">
        <v>2022</v>
      </c>
      <c r="AK177" s="237">
        <v>2023</v>
      </c>
      <c r="AL177" s="237">
        <v>2024</v>
      </c>
      <c r="AM177" s="237">
        <v>2025</v>
      </c>
      <c r="AN177" s="237">
        <v>2026</v>
      </c>
      <c r="AO177" s="237">
        <v>2027</v>
      </c>
      <c r="AP177" s="237">
        <v>2028</v>
      </c>
      <c r="AQ177" s="237">
        <v>2029</v>
      </c>
      <c r="AR177" s="237">
        <v>2030</v>
      </c>
      <c r="AS177" s="280" t="s">
        <v>124</v>
      </c>
    </row>
    <row r="178" spans="3:63" hidden="1" x14ac:dyDescent="0.25">
      <c r="AD178" t="s">
        <v>138</v>
      </c>
      <c r="AE178" s="249">
        <f t="shared" ref="AE178:AR178" si="27">AE35+AE36</f>
        <v>7.3050764774163799</v>
      </c>
      <c r="AF178" s="249">
        <f t="shared" si="27"/>
        <v>7.9550764774163802</v>
      </c>
      <c r="AG178" s="249">
        <f t="shared" si="27"/>
        <v>8.1650764774163793</v>
      </c>
      <c r="AH178" s="249">
        <f t="shared" si="27"/>
        <v>8.1450764774163797</v>
      </c>
      <c r="AI178" s="249">
        <f t="shared" si="27"/>
        <v>10.855076477416381</v>
      </c>
      <c r="AJ178" s="249">
        <f t="shared" si="27"/>
        <v>10.94507647741638</v>
      </c>
      <c r="AK178" s="249">
        <f t="shared" si="27"/>
        <v>11.245076477416379</v>
      </c>
      <c r="AL178" s="249">
        <f t="shared" si="27"/>
        <v>10.89507647741638</v>
      </c>
      <c r="AM178" s="249">
        <f t="shared" si="27"/>
        <v>10.72507647741638</v>
      </c>
      <c r="AN178" s="249">
        <f t="shared" si="27"/>
        <v>9.8550764774163806</v>
      </c>
      <c r="AO178" s="249">
        <f t="shared" si="27"/>
        <v>10.47507647741638</v>
      </c>
      <c r="AP178" s="249">
        <f t="shared" si="27"/>
        <v>10.55507647741638</v>
      </c>
      <c r="AQ178" s="249">
        <f t="shared" si="27"/>
        <v>11.175076477416379</v>
      </c>
      <c r="AR178" s="249">
        <f t="shared" si="27"/>
        <v>11.515076477416381</v>
      </c>
      <c r="AS178" s="228">
        <f>SUM(AE178:AR178)</f>
        <v>139.81107068382931</v>
      </c>
    </row>
    <row r="179" spans="3:63" ht="27" hidden="1" customHeight="1" x14ac:dyDescent="0.25">
      <c r="AD179" t="s">
        <v>139</v>
      </c>
      <c r="AE179" s="259">
        <f>14</f>
        <v>14</v>
      </c>
      <c r="AF179" s="249">
        <f t="shared" ref="AF179:AR179" si="28">AF178+AF165</f>
        <v>7.9550764774163802</v>
      </c>
      <c r="AG179" s="249">
        <f t="shared" si="28"/>
        <v>8.1650764774163793</v>
      </c>
      <c r="AH179" s="249">
        <f t="shared" si="28"/>
        <v>8.1450764774163797</v>
      </c>
      <c r="AI179" s="249">
        <f t="shared" si="28"/>
        <v>10.855076477416381</v>
      </c>
      <c r="AJ179" s="249">
        <f t="shared" si="28"/>
        <v>10.94507647741638</v>
      </c>
      <c r="AK179" s="249">
        <f t="shared" si="28"/>
        <v>11.245076477416379</v>
      </c>
      <c r="AL179" s="249">
        <f t="shared" si="28"/>
        <v>10.89507647741638</v>
      </c>
      <c r="AM179" s="249">
        <f t="shared" si="28"/>
        <v>10.72507647741638</v>
      </c>
      <c r="AN179" s="249">
        <f t="shared" si="28"/>
        <v>9.8550764774163806</v>
      </c>
      <c r="AO179" s="249">
        <f t="shared" si="28"/>
        <v>10.47507647741638</v>
      </c>
      <c r="AP179" s="249">
        <f t="shared" si="28"/>
        <v>10.55507647741638</v>
      </c>
      <c r="AQ179" s="249">
        <f t="shared" si="28"/>
        <v>11.175076477416379</v>
      </c>
      <c r="AR179" s="249">
        <f t="shared" si="28"/>
        <v>11.515076477416381</v>
      </c>
      <c r="AS179" s="228">
        <f>SUM(AE179:AR179)</f>
        <v>146.50599420641294</v>
      </c>
    </row>
    <row r="180" spans="3:63" hidden="1" x14ac:dyDescent="0.25">
      <c r="AD180" s="262" t="s">
        <v>141</v>
      </c>
      <c r="AE180" s="263">
        <f>AE36</f>
        <v>3.5350764774163799</v>
      </c>
      <c r="AF180" s="264">
        <f>AE180*AF177/AE177</f>
        <v>3.5368291182083564</v>
      </c>
      <c r="AG180" s="264">
        <f t="shared" ref="AG180:AR180" si="29">AF180*AG177/AF177</f>
        <v>3.538581759000333</v>
      </c>
      <c r="AH180" s="264">
        <f t="shared" si="29"/>
        <v>3.5403343997923091</v>
      </c>
      <c r="AI180" s="264">
        <f t="shared" si="29"/>
        <v>3.5420870405842857</v>
      </c>
      <c r="AJ180" s="264">
        <f t="shared" si="29"/>
        <v>3.5438396813762618</v>
      </c>
      <c r="AK180" s="264">
        <f t="shared" si="29"/>
        <v>3.5455923221682379</v>
      </c>
      <c r="AL180" s="264">
        <f t="shared" si="29"/>
        <v>3.5473449629602141</v>
      </c>
      <c r="AM180" s="264">
        <f t="shared" si="29"/>
        <v>3.5490976037521902</v>
      </c>
      <c r="AN180" s="264">
        <f t="shared" si="29"/>
        <v>3.5508502445441668</v>
      </c>
      <c r="AO180" s="264">
        <f t="shared" si="29"/>
        <v>3.5526028853361429</v>
      </c>
      <c r="AP180" s="264">
        <f t="shared" si="29"/>
        <v>3.5543555261281194</v>
      </c>
      <c r="AQ180" s="264">
        <f t="shared" si="29"/>
        <v>3.556108166920096</v>
      </c>
      <c r="AR180" s="264">
        <f t="shared" si="29"/>
        <v>3.5578608077120726</v>
      </c>
    </row>
    <row r="181" spans="3:63" hidden="1" x14ac:dyDescent="0.25"/>
    <row r="182" spans="3:63" hidden="1" x14ac:dyDescent="0.25"/>
    <row r="183" spans="3:63" s="256" customFormat="1" hidden="1" x14ac:dyDescent="0.25"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</row>
    <row r="184" spans="3:63" hidden="1" x14ac:dyDescent="0.25">
      <c r="C184" t="s">
        <v>133</v>
      </c>
      <c r="AF184" s="301">
        <f>AF179/AE179-1</f>
        <v>-0.43178025161311573</v>
      </c>
      <c r="AG184" s="301">
        <f>AG179/AF179-1</f>
        <v>2.6398237728595841E-2</v>
      </c>
      <c r="AH184" s="301">
        <f>AH179/AG179-1</f>
        <v>-2.4494565427913839E-3</v>
      </c>
      <c r="AW184" s="256"/>
      <c r="AX184" s="256"/>
      <c r="AY184" s="256"/>
      <c r="AZ184" s="256"/>
      <c r="BA184" s="256"/>
      <c r="BB184" s="256"/>
      <c r="BC184" s="256"/>
      <c r="BD184" s="256"/>
      <c r="BE184" s="256"/>
      <c r="BF184" s="256"/>
      <c r="BG184" s="256"/>
      <c r="BH184" s="256"/>
      <c r="BI184" s="256"/>
      <c r="BJ184" s="256"/>
      <c r="BK184" s="256"/>
    </row>
    <row r="185" spans="3:63" hidden="1" x14ac:dyDescent="0.25">
      <c r="AE185" s="258">
        <v>2017</v>
      </c>
      <c r="AF185" s="237">
        <v>2018</v>
      </c>
      <c r="AG185" s="237">
        <v>2019</v>
      </c>
      <c r="AH185" s="237">
        <v>2020</v>
      </c>
      <c r="AI185" s="237">
        <v>2021</v>
      </c>
      <c r="AJ185" s="237">
        <v>2022</v>
      </c>
      <c r="AK185" s="237">
        <v>2023</v>
      </c>
      <c r="AL185" s="237">
        <v>2024</v>
      </c>
      <c r="AM185" s="237">
        <v>2025</v>
      </c>
      <c r="AN185" s="237">
        <v>2026</v>
      </c>
      <c r="AO185" s="237">
        <v>2027</v>
      </c>
      <c r="AP185" s="237">
        <v>2028</v>
      </c>
      <c r="AQ185" s="237">
        <v>2029</v>
      </c>
      <c r="AR185" s="278">
        <v>2030</v>
      </c>
      <c r="AS185" s="280" t="s">
        <v>124</v>
      </c>
    </row>
    <row r="186" spans="3:63" hidden="1" x14ac:dyDescent="0.25">
      <c r="AD186" t="s">
        <v>138</v>
      </c>
      <c r="AE186" s="257">
        <f t="shared" ref="AE186:AR186" si="30">AE35+AE36</f>
        <v>7.3050764774163799</v>
      </c>
      <c r="AF186" s="257">
        <f t="shared" si="30"/>
        <v>7.9550764774163802</v>
      </c>
      <c r="AG186" s="257">
        <f t="shared" si="30"/>
        <v>8.1650764774163793</v>
      </c>
      <c r="AH186" s="257">
        <f t="shared" si="30"/>
        <v>8.1450764774163797</v>
      </c>
      <c r="AI186" s="257">
        <f t="shared" si="30"/>
        <v>10.855076477416381</v>
      </c>
      <c r="AJ186" s="257">
        <f t="shared" si="30"/>
        <v>10.94507647741638</v>
      </c>
      <c r="AK186" s="257">
        <f t="shared" si="30"/>
        <v>11.245076477416379</v>
      </c>
      <c r="AL186" s="257">
        <f t="shared" si="30"/>
        <v>10.89507647741638</v>
      </c>
      <c r="AM186" s="257">
        <f t="shared" si="30"/>
        <v>10.72507647741638</v>
      </c>
      <c r="AN186" s="257">
        <f t="shared" si="30"/>
        <v>9.8550764774163806</v>
      </c>
      <c r="AO186" s="257">
        <f t="shared" si="30"/>
        <v>10.47507647741638</v>
      </c>
      <c r="AP186" s="257">
        <f t="shared" si="30"/>
        <v>10.55507647741638</v>
      </c>
      <c r="AQ186" s="257">
        <f t="shared" si="30"/>
        <v>11.175076477416379</v>
      </c>
      <c r="AR186" s="279">
        <f t="shared" si="30"/>
        <v>11.515076477416381</v>
      </c>
      <c r="AS186" s="228">
        <f>SUM(AE186:AR186)</f>
        <v>139.81107068382931</v>
      </c>
    </row>
    <row r="187" spans="3:63" hidden="1" x14ac:dyDescent="0.25">
      <c r="AD187" t="s">
        <v>140</v>
      </c>
      <c r="AE187" s="259">
        <v>10</v>
      </c>
      <c r="AF187" s="249">
        <f t="shared" ref="AF187:AR187" si="31">AF186+AF173</f>
        <v>7.9550764774163802</v>
      </c>
      <c r="AG187" s="249">
        <f t="shared" si="31"/>
        <v>8.1650764774163793</v>
      </c>
      <c r="AH187" s="249">
        <f t="shared" si="31"/>
        <v>8.1450764774163797</v>
      </c>
      <c r="AI187" s="249">
        <f t="shared" si="31"/>
        <v>10.855076477416381</v>
      </c>
      <c r="AJ187" s="249">
        <f t="shared" si="31"/>
        <v>10.94507647741638</v>
      </c>
      <c r="AK187" s="249">
        <f t="shared" si="31"/>
        <v>11.245076477416379</v>
      </c>
      <c r="AL187" s="249">
        <f t="shared" si="31"/>
        <v>10.89507647741638</v>
      </c>
      <c r="AM187" s="249">
        <f t="shared" si="31"/>
        <v>10.72507647741638</v>
      </c>
      <c r="AN187" s="249">
        <f t="shared" si="31"/>
        <v>9.8550764774163806</v>
      </c>
      <c r="AO187" s="249">
        <f t="shared" si="31"/>
        <v>10.47507647741638</v>
      </c>
      <c r="AP187" s="249">
        <f t="shared" si="31"/>
        <v>10.55507647741638</v>
      </c>
      <c r="AQ187" s="249">
        <f t="shared" si="31"/>
        <v>11.175076477416379</v>
      </c>
      <c r="AR187" s="249">
        <f t="shared" si="31"/>
        <v>11.515076477416381</v>
      </c>
      <c r="AS187" s="228">
        <f>SUM(AE187:AR187)</f>
        <v>142.50599420641294</v>
      </c>
    </row>
    <row r="188" spans="3:63" hidden="1" x14ac:dyDescent="0.25">
      <c r="AD188" s="262" t="s">
        <v>141</v>
      </c>
      <c r="AE188" s="263">
        <f>AE36</f>
        <v>3.5350764774163799</v>
      </c>
      <c r="AF188" s="264">
        <f>AE188*AF185/AE185</f>
        <v>3.5368291182083564</v>
      </c>
      <c r="AG188" s="264">
        <f t="shared" ref="AG188:AR188" si="32">AF188*AG185/AF185</f>
        <v>3.538581759000333</v>
      </c>
      <c r="AH188" s="264">
        <f t="shared" si="32"/>
        <v>3.5403343997923091</v>
      </c>
      <c r="AI188" s="264">
        <f t="shared" si="32"/>
        <v>3.5420870405842857</v>
      </c>
      <c r="AJ188" s="264">
        <f t="shared" si="32"/>
        <v>3.5438396813762618</v>
      </c>
      <c r="AK188" s="264">
        <f t="shared" si="32"/>
        <v>3.5455923221682379</v>
      </c>
      <c r="AL188" s="264">
        <f t="shared" si="32"/>
        <v>3.5473449629602141</v>
      </c>
      <c r="AM188" s="264">
        <f t="shared" si="32"/>
        <v>3.5490976037521902</v>
      </c>
      <c r="AN188" s="264">
        <f t="shared" si="32"/>
        <v>3.5508502445441668</v>
      </c>
      <c r="AO188" s="264">
        <f t="shared" si="32"/>
        <v>3.5526028853361429</v>
      </c>
      <c r="AP188" s="264">
        <f t="shared" si="32"/>
        <v>3.5543555261281194</v>
      </c>
      <c r="AQ188" s="264">
        <f t="shared" si="32"/>
        <v>3.556108166920096</v>
      </c>
      <c r="AR188" s="264">
        <f t="shared" si="32"/>
        <v>3.5578608077120726</v>
      </c>
    </row>
    <row r="189" spans="3:63" hidden="1" x14ac:dyDescent="0.25"/>
    <row r="190" spans="3:63" hidden="1" x14ac:dyDescent="0.25"/>
    <row r="191" spans="3:63" hidden="1" x14ac:dyDescent="0.25"/>
    <row r="192" spans="3:63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spans="30:45" hidden="1" x14ac:dyDescent="0.25"/>
    <row r="210" spans="30:45" hidden="1" x14ac:dyDescent="0.25">
      <c r="AD210" t="s">
        <v>150</v>
      </c>
    </row>
    <row r="211" spans="30:45" hidden="1" x14ac:dyDescent="0.25">
      <c r="AE211" s="237">
        <v>2017</v>
      </c>
      <c r="AF211" s="237">
        <v>2018</v>
      </c>
      <c r="AG211" s="237">
        <v>2019</v>
      </c>
      <c r="AH211" s="237">
        <v>2020</v>
      </c>
      <c r="AI211" s="237">
        <v>2021</v>
      </c>
      <c r="AJ211" s="237">
        <v>2022</v>
      </c>
      <c r="AK211" s="237">
        <v>2023</v>
      </c>
      <c r="AL211" s="237">
        <v>2024</v>
      </c>
      <c r="AM211" s="237">
        <v>2025</v>
      </c>
      <c r="AN211" s="237">
        <v>2026</v>
      </c>
      <c r="AO211" s="237">
        <v>2027</v>
      </c>
      <c r="AP211" s="237">
        <v>2028</v>
      </c>
      <c r="AQ211" s="237">
        <v>2029</v>
      </c>
      <c r="AR211" s="278">
        <v>2030</v>
      </c>
      <c r="AS211" s="300" t="s">
        <v>124</v>
      </c>
    </row>
    <row r="212" spans="30:45" hidden="1" x14ac:dyDescent="0.25">
      <c r="AD212" t="s">
        <v>151</v>
      </c>
      <c r="AE212" s="302">
        <v>6.0522637367248535</v>
      </c>
      <c r="AF212" s="302">
        <v>6.4741628770531818</v>
      </c>
      <c r="AG212" s="302">
        <v>6.925472316131331</v>
      </c>
      <c r="AH212" s="302">
        <v>7.4082422256469727</v>
      </c>
      <c r="AI212" s="302">
        <v>8.9349828509911973</v>
      </c>
      <c r="AJ212" s="302">
        <v>10.776364502651608</v>
      </c>
      <c r="AK212" s="302">
        <v>12.997230529785156</v>
      </c>
      <c r="AL212" s="302">
        <v>12.059093327520447</v>
      </c>
      <c r="AM212" s="302">
        <v>11.188670659383309</v>
      </c>
      <c r="AN212" s="302">
        <v>10.381074905395508</v>
      </c>
      <c r="AO212" s="302">
        <v>9.9728479409784203</v>
      </c>
      <c r="AP212" s="302">
        <v>9.5806741556392119</v>
      </c>
      <c r="AQ212" s="302">
        <v>9.2039222717285156</v>
      </c>
      <c r="AR212" s="303">
        <v>9.1408769672134262</v>
      </c>
      <c r="AS212" s="300"/>
    </row>
    <row r="213" spans="30:45" ht="19.5" hidden="1" customHeight="1" x14ac:dyDescent="0.25">
      <c r="AD213" t="s">
        <v>152</v>
      </c>
      <c r="AE213" s="257">
        <f>AE212+AE180</f>
        <v>9.5873402141412338</v>
      </c>
      <c r="AF213" s="257">
        <f t="shared" ref="AF213:AR213" si="33">AF212+AF180</f>
        <v>10.010991995261538</v>
      </c>
      <c r="AG213" s="257">
        <f t="shared" si="33"/>
        <v>10.464054075131664</v>
      </c>
      <c r="AH213" s="257">
        <f t="shared" si="33"/>
        <v>10.948576625439282</v>
      </c>
      <c r="AI213" s="257">
        <f t="shared" si="33"/>
        <v>12.477069891575482</v>
      </c>
      <c r="AJ213" s="257">
        <f t="shared" si="33"/>
        <v>14.320204184027871</v>
      </c>
      <c r="AK213" s="257">
        <f t="shared" si="33"/>
        <v>16.542822851953396</v>
      </c>
      <c r="AL213" s="257">
        <f t="shared" si="33"/>
        <v>15.606438290480661</v>
      </c>
      <c r="AM213" s="257">
        <f t="shared" si="33"/>
        <v>14.7377682631355</v>
      </c>
      <c r="AN213" s="257">
        <f t="shared" si="33"/>
        <v>13.931925149939675</v>
      </c>
      <c r="AO213" s="257">
        <f t="shared" si="33"/>
        <v>13.525450826314563</v>
      </c>
      <c r="AP213" s="257">
        <f t="shared" si="33"/>
        <v>13.135029681767332</v>
      </c>
      <c r="AQ213" s="257">
        <f t="shared" si="33"/>
        <v>12.760030438648611</v>
      </c>
      <c r="AR213" s="257">
        <f t="shared" si="33"/>
        <v>12.698737774925499</v>
      </c>
      <c r="AS213" s="228">
        <f>SUM(AE213:AR213)</f>
        <v>180.74644026274231</v>
      </c>
    </row>
    <row r="214" spans="30:45" hidden="1" x14ac:dyDescent="0.25"/>
    <row r="215" spans="30:45" hidden="1" x14ac:dyDescent="0.25">
      <c r="AE215" s="258">
        <v>2017</v>
      </c>
      <c r="AF215" s="237">
        <v>2018</v>
      </c>
      <c r="AG215" s="237">
        <v>2019</v>
      </c>
      <c r="AH215" s="237">
        <v>2020</v>
      </c>
      <c r="AI215" s="237">
        <v>2021</v>
      </c>
      <c r="AJ215" s="237">
        <v>2022</v>
      </c>
      <c r="AK215" s="237">
        <v>2023</v>
      </c>
      <c r="AL215" s="237">
        <v>2024</v>
      </c>
      <c r="AM215" s="237">
        <v>2025</v>
      </c>
      <c r="AN215" s="237">
        <v>2026</v>
      </c>
      <c r="AO215" s="237">
        <v>2027</v>
      </c>
      <c r="AP215" s="237">
        <v>2028</v>
      </c>
      <c r="AQ215" s="237">
        <v>2029</v>
      </c>
      <c r="AR215" s="278">
        <v>2030</v>
      </c>
      <c r="AS215" s="304" t="s">
        <v>124</v>
      </c>
    </row>
    <row r="216" spans="30:45" hidden="1" x14ac:dyDescent="0.25">
      <c r="AD216" t="s">
        <v>151</v>
      </c>
      <c r="AE216" s="302">
        <v>6.0522637367248535</v>
      </c>
      <c r="AF216" s="302">
        <v>6.4741628770531818</v>
      </c>
      <c r="AG216" s="302">
        <v>6.925472316131331</v>
      </c>
      <c r="AH216" s="302">
        <v>7.4082422256469727</v>
      </c>
      <c r="AI216" s="302">
        <v>8.9349828509911973</v>
      </c>
      <c r="AJ216" s="302">
        <v>10.776364502651608</v>
      </c>
      <c r="AK216" s="302">
        <v>12.997230529785156</v>
      </c>
      <c r="AL216" s="302">
        <v>12.059093327520447</v>
      </c>
      <c r="AM216" s="302">
        <v>11.188670659383309</v>
      </c>
      <c r="AN216" s="302">
        <v>10.381074905395508</v>
      </c>
      <c r="AO216" s="302">
        <v>9.9728479409784203</v>
      </c>
      <c r="AP216" s="302">
        <v>9.5806741556392119</v>
      </c>
      <c r="AQ216" s="302">
        <v>9.2039222717285156</v>
      </c>
      <c r="AR216" s="303">
        <v>9.1408769672134262</v>
      </c>
      <c r="AS216" s="228">
        <f>SUM(AE216:AR216)</f>
        <v>131.09587926684316</v>
      </c>
    </row>
    <row r="217" spans="30:45" ht="18.75" hidden="1" customHeight="1" x14ac:dyDescent="0.25">
      <c r="AD217" t="s">
        <v>152</v>
      </c>
      <c r="AE217" s="257">
        <f>AE216+AE188</f>
        <v>9.5873402141412338</v>
      </c>
      <c r="AF217" s="257">
        <f t="shared" ref="AF217:AR217" si="34">AF216+AF188</f>
        <v>10.010991995261538</v>
      </c>
      <c r="AG217" s="257">
        <f t="shared" si="34"/>
        <v>10.464054075131664</v>
      </c>
      <c r="AH217" s="257">
        <f t="shared" si="34"/>
        <v>10.948576625439282</v>
      </c>
      <c r="AI217" s="257">
        <f t="shared" si="34"/>
        <v>12.477069891575482</v>
      </c>
      <c r="AJ217" s="257">
        <f t="shared" si="34"/>
        <v>14.320204184027871</v>
      </c>
      <c r="AK217" s="257">
        <f t="shared" si="34"/>
        <v>16.542822851953396</v>
      </c>
      <c r="AL217" s="257">
        <f t="shared" si="34"/>
        <v>15.606438290480661</v>
      </c>
      <c r="AM217" s="257">
        <f t="shared" si="34"/>
        <v>14.7377682631355</v>
      </c>
      <c r="AN217" s="257">
        <f t="shared" si="34"/>
        <v>13.931925149939675</v>
      </c>
      <c r="AO217" s="257">
        <f t="shared" si="34"/>
        <v>13.525450826314563</v>
      </c>
      <c r="AP217" s="257">
        <f t="shared" si="34"/>
        <v>13.135029681767332</v>
      </c>
      <c r="AQ217" s="257">
        <f t="shared" si="34"/>
        <v>12.760030438648611</v>
      </c>
      <c r="AR217" s="257">
        <f t="shared" si="34"/>
        <v>12.698737774925499</v>
      </c>
      <c r="AS217" s="228">
        <f>SUM(AE217:AR217)</f>
        <v>180.74644026274231</v>
      </c>
    </row>
    <row r="218" spans="30:45" ht="23.25" hidden="1" customHeight="1" x14ac:dyDescent="0.25">
      <c r="AD218" t="s">
        <v>153</v>
      </c>
      <c r="AE218" s="257">
        <v>14</v>
      </c>
      <c r="AF218" s="257">
        <f>AF217</f>
        <v>10.010991995261538</v>
      </c>
      <c r="AG218" s="257">
        <f t="shared" ref="AG218:AR218" si="35">AG217</f>
        <v>10.464054075131664</v>
      </c>
      <c r="AH218" s="257">
        <f t="shared" si="35"/>
        <v>10.948576625439282</v>
      </c>
      <c r="AI218" s="257">
        <f t="shared" si="35"/>
        <v>12.477069891575482</v>
      </c>
      <c r="AJ218" s="257">
        <f t="shared" si="35"/>
        <v>14.320204184027871</v>
      </c>
      <c r="AK218" s="257">
        <f t="shared" si="35"/>
        <v>16.542822851953396</v>
      </c>
      <c r="AL218" s="257">
        <f t="shared" si="35"/>
        <v>15.606438290480661</v>
      </c>
      <c r="AM218" s="257">
        <f t="shared" si="35"/>
        <v>14.7377682631355</v>
      </c>
      <c r="AN218" s="257">
        <f t="shared" si="35"/>
        <v>13.931925149939675</v>
      </c>
      <c r="AO218" s="257">
        <f t="shared" si="35"/>
        <v>13.525450826314563</v>
      </c>
      <c r="AP218" s="257">
        <f t="shared" si="35"/>
        <v>13.135029681767332</v>
      </c>
      <c r="AQ218" s="257">
        <f t="shared" si="35"/>
        <v>12.760030438648611</v>
      </c>
      <c r="AR218" s="257">
        <f t="shared" si="35"/>
        <v>12.698737774925499</v>
      </c>
      <c r="AS218" s="228">
        <f>SUM(AE218:AR218)</f>
        <v>185.15910004860106</v>
      </c>
    </row>
    <row r="219" spans="30:45" hidden="1" x14ac:dyDescent="0.25"/>
    <row r="220" spans="30:45" hidden="1" x14ac:dyDescent="0.25"/>
    <row r="221" spans="30:45" hidden="1" x14ac:dyDescent="0.25"/>
    <row r="222" spans="30:45" hidden="1" x14ac:dyDescent="0.25"/>
    <row r="223" spans="30:45" hidden="1" x14ac:dyDescent="0.25"/>
    <row r="224" spans="30:45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spans="30:44" x14ac:dyDescent="0.25">
      <c r="AE465" s="152">
        <v>2017</v>
      </c>
      <c r="AF465" s="152">
        <v>2018</v>
      </c>
      <c r="AG465" s="152">
        <v>2019</v>
      </c>
      <c r="AH465" s="152">
        <v>2020</v>
      </c>
      <c r="AI465" s="152">
        <v>2021</v>
      </c>
      <c r="AJ465" s="152">
        <v>2022</v>
      </c>
      <c r="AK465" s="152">
        <v>2023</v>
      </c>
      <c r="AL465" s="152">
        <v>2024</v>
      </c>
      <c r="AM465" s="152">
        <v>2025</v>
      </c>
      <c r="AN465" s="152">
        <v>2026</v>
      </c>
      <c r="AO465" s="152">
        <v>2027</v>
      </c>
      <c r="AP465" s="152">
        <v>2028</v>
      </c>
      <c r="AQ465" s="152">
        <v>2029</v>
      </c>
      <c r="AR465" s="152">
        <v>2030</v>
      </c>
    </row>
    <row r="466" spans="30:44" x14ac:dyDescent="0.25">
      <c r="AD466" t="s">
        <v>597</v>
      </c>
      <c r="AE466" s="261">
        <f>AE24</f>
        <v>0.80447048260418508</v>
      </c>
      <c r="AF466" s="261">
        <f>AF24</f>
        <v>1.010416507299261</v>
      </c>
      <c r="AG466" s="261">
        <f>AG24</f>
        <v>1.0938459593944094</v>
      </c>
      <c r="AH466" s="261">
        <f>AH24</f>
        <v>1.167575104411009</v>
      </c>
      <c r="AI466" s="261"/>
      <c r="AJ466" s="261"/>
      <c r="AK466" s="261"/>
      <c r="AL466" s="261"/>
      <c r="AM466" s="261"/>
      <c r="AN466" s="261"/>
      <c r="AO466" s="261"/>
      <c r="AP466" s="261"/>
      <c r="AQ466" s="261"/>
      <c r="AR466" s="261"/>
    </row>
    <row r="467" spans="30:44" x14ac:dyDescent="0.25">
      <c r="AD467" t="s">
        <v>602</v>
      </c>
      <c r="AE467" s="261">
        <f>$AE$27</f>
        <v>1.019077013427216</v>
      </c>
      <c r="AF467" s="261">
        <f>$AE$27</f>
        <v>1.019077013427216</v>
      </c>
      <c r="AG467" s="261">
        <f>$AE$27</f>
        <v>1.019077013427216</v>
      </c>
      <c r="AH467" s="261">
        <f>$AE$27</f>
        <v>1.019077013427216</v>
      </c>
      <c r="AI467" s="261"/>
      <c r="AJ467" s="261"/>
      <c r="AK467" s="261"/>
      <c r="AL467" s="261"/>
      <c r="AM467" s="261"/>
      <c r="AN467" s="261"/>
      <c r="AO467" s="261"/>
      <c r="AP467" s="261"/>
      <c r="AQ467" s="261"/>
      <c r="AR467" s="261"/>
    </row>
    <row r="468" spans="30:44" x14ac:dyDescent="0.25">
      <c r="AD468" t="s">
        <v>276</v>
      </c>
      <c r="AE468" s="261"/>
      <c r="AF468" s="261"/>
      <c r="AG468" s="261"/>
      <c r="AH468" s="261"/>
      <c r="AI468" s="261">
        <f>AI15</f>
        <v>3</v>
      </c>
      <c r="AJ468" s="261">
        <f t="shared" ref="AJ468:AR468" si="36">AJ15</f>
        <v>3</v>
      </c>
      <c r="AK468" s="261">
        <f t="shared" si="36"/>
        <v>4</v>
      </c>
      <c r="AL468" s="261">
        <f t="shared" si="36"/>
        <v>3</v>
      </c>
      <c r="AM468" s="261">
        <f t="shared" si="36"/>
        <v>6</v>
      </c>
      <c r="AN468" s="261">
        <f t="shared" si="36"/>
        <v>6</v>
      </c>
      <c r="AO468" s="261">
        <f t="shared" si="36"/>
        <v>5</v>
      </c>
      <c r="AP468" s="261">
        <f t="shared" si="36"/>
        <v>4</v>
      </c>
      <c r="AQ468" s="261">
        <f t="shared" si="36"/>
        <v>4</v>
      </c>
      <c r="AR468" s="261">
        <f t="shared" si="36"/>
        <v>4</v>
      </c>
    </row>
    <row r="469" spans="30:44" x14ac:dyDescent="0.25">
      <c r="AD469" t="s">
        <v>603</v>
      </c>
      <c r="AE469" s="261"/>
      <c r="AF469" s="261"/>
      <c r="AG469" s="261"/>
      <c r="AH469" s="261"/>
      <c r="AI469" s="261">
        <f t="shared" ref="AI469:AR469" si="37">$AI$17</f>
        <v>4.2</v>
      </c>
      <c r="AJ469" s="261">
        <f t="shared" si="37"/>
        <v>4.2</v>
      </c>
      <c r="AK469" s="261">
        <f t="shared" si="37"/>
        <v>4.2</v>
      </c>
      <c r="AL469" s="261">
        <f t="shared" si="37"/>
        <v>4.2</v>
      </c>
      <c r="AM469" s="261">
        <f t="shared" si="37"/>
        <v>4.2</v>
      </c>
      <c r="AN469" s="261">
        <f t="shared" si="37"/>
        <v>4.2</v>
      </c>
      <c r="AO469" s="261">
        <f t="shared" si="37"/>
        <v>4.2</v>
      </c>
      <c r="AP469" s="261">
        <f t="shared" si="37"/>
        <v>4.2</v>
      </c>
      <c r="AQ469" s="261">
        <f t="shared" si="37"/>
        <v>4.2</v>
      </c>
      <c r="AR469" s="261">
        <f t="shared" si="37"/>
        <v>4.2</v>
      </c>
    </row>
    <row r="500" spans="30:40" x14ac:dyDescent="0.25">
      <c r="AD500" t="s">
        <v>606</v>
      </c>
    </row>
    <row r="501" spans="30:40" x14ac:dyDescent="0.25">
      <c r="AE501" s="152">
        <v>2021</v>
      </c>
      <c r="AF501" s="152">
        <v>2022</v>
      </c>
      <c r="AG501" s="152">
        <v>2023</v>
      </c>
      <c r="AH501" s="152">
        <v>2024</v>
      </c>
      <c r="AI501" s="152">
        <v>2025</v>
      </c>
      <c r="AJ501" s="152">
        <v>2026</v>
      </c>
      <c r="AK501" s="152">
        <v>2027</v>
      </c>
      <c r="AL501" s="152">
        <v>2028</v>
      </c>
      <c r="AM501" s="152">
        <v>2029</v>
      </c>
      <c r="AN501" s="152">
        <v>2030</v>
      </c>
    </row>
    <row r="502" spans="30:40" x14ac:dyDescent="0.25">
      <c r="AD502" t="s">
        <v>604</v>
      </c>
      <c r="AE502" s="261">
        <f t="shared" ref="AE502:AN503" si="38">AI14</f>
        <v>3.6</v>
      </c>
      <c r="AF502" s="261">
        <f t="shared" si="38"/>
        <v>3.7</v>
      </c>
      <c r="AG502" s="261">
        <f t="shared" si="38"/>
        <v>4.2</v>
      </c>
      <c r="AH502" s="261">
        <f t="shared" si="38"/>
        <v>3.4</v>
      </c>
      <c r="AI502" s="261">
        <f t="shared" si="38"/>
        <v>4.7</v>
      </c>
      <c r="AJ502" s="261">
        <f t="shared" si="38"/>
        <v>3.8</v>
      </c>
      <c r="AK502" s="261">
        <f t="shared" si="38"/>
        <v>3.9</v>
      </c>
      <c r="AL502" s="261">
        <f t="shared" si="38"/>
        <v>3.7</v>
      </c>
      <c r="AM502" s="261">
        <f t="shared" si="38"/>
        <v>3.9</v>
      </c>
      <c r="AN502" s="261">
        <f t="shared" si="38"/>
        <v>3.8</v>
      </c>
    </row>
    <row r="503" spans="30:40" x14ac:dyDescent="0.25">
      <c r="AD503" t="s">
        <v>605</v>
      </c>
      <c r="AE503" s="261">
        <f t="shared" si="38"/>
        <v>3</v>
      </c>
      <c r="AF503" s="261">
        <f t="shared" si="38"/>
        <v>3</v>
      </c>
      <c r="AG503" s="261">
        <f t="shared" si="38"/>
        <v>4</v>
      </c>
      <c r="AH503" s="261">
        <f t="shared" si="38"/>
        <v>3</v>
      </c>
      <c r="AI503" s="261">
        <f t="shared" si="38"/>
        <v>6</v>
      </c>
      <c r="AJ503" s="261">
        <f t="shared" si="38"/>
        <v>6</v>
      </c>
      <c r="AK503" s="261">
        <f t="shared" si="38"/>
        <v>5</v>
      </c>
      <c r="AL503" s="261">
        <f t="shared" si="38"/>
        <v>4</v>
      </c>
      <c r="AM503" s="261">
        <f t="shared" si="38"/>
        <v>4</v>
      </c>
      <c r="AN503" s="261">
        <f t="shared" si="38"/>
        <v>4</v>
      </c>
    </row>
  </sheetData>
  <mergeCells count="9">
    <mergeCell ref="AE61:AH61"/>
    <mergeCell ref="AE62:AH62"/>
    <mergeCell ref="C60:AR60"/>
    <mergeCell ref="B44:B46"/>
    <mergeCell ref="B43:C43"/>
    <mergeCell ref="B48:B49"/>
    <mergeCell ref="B50:B51"/>
    <mergeCell ref="B47:AR47"/>
    <mergeCell ref="AI59:AR59"/>
  </mergeCells>
  <pageMargins left="0.7" right="0.7" top="0.75" bottom="0.75" header="0.3" footer="0.3"/>
  <pageSetup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14"/>
  <sheetViews>
    <sheetView workbookViewId="0">
      <selection activeCell="G10" sqref="G10"/>
    </sheetView>
  </sheetViews>
  <sheetFormatPr defaultRowHeight="15" x14ac:dyDescent="0.25"/>
  <cols>
    <col min="2" max="2" width="11.28515625" customWidth="1"/>
    <col min="3" max="16" width="10.85546875" customWidth="1"/>
  </cols>
  <sheetData>
    <row r="7" spans="2:16" x14ac:dyDescent="0.25">
      <c r="B7" s="1203"/>
      <c r="C7" s="1275">
        <v>2017</v>
      </c>
      <c r="D7" s="1275">
        <v>2018</v>
      </c>
      <c r="E7" s="1275">
        <v>2019</v>
      </c>
      <c r="F7" s="1275">
        <v>2020</v>
      </c>
      <c r="G7" s="1275">
        <v>2021</v>
      </c>
      <c r="H7" s="1275">
        <v>2022</v>
      </c>
      <c r="I7" s="1275">
        <v>2023</v>
      </c>
      <c r="J7" s="1275">
        <v>2024</v>
      </c>
      <c r="K7" s="1275">
        <v>2025</v>
      </c>
      <c r="L7" s="1275">
        <v>2026</v>
      </c>
      <c r="M7" s="1275">
        <v>2027</v>
      </c>
      <c r="N7" s="1275">
        <v>2028</v>
      </c>
      <c r="O7" s="1275">
        <v>2029</v>
      </c>
      <c r="P7" s="1275">
        <v>2030</v>
      </c>
    </row>
    <row r="8" spans="2:16" x14ac:dyDescent="0.25">
      <c r="B8" s="1203" t="s">
        <v>622</v>
      </c>
      <c r="C8" s="1276">
        <v>21.799100324378376</v>
      </c>
      <c r="D8" s="1276">
        <v>21.144535078143967</v>
      </c>
      <c r="E8" s="1276">
        <v>20.290214027802826</v>
      </c>
      <c r="F8" s="1276">
        <v>19.440225145697063</v>
      </c>
      <c r="G8" s="1276">
        <v>19.083115662142347</v>
      </c>
      <c r="H8" s="1276">
        <v>18.719518155785625</v>
      </c>
      <c r="I8" s="1276">
        <v>18.348828881748606</v>
      </c>
      <c r="J8" s="1276">
        <v>17.970394870727851</v>
      </c>
      <c r="K8" s="1276">
        <v>16.978806882179558</v>
      </c>
      <c r="L8" s="1276">
        <v>17.583508515034971</v>
      </c>
      <c r="M8" s="1276">
        <v>16.367448406859559</v>
      </c>
      <c r="N8" s="1276">
        <v>15.749433089074948</v>
      </c>
      <c r="O8" s="1276">
        <v>15.124760928825745</v>
      </c>
      <c r="P8" s="1276">
        <v>14.675306692502231</v>
      </c>
    </row>
    <row r="9" spans="2:16" x14ac:dyDescent="0.25">
      <c r="B9" s="1203" t="s">
        <v>623</v>
      </c>
      <c r="C9" s="1276">
        <v>12.230901558896287</v>
      </c>
      <c r="D9" s="1276">
        <v>13.034013518870387</v>
      </c>
      <c r="E9" s="1276">
        <v>13.45429782049424</v>
      </c>
      <c r="F9" s="1276">
        <v>13.889026213928405</v>
      </c>
      <c r="G9" s="1276">
        <v>14.120710578402061</v>
      </c>
      <c r="H9" s="1276">
        <v>14.356828330122891</v>
      </c>
      <c r="I9" s="1276">
        <v>14.597465128041513</v>
      </c>
      <c r="J9" s="1276">
        <v>14.842708415340109</v>
      </c>
      <c r="K9" s="1276">
        <v>15.109388154580515</v>
      </c>
      <c r="L9" s="1276">
        <v>15.092647457723142</v>
      </c>
      <c r="M9" s="1276">
        <v>15.128763104894668</v>
      </c>
      <c r="N9" s="1276">
        <v>15.150807852478572</v>
      </c>
      <c r="O9" s="1276">
        <v>15.175558851245498</v>
      </c>
      <c r="P9" s="1276">
        <v>15.203053482552299</v>
      </c>
    </row>
    <row r="10" spans="2:16" x14ac:dyDescent="0.25">
      <c r="B10" s="1203" t="s">
        <v>624</v>
      </c>
      <c r="C10" s="1281">
        <v>34.030001883274657</v>
      </c>
      <c r="D10" s="1281">
        <v>34.178548597014363</v>
      </c>
      <c r="E10" s="1281">
        <v>33.744511848297059</v>
      </c>
      <c r="F10" s="1281">
        <v>33.329251359625466</v>
      </c>
      <c r="G10" s="1277">
        <v>33.203826240544402</v>
      </c>
      <c r="H10" s="1277">
        <v>33.076346485908516</v>
      </c>
      <c r="I10" s="1277">
        <v>32.946294009790115</v>
      </c>
      <c r="J10" s="1277">
        <v>32.813103286067957</v>
      </c>
      <c r="K10" s="1277">
        <v>32.088195036760077</v>
      </c>
      <c r="L10" s="1277">
        <v>32.676155972758117</v>
      </c>
      <c r="M10" s="1277">
        <v>31.496211511754229</v>
      </c>
      <c r="N10" s="1277">
        <v>30.900240941553523</v>
      </c>
      <c r="O10" s="1277">
        <v>30.300319780071241</v>
      </c>
      <c r="P10" s="1277">
        <v>29.878360175054532</v>
      </c>
    </row>
    <row r="11" spans="2:16" x14ac:dyDescent="0.25">
      <c r="B11" s="1203" t="s">
        <v>625</v>
      </c>
      <c r="C11" s="1277">
        <v>33.097622057616903</v>
      </c>
      <c r="D11" s="1277">
        <v>33.62007679606694</v>
      </c>
      <c r="E11" s="1277">
        <v>34.180933219274628</v>
      </c>
      <c r="F11" s="1277">
        <v>34.778501603848461</v>
      </c>
      <c r="G11" s="1282">
        <v>35.318158558468674</v>
      </c>
      <c r="H11" s="1282">
        <v>35.876935312010517</v>
      </c>
      <c r="I11" s="1282">
        <v>36.455786127177333</v>
      </c>
      <c r="J11" s="1282">
        <v>37.055733582354669</v>
      </c>
      <c r="K11" s="1282">
        <v>37.847784215938951</v>
      </c>
      <c r="L11" s="1282">
        <v>37.677874150263158</v>
      </c>
      <c r="M11" s="1282">
        <v>38.028330784351517</v>
      </c>
      <c r="N11" s="1282">
        <v>38.219728110003814</v>
      </c>
      <c r="O11" s="1282">
        <v>38.422198130379329</v>
      </c>
      <c r="P11" s="1282">
        <v>38.635970722361627</v>
      </c>
    </row>
    <row r="14" spans="2:16" x14ac:dyDescent="0.25">
      <c r="P14" s="318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71"/>
  <sheetViews>
    <sheetView workbookViewId="0">
      <selection activeCell="Z47" sqref="Z47"/>
    </sheetView>
  </sheetViews>
  <sheetFormatPr defaultRowHeight="15" x14ac:dyDescent="0.25"/>
  <cols>
    <col min="1" max="1" width="7.5703125" style="785" customWidth="1"/>
    <col min="2" max="2" width="63.140625" style="312" customWidth="1"/>
    <col min="3" max="3" width="11" style="312" hidden="1" customWidth="1"/>
    <col min="4" max="9" width="9.140625" style="312" hidden="1" customWidth="1"/>
    <col min="10" max="12" width="15.5703125" style="312" bestFit="1" customWidth="1"/>
    <col min="13" max="13" width="16.7109375" style="312" bestFit="1" customWidth="1"/>
    <col min="14" max="15" width="9.140625" style="312" customWidth="1"/>
    <col min="16" max="16" width="9" style="312" customWidth="1"/>
    <col min="17" max="23" width="9.140625" style="312" customWidth="1"/>
    <col min="24" max="24" width="5.140625" style="801" customWidth="1"/>
    <col min="25" max="25" width="14.42578125" style="312" customWidth="1"/>
    <col min="26" max="26" width="40" style="312" customWidth="1"/>
    <col min="27" max="27" width="14.28515625" style="312" customWidth="1"/>
    <col min="28" max="28" width="2.28515625" style="312" customWidth="1"/>
    <col min="29" max="29" width="38.28515625" style="312" customWidth="1"/>
    <col min="30" max="30" width="9.140625" style="312"/>
    <col min="31" max="31" width="14.42578125" style="312" customWidth="1"/>
    <col min="32" max="32" width="17.140625" style="312" customWidth="1"/>
    <col min="33" max="33" width="16.5703125" style="312" customWidth="1"/>
    <col min="34" max="16384" width="9.140625" style="312"/>
  </cols>
  <sheetData>
    <row r="1" spans="1:63" ht="18.75" x14ac:dyDescent="0.3">
      <c r="A1" s="1245" t="s">
        <v>590</v>
      </c>
    </row>
    <row r="3" spans="1:63" x14ac:dyDescent="0.25">
      <c r="B3" s="808" t="s">
        <v>487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841">
        <v>6.2047475098184792</v>
      </c>
      <c r="O3" s="841">
        <v>7.268120684340591</v>
      </c>
      <c r="P3" s="841">
        <v>8.5137353612774103</v>
      </c>
      <c r="Q3" s="841">
        <v>9.9728241934719009</v>
      </c>
      <c r="R3" s="841">
        <v>11.681972503662109</v>
      </c>
      <c r="S3" s="841">
        <v>11.801158804716309</v>
      </c>
      <c r="T3" s="841">
        <v>11.921561113970709</v>
      </c>
      <c r="U3" s="841">
        <v>12.04319183785063</v>
      </c>
      <c r="V3" s="841">
        <v>12.166063509358979</v>
      </c>
      <c r="W3" s="841">
        <v>12.290188789367676</v>
      </c>
      <c r="X3" s="940"/>
      <c r="Y3" s="825" t="s">
        <v>464</v>
      </c>
    </row>
    <row r="4" spans="1:63" x14ac:dyDescent="0.25">
      <c r="C4" s="781">
        <v>2010</v>
      </c>
      <c r="D4" s="781">
        <v>2011</v>
      </c>
      <c r="E4" s="781">
        <v>2012</v>
      </c>
      <c r="F4" s="781">
        <v>2013</v>
      </c>
      <c r="G4" s="781">
        <v>2014</v>
      </c>
      <c r="H4" s="781">
        <v>2015</v>
      </c>
      <c r="I4" s="781">
        <v>2016</v>
      </c>
      <c r="J4" s="781">
        <v>2017</v>
      </c>
      <c r="K4" s="781">
        <v>2018</v>
      </c>
      <c r="L4" s="781">
        <v>2019</v>
      </c>
      <c r="M4" s="781">
        <v>2020</v>
      </c>
      <c r="N4" s="781">
        <v>2021</v>
      </c>
      <c r="O4" s="781">
        <v>2022</v>
      </c>
      <c r="P4" s="781">
        <v>2023</v>
      </c>
      <c r="Q4" s="781">
        <v>2024</v>
      </c>
      <c r="R4" s="781">
        <v>2025</v>
      </c>
      <c r="S4" s="781">
        <v>2026</v>
      </c>
      <c r="T4" s="781">
        <v>2027</v>
      </c>
      <c r="U4" s="781">
        <v>2028</v>
      </c>
      <c r="V4" s="781">
        <v>2029</v>
      </c>
      <c r="W4" s="781">
        <v>2030</v>
      </c>
      <c r="X4" s="941"/>
    </row>
    <row r="5" spans="1:63" x14ac:dyDescent="0.25">
      <c r="B5" s="782" t="s">
        <v>2</v>
      </c>
      <c r="C5" s="973">
        <v>19.802272114057871</v>
      </c>
      <c r="D5" s="973">
        <v>14.218297326696581</v>
      </c>
      <c r="E5" s="973">
        <v>14.154796364649654</v>
      </c>
      <c r="F5" s="973">
        <v>10.890218042777901</v>
      </c>
      <c r="G5" s="973">
        <v>11.203585624694824</v>
      </c>
      <c r="H5" s="973">
        <v>9.1245328705612145</v>
      </c>
      <c r="I5" s="973">
        <v>7.4312905613393676</v>
      </c>
      <c r="J5" s="981">
        <v>6.480922986572784</v>
      </c>
      <c r="K5" s="981">
        <v>6.480922986572784</v>
      </c>
      <c r="L5" s="981">
        <v>6.480922986572784</v>
      </c>
      <c r="M5" s="981">
        <v>6.480922986572784</v>
      </c>
      <c r="N5" s="1158">
        <f>VLOOKUP($Z$10,$AC$9:$AM$10,2,FALSE)</f>
        <v>3.8699999999999997</v>
      </c>
      <c r="O5" s="1158">
        <f>VLOOKUP($Z$10,$AC$9:$AM$10,3,FALSE)</f>
        <v>3.8699999999999997</v>
      </c>
      <c r="P5" s="1158">
        <f>VLOOKUP($Z$10,$AC$9:$AM$10,4,FALSE)</f>
        <v>3.8699999999999997</v>
      </c>
      <c r="Q5" s="1158">
        <f>VLOOKUP($Z$10,$AC$9:$AM$10,5,FALSE)</f>
        <v>3.8699999999999997</v>
      </c>
      <c r="R5" s="1158">
        <f>VLOOKUP($Z$10,$AC$9:$AM$10,6,FALSE)</f>
        <v>3.8699999999999997</v>
      </c>
      <c r="S5" s="1158">
        <f>VLOOKUP($Z$10,$AC$9:$AM$10,7,FALSE)</f>
        <v>3.8699999999999997</v>
      </c>
      <c r="T5" s="1158">
        <f>VLOOKUP($Z$10,$AC$9:$AM$10,8,FALSE)</f>
        <v>3.8699999999999997</v>
      </c>
      <c r="U5" s="1158">
        <f>VLOOKUP($Z$10,$AC$9:$AM$10,9,FALSE)</f>
        <v>3.8699999999999997</v>
      </c>
      <c r="V5" s="1158">
        <f>VLOOKUP($Z$10,$AC$9:$AM$10,10,FALSE)</f>
        <v>3.8699999999999997</v>
      </c>
      <c r="W5" s="1158">
        <f>VLOOKUP($Z$10,$AC$9:$AM$10,11,FALSE)</f>
        <v>3.8699999999999997</v>
      </c>
      <c r="X5" s="942"/>
      <c r="Y5" s="764" t="s">
        <v>279</v>
      </c>
      <c r="Z5" s="783"/>
      <c r="AA5" s="807" t="s">
        <v>188</v>
      </c>
      <c r="AC5" s="972">
        <f>'Electricity Sector Emissions'!AI16</f>
        <v>3.8699999999999997</v>
      </c>
    </row>
    <row r="6" spans="1:63" x14ac:dyDescent="0.25">
      <c r="B6" s="784" t="s">
        <v>36</v>
      </c>
      <c r="C6" s="974">
        <v>48.153857491964324</v>
      </c>
      <c r="D6" s="974">
        <v>48.226252177063913</v>
      </c>
      <c r="E6" s="974">
        <v>50.264395594747157</v>
      </c>
      <c r="F6" s="974">
        <v>47.724434817226481</v>
      </c>
      <c r="G6" s="974">
        <v>42.753318071365356</v>
      </c>
      <c r="H6" s="974">
        <v>43.285277502838987</v>
      </c>
      <c r="I6" s="974">
        <v>43.852775138730451</v>
      </c>
      <c r="J6" s="982">
        <v>44.458276212215424</v>
      </c>
      <c r="K6" s="982">
        <v>43.980439598331451</v>
      </c>
      <c r="L6" s="982">
        <v>43.510511354802844</v>
      </c>
      <c r="M6" s="982">
        <v>43.048317611217499</v>
      </c>
      <c r="N6" s="983">
        <f>('Navius Reference_July252017'!O134+'Navius Reference_July252017'!O143+'Navius Reference_July252017'!O144+'Navius Reference_July252017'!O147)</f>
        <v>52.461786756964891</v>
      </c>
      <c r="O6" s="983">
        <f>('Navius Reference_July252017'!P134+'Navius Reference_July252017'!P143+'Navius Reference_July252017'!P144+'Navius Reference_July252017'!P147)</f>
        <v>53.257057207226921</v>
      </c>
      <c r="P6" s="983">
        <f>('Navius Reference_July252017'!Q134+'Navius Reference_July252017'!Q143+'Navius Reference_July252017'!Q144+'Navius Reference_July252017'!Q147)</f>
        <v>54.070548588893615</v>
      </c>
      <c r="Q6" s="983">
        <f>('Navius Reference_July252017'!R134+'Navius Reference_July252017'!R143+'Navius Reference_July252017'!R144+'Navius Reference_July252017'!R147)</f>
        <v>54.902646373222211</v>
      </c>
      <c r="R6" s="983">
        <f>('Navius Reference_July252017'!S134+'Navius Reference_July252017'!S143+'Navius Reference_July252017'!S144+'Navius Reference_July252017'!S147)</f>
        <v>55.753743801265955</v>
      </c>
      <c r="S6" s="983">
        <f>('Navius Reference_July252017'!T134+'Navius Reference_July252017'!T143+'Navius Reference_July252017'!T144+'Navius Reference_July252017'!T147)</f>
        <v>56.187878529966568</v>
      </c>
      <c r="T6" s="983">
        <f>('Navius Reference_July252017'!U134+'Navius Reference_July252017'!U143+'Navius Reference_July252017'!U144+'Navius Reference_July252017'!U147)</f>
        <v>56.633379387590203</v>
      </c>
      <c r="U6" s="983">
        <f>('Navius Reference_July252017'!V134+'Navius Reference_July252017'!V143+'Navius Reference_July252017'!V144+'Navius Reference_July252017'!V147)</f>
        <v>57.090376447158448</v>
      </c>
      <c r="V6" s="983">
        <f>('Navius Reference_July252017'!W134+'Navius Reference_July252017'!W143+'Navius Reference_July252017'!W144+'Navius Reference_July252017'!W147)</f>
        <v>57.559002722841527</v>
      </c>
      <c r="W6" s="983">
        <f>('Navius Reference_July252017'!X134+'Navius Reference_July252017'!X143+'Navius Reference_July252017'!X144+'Navius Reference_July252017'!X147)</f>
        <v>58.039394211024046</v>
      </c>
      <c r="X6" s="943"/>
      <c r="Y6" s="517"/>
      <c r="Z6" s="517"/>
      <c r="AA6" s="517"/>
      <c r="AB6" s="517"/>
      <c r="AC6" s="785"/>
    </row>
    <row r="7" spans="1:63" x14ac:dyDescent="0.25">
      <c r="B7" s="786" t="s">
        <v>102</v>
      </c>
      <c r="C7" s="975">
        <v>30.272845283072691</v>
      </c>
      <c r="D7" s="975">
        <v>32.797226056226869</v>
      </c>
      <c r="E7" s="975">
        <v>29.696949734732314</v>
      </c>
      <c r="F7" s="975">
        <v>32.620695328766317</v>
      </c>
      <c r="G7" s="975">
        <v>31.014080047607422</v>
      </c>
      <c r="H7" s="975">
        <v>31.393143456940372</v>
      </c>
      <c r="I7" s="975">
        <v>31.776839893210589</v>
      </c>
      <c r="J7" s="982">
        <v>32.165225982666016</v>
      </c>
      <c r="K7" s="982">
        <v>32.592082207940031</v>
      </c>
      <c r="L7" s="982">
        <v>33.024603129527812</v>
      </c>
      <c r="M7" s="982">
        <v>33.462863922119141</v>
      </c>
      <c r="N7" s="984">
        <f>'Navius Reference_July252017'!O135</f>
        <v>30.999556633929888</v>
      </c>
      <c r="O7" s="984">
        <f>'Navius Reference_July252017'!P135</f>
        <v>30.807101122619521</v>
      </c>
      <c r="P7" s="984">
        <f>'Navius Reference_July252017'!Q135</f>
        <v>30.621896819522298</v>
      </c>
      <c r="Q7" s="984">
        <f>'Navius Reference_July252017'!R135</f>
        <v>30.443863418672898</v>
      </c>
      <c r="R7" s="984">
        <f>'Navius Reference_July252017'!S135</f>
        <v>30.272922515869141</v>
      </c>
      <c r="S7" s="984">
        <f>'Navius Reference_July252017'!T135</f>
        <v>30.341810210724589</v>
      </c>
      <c r="T7" s="984">
        <f>'Navius Reference_July252017'!U135</f>
        <v>30.412628698427593</v>
      </c>
      <c r="U7" s="984">
        <f>'Navius Reference_July252017'!V135</f>
        <v>30.485395251323695</v>
      </c>
      <c r="V7" s="984">
        <f>'Navius Reference_July252017'!W135</f>
        <v>30.560127358397395</v>
      </c>
      <c r="W7" s="984">
        <f>'Navius Reference_July252017'!X135</f>
        <v>30.636842727661133</v>
      </c>
      <c r="X7" s="944"/>
      <c r="Y7" s="173"/>
      <c r="Z7" s="173"/>
      <c r="AA7" s="173"/>
      <c r="AB7" s="173"/>
      <c r="AC7" s="1005">
        <v>1</v>
      </c>
      <c r="AD7" s="1005">
        <v>2</v>
      </c>
      <c r="AE7" s="1005">
        <v>3</v>
      </c>
      <c r="AF7" s="1005">
        <v>4</v>
      </c>
      <c r="AG7" s="1005">
        <v>5</v>
      </c>
      <c r="AH7" s="1005">
        <v>6</v>
      </c>
      <c r="AI7" s="1005">
        <v>7</v>
      </c>
      <c r="AJ7" s="1005">
        <v>8</v>
      </c>
      <c r="AK7" s="1005">
        <v>9</v>
      </c>
      <c r="AL7" s="1005">
        <v>10</v>
      </c>
      <c r="AM7" s="1005">
        <v>11</v>
      </c>
    </row>
    <row r="8" spans="1:63" x14ac:dyDescent="0.25">
      <c r="B8" s="787" t="s">
        <v>39</v>
      </c>
      <c r="C8" s="976">
        <v>60.426722889783676</v>
      </c>
      <c r="D8" s="976">
        <v>60.134993175496092</v>
      </c>
      <c r="E8" s="976">
        <v>57.690767086868441</v>
      </c>
      <c r="F8" s="976">
        <v>60.205905493701792</v>
      </c>
      <c r="G8" s="976">
        <v>61.467746496200562</v>
      </c>
      <c r="H8" s="976">
        <v>62.571428300550792</v>
      </c>
      <c r="I8" s="976">
        <v>63.694927221920743</v>
      </c>
      <c r="J8" s="982">
        <v>64.8385990858078</v>
      </c>
      <c r="K8" s="982">
        <v>65.256478266588445</v>
      </c>
      <c r="L8" s="982">
        <v>65.677050642660035</v>
      </c>
      <c r="M8" s="982">
        <v>66.100333571434021</v>
      </c>
      <c r="N8" s="984">
        <f>('Navius Reference_July252017'!O136+'Navius Reference_July252017'!O140+'Navius Reference_July252017'!O141)</f>
        <v>58.729579289685297</v>
      </c>
      <c r="O8" s="984">
        <f>('Navius Reference_July252017'!P136+'Navius Reference_July252017'!P140+'Navius Reference_July252017'!P141)</f>
        <v>58.052460941051784</v>
      </c>
      <c r="P8" s="984">
        <f>('Navius Reference_July252017'!Q136+'Navius Reference_July252017'!Q140+'Navius Reference_July252017'!Q141)</f>
        <v>57.405083740689051</v>
      </c>
      <c r="Q8" s="984">
        <f>('Navius Reference_July252017'!R136+'Navius Reference_July252017'!R140+'Navius Reference_July252017'!R141)</f>
        <v>56.786626347580999</v>
      </c>
      <c r="R8" s="984">
        <f>('Navius Reference_July252017'!S136+'Navius Reference_July252017'!S140+'Navius Reference_July252017'!S141)</f>
        <v>56.196295499801636</v>
      </c>
      <c r="S8" s="984">
        <f>('Navius Reference_July252017'!T136+'Navius Reference_July252017'!T140+'Navius Reference_July252017'!T141)</f>
        <v>55.58975268915993</v>
      </c>
      <c r="T8" s="984">
        <f>('Navius Reference_July252017'!U136+'Navius Reference_July252017'!U140+'Navius Reference_July252017'!U141)</f>
        <v>55.025449718787826</v>
      </c>
      <c r="U8" s="984">
        <f>('Navius Reference_July252017'!V136+'Navius Reference_July252017'!V140+'Navius Reference_July252017'!V141)</f>
        <v>54.501984342818851</v>
      </c>
      <c r="V8" s="984">
        <f>('Navius Reference_July252017'!W136+'Navius Reference_July252017'!W140+'Navius Reference_July252017'!W141)</f>
        <v>54.018013331740562</v>
      </c>
      <c r="W8" s="984">
        <f>('Navius Reference_July252017'!X136+'Navius Reference_July252017'!X140+'Navius Reference_July252017'!X141)</f>
        <v>53.572250247001648</v>
      </c>
      <c r="X8" s="944"/>
      <c r="Y8" s="173"/>
      <c r="Z8" s="173"/>
      <c r="AA8" s="173"/>
      <c r="AB8" s="173"/>
      <c r="AC8" s="1003"/>
      <c r="AD8" s="1003">
        <v>2021</v>
      </c>
      <c r="AE8" s="1003">
        <v>2022</v>
      </c>
      <c r="AF8" s="1003">
        <v>2023</v>
      </c>
      <c r="AG8" s="1003">
        <v>2024</v>
      </c>
      <c r="AH8" s="1003">
        <v>2025</v>
      </c>
      <c r="AI8" s="1003">
        <v>2026</v>
      </c>
      <c r="AJ8" s="1003">
        <v>2027</v>
      </c>
      <c r="AK8" s="1003">
        <v>2028</v>
      </c>
      <c r="AL8" s="1003">
        <v>2029</v>
      </c>
      <c r="AM8" s="1003">
        <v>2030</v>
      </c>
    </row>
    <row r="9" spans="1:63" x14ac:dyDescent="0.25">
      <c r="B9" s="312" t="s">
        <v>40</v>
      </c>
      <c r="C9" s="977">
        <v>19.685915800506574</v>
      </c>
      <c r="D9" s="977">
        <v>19.2735267419792</v>
      </c>
      <c r="E9" s="977">
        <v>19.094737852364609</v>
      </c>
      <c r="F9" s="977">
        <v>19.332662171559068</v>
      </c>
      <c r="G9" s="977">
        <v>19.09999942779541</v>
      </c>
      <c r="H9" s="977">
        <v>19.09999942779541</v>
      </c>
      <c r="I9" s="977">
        <v>19.09999942779541</v>
      </c>
      <c r="J9" s="982">
        <v>19.09999942779541</v>
      </c>
      <c r="K9" s="982">
        <v>19.09999942779541</v>
      </c>
      <c r="L9" s="982">
        <v>19.09999942779541</v>
      </c>
      <c r="M9" s="982">
        <v>19.09999942779541</v>
      </c>
      <c r="N9" s="984">
        <f>('Navius Reference_July252017'!O148+'Navius Reference_July252017'!O149)</f>
        <v>17.851845884729943</v>
      </c>
      <c r="O9" s="984">
        <f>('Navius Reference_July252017'!P148+'Navius Reference_July252017'!P149)</f>
        <v>17.81253232652282</v>
      </c>
      <c r="P9" s="984">
        <f>('Navius Reference_July252017'!Q148+'Navius Reference_July252017'!Q149)</f>
        <v>17.773460732261931</v>
      </c>
      <c r="Q9" s="984">
        <f>('Navius Reference_July252017'!R148+'Navius Reference_July252017'!R149)</f>
        <v>17.734629324342304</v>
      </c>
      <c r="R9" s="984">
        <f>('Navius Reference_July252017'!S148+'Navius Reference_July252017'!S149)</f>
        <v>17.696036338806152</v>
      </c>
      <c r="S9" s="984">
        <f>('Navius Reference_July252017'!T148+'Navius Reference_July252017'!T149)</f>
        <v>17.669990145442618</v>
      </c>
      <c r="T9" s="984">
        <f>('Navius Reference_July252017'!U148+'Navius Reference_July252017'!U149)</f>
        <v>17.644106815038285</v>
      </c>
      <c r="U9" s="984">
        <f>('Navius Reference_July252017'!V148+'Navius Reference_July252017'!V149)</f>
        <v>17.618385254286775</v>
      </c>
      <c r="V9" s="984">
        <f>('Navius Reference_July252017'!W148+'Navius Reference_July252017'!W149)</f>
        <v>17.59282437723623</v>
      </c>
      <c r="W9" s="984">
        <f>('Navius Reference_July252017'!X148+'Navius Reference_July252017'!X149)</f>
        <v>17.567423105239868</v>
      </c>
      <c r="X9" s="944"/>
      <c r="Y9" s="173"/>
      <c r="Z9" s="173"/>
      <c r="AA9" s="173"/>
      <c r="AB9" s="173"/>
      <c r="AC9" s="1003" t="s">
        <v>276</v>
      </c>
      <c r="AD9" s="1004">
        <f>'Electricity Sector Emissions'!AI14</f>
        <v>3.6</v>
      </c>
      <c r="AE9" s="1004">
        <f>'Electricity Sector Emissions'!AJ14</f>
        <v>3.7</v>
      </c>
      <c r="AF9" s="1004">
        <f>'Electricity Sector Emissions'!AK14</f>
        <v>4.2</v>
      </c>
      <c r="AG9" s="1004">
        <f>'Electricity Sector Emissions'!AL14</f>
        <v>3.4</v>
      </c>
      <c r="AH9" s="1004">
        <f>'Electricity Sector Emissions'!AM14</f>
        <v>4.7</v>
      </c>
      <c r="AI9" s="1004">
        <f>'Electricity Sector Emissions'!AN14</f>
        <v>3.8</v>
      </c>
      <c r="AJ9" s="1004">
        <f>'Electricity Sector Emissions'!AO14</f>
        <v>3.9</v>
      </c>
      <c r="AK9" s="1004">
        <f>'Electricity Sector Emissions'!AP14</f>
        <v>3.7</v>
      </c>
      <c r="AL9" s="1004">
        <f>'Electricity Sector Emissions'!AQ14</f>
        <v>3.9</v>
      </c>
      <c r="AM9" s="1004">
        <f>'Electricity Sector Emissions'!AR14</f>
        <v>3.8</v>
      </c>
    </row>
    <row r="10" spans="1:63" x14ac:dyDescent="0.25">
      <c r="B10" s="780" t="s">
        <v>41</v>
      </c>
      <c r="C10" s="978">
        <f>C5+C6+C7+C8+C9</f>
        <v>178.34161357938513</v>
      </c>
      <c r="D10" s="978">
        <f>D5+D6+D7+D8+D9</f>
        <v>174.65029547746263</v>
      </c>
      <c r="E10" s="978">
        <f>E5+E6+E7+E8+E9</f>
        <v>170.90164663336216</v>
      </c>
      <c r="F10" s="978">
        <f>F5+F6+F7+F8+F9</f>
        <v>170.77391585403157</v>
      </c>
      <c r="G10" s="978">
        <f t="shared" ref="G10:W10" si="0">SUM(G5:G9)+G20</f>
        <v>165.53872966766357</v>
      </c>
      <c r="H10" s="978">
        <f t="shared" si="0"/>
        <v>165.47438155868679</v>
      </c>
      <c r="I10" s="978">
        <f t="shared" si="0"/>
        <v>165.85583224299657</v>
      </c>
      <c r="J10" s="980">
        <f t="shared" si="0"/>
        <v>172.45474199832333</v>
      </c>
      <c r="K10" s="980">
        <f t="shared" si="0"/>
        <v>172.773276698687</v>
      </c>
      <c r="L10" s="980">
        <f t="shared" si="0"/>
        <v>173.10850988701461</v>
      </c>
      <c r="M10" s="980">
        <f t="shared" si="0"/>
        <v>173.46035636222621</v>
      </c>
      <c r="N10" s="978">
        <f t="shared" si="0"/>
        <v>163.91276856531002</v>
      </c>
      <c r="O10" s="978">
        <f t="shared" si="0"/>
        <v>163.79915159742103</v>
      </c>
      <c r="P10" s="978">
        <f t="shared" si="0"/>
        <v>163.74098988136689</v>
      </c>
      <c r="Q10" s="978">
        <f t="shared" si="0"/>
        <v>163.73776546381842</v>
      </c>
      <c r="R10" s="978">
        <f t="shared" si="0"/>
        <v>163.78899815574289</v>
      </c>
      <c r="S10" s="978">
        <f t="shared" si="0"/>
        <v>163.6594315752937</v>
      </c>
      <c r="T10" s="978">
        <f t="shared" si="0"/>
        <v>163.58556461984392</v>
      </c>
      <c r="U10" s="978">
        <f t="shared" si="0"/>
        <v>163.56614129558776</v>
      </c>
      <c r="V10" s="978">
        <f t="shared" si="0"/>
        <v>163.59996779021571</v>
      </c>
      <c r="W10" s="978">
        <f t="shared" si="0"/>
        <v>163.6859102909267</v>
      </c>
      <c r="X10" s="945"/>
      <c r="Y10" s="1006" t="s">
        <v>494</v>
      </c>
      <c r="Z10" s="1008" t="s">
        <v>493</v>
      </c>
      <c r="AA10" s="173"/>
      <c r="AB10" s="173"/>
      <c r="AC10" s="1003" t="s">
        <v>493</v>
      </c>
      <c r="AD10" s="1003">
        <f>'Electricity Sector Emissions'!$AI$16</f>
        <v>3.8699999999999997</v>
      </c>
      <c r="AE10" s="1003">
        <f>'Electricity Sector Emissions'!$AI$16</f>
        <v>3.8699999999999997</v>
      </c>
      <c r="AF10" s="1003">
        <f>'Electricity Sector Emissions'!$AI$16</f>
        <v>3.8699999999999997</v>
      </c>
      <c r="AG10" s="1003">
        <f>'Electricity Sector Emissions'!$AI$16</f>
        <v>3.8699999999999997</v>
      </c>
      <c r="AH10" s="1003">
        <f>'Electricity Sector Emissions'!$AI$16</f>
        <v>3.8699999999999997</v>
      </c>
      <c r="AI10" s="1003">
        <f>'Electricity Sector Emissions'!$AI$16</f>
        <v>3.8699999999999997</v>
      </c>
      <c r="AJ10" s="1003">
        <f>'Electricity Sector Emissions'!$AI$16</f>
        <v>3.8699999999999997</v>
      </c>
      <c r="AK10" s="1003">
        <f>'Electricity Sector Emissions'!$AI$16</f>
        <v>3.8699999999999997</v>
      </c>
      <c r="AL10" s="1003">
        <f>'Electricity Sector Emissions'!$AI$16</f>
        <v>3.8699999999999997</v>
      </c>
      <c r="AM10" s="1003">
        <f>'Electricity Sector Emissions'!$AI$16</f>
        <v>3.8699999999999997</v>
      </c>
    </row>
    <row r="11" spans="1:63" x14ac:dyDescent="0.25">
      <c r="G11" s="801"/>
      <c r="H11" s="805"/>
      <c r="I11" s="805"/>
      <c r="J11" s="806" t="s">
        <v>459</v>
      </c>
      <c r="K11" s="804"/>
      <c r="L11" s="804"/>
      <c r="M11" s="804"/>
      <c r="N11" s="1624" t="s">
        <v>609</v>
      </c>
      <c r="O11" s="1624"/>
      <c r="P11" s="1624"/>
      <c r="Q11" s="1624"/>
      <c r="R11" s="1624"/>
      <c r="S11" s="1624"/>
      <c r="T11" s="1624"/>
      <c r="U11" s="1624"/>
      <c r="V11" s="1624"/>
      <c r="W11" s="1624"/>
      <c r="X11" s="946"/>
    </row>
    <row r="12" spans="1:63" x14ac:dyDescent="0.25">
      <c r="B12" s="1154" t="s">
        <v>27</v>
      </c>
    </row>
    <row r="13" spans="1:63" s="772" customFormat="1" x14ac:dyDescent="0.25">
      <c r="A13" s="798"/>
      <c r="B13" s="799"/>
      <c r="C13" s="773">
        <v>2010</v>
      </c>
      <c r="D13" s="773">
        <v>2011</v>
      </c>
      <c r="E13" s="773">
        <v>2012</v>
      </c>
      <c r="F13" s="773">
        <v>2013</v>
      </c>
      <c r="G13" s="773">
        <v>2014</v>
      </c>
      <c r="H13" s="773">
        <v>2015</v>
      </c>
      <c r="I13" s="773">
        <v>2016</v>
      </c>
      <c r="J13" s="773">
        <v>2017</v>
      </c>
      <c r="K13" s="773">
        <v>2018</v>
      </c>
      <c r="L13" s="773">
        <v>2019</v>
      </c>
      <c r="M13" s="773">
        <v>2020</v>
      </c>
      <c r="N13" s="773">
        <v>2021</v>
      </c>
      <c r="O13" s="773">
        <v>2022</v>
      </c>
      <c r="P13" s="773">
        <v>2023</v>
      </c>
      <c r="Q13" s="773">
        <v>2024</v>
      </c>
      <c r="R13" s="773">
        <v>2025</v>
      </c>
      <c r="S13" s="773">
        <v>2026</v>
      </c>
      <c r="T13" s="773">
        <v>2027</v>
      </c>
      <c r="U13" s="773">
        <v>2028</v>
      </c>
      <c r="V13" s="773">
        <v>2029</v>
      </c>
      <c r="W13" s="773">
        <v>2030</v>
      </c>
      <c r="X13" s="947"/>
      <c r="Z13" s="800"/>
    </row>
    <row r="14" spans="1:63" s="775" customFormat="1" x14ac:dyDescent="0.25">
      <c r="A14" s="785"/>
      <c r="B14" s="774" t="s">
        <v>436</v>
      </c>
      <c r="C14" s="771"/>
      <c r="D14" s="771"/>
      <c r="E14" s="771"/>
      <c r="F14" s="771"/>
      <c r="G14" s="768"/>
      <c r="H14" s="768"/>
      <c r="I14" s="768"/>
      <c r="J14" s="803"/>
      <c r="K14" s="803"/>
      <c r="L14" s="803"/>
      <c r="M14" s="803"/>
      <c r="N14" s="802"/>
      <c r="O14" s="802"/>
      <c r="P14" s="802"/>
      <c r="Q14" s="802"/>
      <c r="R14" s="802"/>
      <c r="S14" s="802"/>
      <c r="T14" s="802"/>
      <c r="U14" s="802"/>
      <c r="V14" s="802"/>
      <c r="W14" s="802"/>
      <c r="X14" s="948"/>
    </row>
    <row r="15" spans="1:63" x14ac:dyDescent="0.25">
      <c r="B15" s="776" t="s">
        <v>437</v>
      </c>
      <c r="C15" s="979">
        <v>1.9258300387408509</v>
      </c>
      <c r="D15" s="979">
        <v>1.8710470815104994</v>
      </c>
      <c r="E15" s="979">
        <v>2.1933705693525845</v>
      </c>
      <c r="F15" s="979">
        <v>2.2655510656166098</v>
      </c>
      <c r="G15" s="979">
        <v>2.178746223449707</v>
      </c>
      <c r="H15" s="979">
        <v>2.2178666999924865</v>
      </c>
      <c r="I15" s="979">
        <v>2.2576896042289838</v>
      </c>
      <c r="J15" s="987">
        <v>2.2982275485992432</v>
      </c>
      <c r="K15" s="987">
        <v>2.3130394015912974</v>
      </c>
      <c r="L15" s="987">
        <v>2.3279467155350719</v>
      </c>
      <c r="M15" s="987">
        <v>2.3429501056671143</v>
      </c>
      <c r="N15" s="985">
        <f>'Navius Reference_July252017'!O101</f>
        <v>1.8088455707376501</v>
      </c>
      <c r="O15" s="985">
        <f>'Navius Reference_July252017'!P101</f>
        <v>1.8571685888059413</v>
      </c>
      <c r="P15" s="985">
        <f>'Navius Reference_July252017'!Q101</f>
        <v>1.9067825485184526</v>
      </c>
      <c r="Q15" s="985">
        <f>'Navius Reference_July252017'!R101</f>
        <v>1.9577219371732753</v>
      </c>
      <c r="R15" s="985">
        <f>'Navius Reference_July252017'!S101</f>
        <v>2.0100221633911133</v>
      </c>
      <c r="S15" s="985">
        <f>'Navius Reference_July252017'!T101</f>
        <v>2.0633462698849883</v>
      </c>
      <c r="T15" s="985">
        <f>'Navius Reference_July252017'!U101</f>
        <v>2.1180850176625059</v>
      </c>
      <c r="U15" s="985">
        <f>'Navius Reference_July252017'!V101</f>
        <v>2.1742759359031121</v>
      </c>
      <c r="V15" s="985">
        <f>'Navius Reference_July252017'!W101</f>
        <v>2.2319575494021207</v>
      </c>
      <c r="W15" s="985">
        <f>'Navius Reference_July252017'!X101</f>
        <v>2.2911694049835205</v>
      </c>
      <c r="X15" s="949"/>
      <c r="Y15" s="242"/>
      <c r="AC15" s="990"/>
      <c r="AD15" s="990"/>
      <c r="AE15" s="990"/>
      <c r="AF15" s="990"/>
      <c r="AG15" s="801"/>
      <c r="AH15" s="920"/>
      <c r="AI15" s="920"/>
      <c r="AJ15" s="920"/>
      <c r="AK15" s="920"/>
      <c r="AL15" s="920"/>
      <c r="AM15" s="920"/>
      <c r="AN15" s="920"/>
      <c r="AO15" s="920"/>
      <c r="AP15" s="920"/>
      <c r="AQ15" s="920"/>
      <c r="AR15" s="920"/>
      <c r="AS15" s="920"/>
      <c r="AT15" s="920"/>
      <c r="AU15" s="920"/>
      <c r="AV15" s="920"/>
      <c r="AW15" s="920"/>
      <c r="AX15" s="920"/>
      <c r="AY15" s="920"/>
      <c r="AZ15" s="920"/>
      <c r="BA15" s="920"/>
      <c r="BB15" s="920"/>
      <c r="BC15" s="920"/>
      <c r="BD15" s="948"/>
      <c r="BE15" s="948"/>
      <c r="BF15" s="948"/>
      <c r="BG15" s="948"/>
      <c r="BH15" s="948"/>
      <c r="BI15" s="948"/>
      <c r="BJ15" s="948"/>
      <c r="BK15" s="801"/>
    </row>
    <row r="16" spans="1:63" x14ac:dyDescent="0.25">
      <c r="B16" s="776" t="s">
        <v>440</v>
      </c>
      <c r="C16" s="979">
        <v>1.0934055606491213</v>
      </c>
      <c r="D16" s="979">
        <v>0.79935288145141126</v>
      </c>
      <c r="E16" s="979">
        <v>1.0075022921406105</v>
      </c>
      <c r="F16" s="979">
        <v>1.2431766438182221</v>
      </c>
      <c r="G16" s="979">
        <v>1.020704984664917</v>
      </c>
      <c r="H16" s="979">
        <v>1.0390322213478052</v>
      </c>
      <c r="I16" s="979">
        <v>1.0576885321603169</v>
      </c>
      <c r="J16" s="987">
        <v>1.0766798257827759</v>
      </c>
      <c r="K16" s="987">
        <v>1.083618923851003</v>
      </c>
      <c r="L16" s="987">
        <v>1.0906027437398191</v>
      </c>
      <c r="M16" s="987">
        <v>1.097631573677063</v>
      </c>
      <c r="N16" s="985">
        <f>'Navius Reference_July252017'!O105</f>
        <v>0.64888206519231584</v>
      </c>
      <c r="O16" s="985">
        <f>'Navius Reference_July252017'!P105</f>
        <v>0.65902404192205022</v>
      </c>
      <c r="P16" s="985">
        <f>'Navius Reference_July252017'!Q105</f>
        <v>0.66932453696736782</v>
      </c>
      <c r="Q16" s="985">
        <f>'Navius Reference_July252017'!R105</f>
        <v>0.67978602795733889</v>
      </c>
      <c r="R16" s="985">
        <f>'Navius Reference_July252017'!S105</f>
        <v>0.6904110312461853</v>
      </c>
      <c r="S16" s="985">
        <f>'Navius Reference_July252017'!T105</f>
        <v>0.70106916888027027</v>
      </c>
      <c r="T16" s="985">
        <f>'Navius Reference_July252017'!U105</f>
        <v>0.71189184023801555</v>
      </c>
      <c r="U16" s="985">
        <f>'Navius Reference_July252017'!V105</f>
        <v>0.72288158528908109</v>
      </c>
      <c r="V16" s="985">
        <f>'Navius Reference_July252017'!W105</f>
        <v>0.73404098321360423</v>
      </c>
      <c r="W16" s="985">
        <f>'Navius Reference_July252017'!X105</f>
        <v>0.74537265300750732</v>
      </c>
      <c r="X16" s="949"/>
      <c r="Y16" s="242"/>
      <c r="AC16" s="990"/>
      <c r="AD16" s="990"/>
      <c r="AE16" s="990"/>
      <c r="AF16" s="990"/>
      <c r="AG16" s="801"/>
      <c r="AH16" s="991"/>
      <c r="AI16" s="991"/>
      <c r="AJ16" s="991"/>
      <c r="AK16" s="991"/>
      <c r="AL16" s="991"/>
      <c r="AM16" s="991"/>
      <c r="AN16" s="991"/>
      <c r="AO16" s="991"/>
      <c r="AP16" s="991"/>
      <c r="AQ16" s="991"/>
      <c r="AR16" s="991"/>
      <c r="AS16" s="991"/>
      <c r="AT16" s="991"/>
      <c r="AU16" s="991"/>
      <c r="AV16" s="991"/>
      <c r="AW16" s="991"/>
      <c r="AX16" s="991"/>
      <c r="AY16" s="991"/>
      <c r="AZ16" s="991"/>
      <c r="BA16" s="991"/>
      <c r="BB16" s="991"/>
      <c r="BC16" s="991"/>
      <c r="BD16" s="990"/>
      <c r="BE16" s="990"/>
      <c r="BF16" s="990"/>
      <c r="BG16" s="990"/>
      <c r="BH16" s="990"/>
      <c r="BI16" s="990"/>
      <c r="BJ16" s="990"/>
      <c r="BK16" s="801"/>
    </row>
    <row r="17" spans="2:63" x14ac:dyDescent="0.25">
      <c r="B17" s="774" t="s">
        <v>149</v>
      </c>
      <c r="C17" s="979"/>
      <c r="D17" s="979"/>
      <c r="E17" s="979"/>
      <c r="F17" s="979"/>
      <c r="G17" s="979"/>
      <c r="H17" s="979"/>
      <c r="I17" s="979"/>
      <c r="J17" s="987"/>
      <c r="K17" s="987"/>
      <c r="L17" s="987"/>
      <c r="M17" s="987"/>
      <c r="N17" s="985"/>
      <c r="O17" s="985"/>
      <c r="P17" s="985"/>
      <c r="Q17" s="985"/>
      <c r="R17" s="985"/>
      <c r="S17" s="985"/>
      <c r="T17" s="985"/>
      <c r="U17" s="985"/>
      <c r="V17" s="985"/>
      <c r="W17" s="985"/>
      <c r="X17" s="949"/>
      <c r="Y17" s="242"/>
      <c r="AC17" s="990"/>
      <c r="AD17" s="990"/>
      <c r="AE17" s="990"/>
      <c r="AF17" s="990"/>
      <c r="AG17" s="801"/>
      <c r="AH17" s="991"/>
      <c r="AI17" s="991"/>
      <c r="AJ17" s="991"/>
      <c r="AK17" s="991"/>
      <c r="AL17" s="991"/>
      <c r="AM17" s="991"/>
      <c r="AN17" s="991"/>
      <c r="AO17" s="991"/>
      <c r="AP17" s="991"/>
      <c r="AQ17" s="991"/>
      <c r="AR17" s="991"/>
      <c r="AS17" s="991"/>
      <c r="AT17" s="991"/>
      <c r="AU17" s="991"/>
      <c r="AV17" s="991"/>
      <c r="AW17" s="991"/>
      <c r="AX17" s="991"/>
      <c r="AY17" s="991"/>
      <c r="AZ17" s="991"/>
      <c r="BA17" s="991"/>
      <c r="BB17" s="991"/>
      <c r="BC17" s="991"/>
      <c r="BD17" s="990"/>
      <c r="BE17" s="990"/>
      <c r="BF17" s="990"/>
      <c r="BG17" s="990"/>
      <c r="BH17" s="990"/>
      <c r="BI17" s="990"/>
      <c r="BJ17" s="990"/>
      <c r="BK17" s="801"/>
    </row>
    <row r="18" spans="2:63" x14ac:dyDescent="0.25">
      <c r="B18" s="776" t="s">
        <v>443</v>
      </c>
      <c r="C18" s="979"/>
      <c r="D18" s="979"/>
      <c r="E18" s="979"/>
      <c r="F18" s="979"/>
      <c r="G18" s="979"/>
      <c r="H18" s="979"/>
      <c r="I18" s="979"/>
      <c r="J18" s="987"/>
      <c r="K18" s="987"/>
      <c r="L18" s="987"/>
      <c r="M18" s="987"/>
      <c r="N18" s="985">
        <f>'Navius Reference_July252017'!O109</f>
        <v>0</v>
      </c>
      <c r="O18" s="985">
        <f>'Navius Reference_July252017'!P109</f>
        <v>0</v>
      </c>
      <c r="P18" s="985">
        <f>'Navius Reference_July252017'!Q109</f>
        <v>0</v>
      </c>
      <c r="Q18" s="985">
        <f>'Navius Reference_July252017'!R109</f>
        <v>0</v>
      </c>
      <c r="R18" s="985">
        <f>'Navius Reference_July252017'!S109</f>
        <v>0</v>
      </c>
      <c r="S18" s="985">
        <f>'Navius Reference_July252017'!T109</f>
        <v>0</v>
      </c>
      <c r="T18" s="985">
        <f>'Navius Reference_July252017'!U109</f>
        <v>0</v>
      </c>
      <c r="U18" s="985">
        <f>'Navius Reference_July252017'!V109</f>
        <v>0</v>
      </c>
      <c r="V18" s="985">
        <f>'Navius Reference_July252017'!W109</f>
        <v>0</v>
      </c>
      <c r="W18" s="985">
        <f>'Navius Reference_July252017'!X109</f>
        <v>0</v>
      </c>
      <c r="X18" s="949"/>
      <c r="Y18" s="242"/>
      <c r="AC18" s="990"/>
      <c r="AD18" s="990"/>
      <c r="AE18" s="990"/>
      <c r="AF18" s="990"/>
      <c r="AG18" s="801"/>
      <c r="AH18" s="991"/>
      <c r="AI18" s="991"/>
      <c r="AJ18" s="991"/>
      <c r="AK18" s="991"/>
      <c r="AL18" s="991"/>
      <c r="AM18" s="991"/>
      <c r="AN18" s="991"/>
      <c r="AO18" s="991"/>
      <c r="AP18" s="991"/>
      <c r="AQ18" s="991"/>
      <c r="AR18" s="991"/>
      <c r="AS18" s="991"/>
      <c r="AT18" s="991"/>
      <c r="AU18" s="991"/>
      <c r="AV18" s="991"/>
      <c r="AW18" s="991"/>
      <c r="AX18" s="991"/>
      <c r="AY18" s="991"/>
      <c r="AZ18" s="991"/>
      <c r="BA18" s="991"/>
      <c r="BB18" s="991"/>
      <c r="BC18" s="991"/>
      <c r="BD18" s="990"/>
      <c r="BE18" s="990"/>
      <c r="BF18" s="990"/>
      <c r="BG18" s="990"/>
      <c r="BH18" s="990"/>
      <c r="BI18" s="990"/>
      <c r="BJ18" s="990"/>
      <c r="BK18" s="801"/>
    </row>
    <row r="19" spans="2:63" x14ac:dyDescent="0.25">
      <c r="B19" s="776" t="s">
        <v>13</v>
      </c>
      <c r="C19" s="979">
        <v>1.4407926532994921</v>
      </c>
      <c r="D19" s="979">
        <v>1.3989883823603455</v>
      </c>
      <c r="E19" s="979">
        <v>1.3438506309937492</v>
      </c>
      <c r="F19" s="979">
        <v>1.3480338098310654</v>
      </c>
      <c r="G19" s="979">
        <v>1.267473578453064</v>
      </c>
      <c r="H19" s="979">
        <v>1.2777360381483835</v>
      </c>
      <c r="I19" s="979">
        <v>1.2880815907623946</v>
      </c>
      <c r="J19" s="987">
        <v>1.2985109090805054</v>
      </c>
      <c r="K19" s="987">
        <v>1.3083438644804923</v>
      </c>
      <c r="L19" s="987">
        <v>1.3182512797954649</v>
      </c>
      <c r="M19" s="987">
        <v>1.3282337188720703</v>
      </c>
      <c r="N19" s="986">
        <f>'Navius Reference_July252017'!O110</f>
        <v>1.3272527517286064</v>
      </c>
      <c r="O19" s="986">
        <f>'Navius Reference_July252017'!P110</f>
        <v>1.3254137642854384</v>
      </c>
      <c r="P19" s="986">
        <f>'Navius Reference_July252017'!Q110</f>
        <v>1.3235773248684937</v>
      </c>
      <c r="Q19" s="986">
        <f>'Navius Reference_July252017'!R110</f>
        <v>1.3217434299473305</v>
      </c>
      <c r="R19" s="986">
        <f>'Navius Reference_July252017'!S110</f>
        <v>1.3199120759963989</v>
      </c>
      <c r="S19" s="986">
        <f>'Navius Reference_July252017'!T110</f>
        <v>1.3190992124685561</v>
      </c>
      <c r="T19" s="986">
        <f>'Navius Reference_July252017'!U110</f>
        <v>1.3182868495400539</v>
      </c>
      <c r="U19" s="986">
        <f>'Navius Reference_July252017'!V110</f>
        <v>1.3174749869025999</v>
      </c>
      <c r="V19" s="986">
        <f>'Navius Reference_July252017'!W110</f>
        <v>1.3166636242480914</v>
      </c>
      <c r="W19" s="986">
        <f>'Navius Reference_July252017'!X110</f>
        <v>1.3158527612686157</v>
      </c>
      <c r="X19" s="950"/>
      <c r="Y19" s="287"/>
      <c r="AC19" s="992"/>
      <c r="AD19" s="992"/>
      <c r="AE19" s="992"/>
      <c r="AF19" s="992"/>
      <c r="AG19" s="801"/>
      <c r="AH19" s="991"/>
      <c r="AI19" s="991"/>
      <c r="AJ19" s="991"/>
      <c r="AK19" s="991"/>
      <c r="AL19" s="991"/>
      <c r="AM19" s="991"/>
      <c r="AN19" s="991"/>
      <c r="AO19" s="991"/>
      <c r="AP19" s="991"/>
      <c r="AQ19" s="991"/>
      <c r="AR19" s="991"/>
      <c r="AS19" s="991"/>
      <c r="AT19" s="991"/>
      <c r="AU19" s="991"/>
      <c r="AV19" s="991"/>
      <c r="AW19" s="991"/>
      <c r="AX19" s="991"/>
      <c r="AY19" s="991"/>
      <c r="AZ19" s="991"/>
      <c r="BA19" s="991"/>
      <c r="BB19" s="991"/>
      <c r="BC19" s="991"/>
      <c r="BD19" s="990"/>
      <c r="BE19" s="990"/>
      <c r="BF19" s="990"/>
      <c r="BG19" s="990"/>
      <c r="BH19" s="990"/>
      <c r="BI19" s="990"/>
      <c r="BJ19" s="990"/>
      <c r="BK19" s="801"/>
    </row>
    <row r="20" spans="2:63" x14ac:dyDescent="0.25">
      <c r="B20" s="774" t="s">
        <v>460</v>
      </c>
      <c r="C20" s="979"/>
      <c r="D20" s="979"/>
      <c r="E20" s="979"/>
      <c r="F20" s="979"/>
      <c r="G20" s="979"/>
      <c r="H20" s="979"/>
      <c r="I20" s="979"/>
      <c r="J20" s="987">
        <v>5.4117183032658893</v>
      </c>
      <c r="K20" s="987">
        <v>5.3633542114588604</v>
      </c>
      <c r="L20" s="987">
        <v>5.3154223456557066</v>
      </c>
      <c r="M20" s="987">
        <v>5.26791884308735</v>
      </c>
      <c r="N20" s="985"/>
      <c r="O20" s="985"/>
      <c r="P20" s="985"/>
      <c r="Q20" s="985"/>
      <c r="R20" s="985"/>
      <c r="S20" s="985"/>
      <c r="T20" s="985"/>
      <c r="U20" s="985"/>
      <c r="V20" s="985"/>
      <c r="W20" s="985"/>
      <c r="X20" s="949"/>
      <c r="Y20" s="777" t="s">
        <v>491</v>
      </c>
      <c r="AC20" s="990"/>
      <c r="AD20" s="990"/>
      <c r="AE20" s="990"/>
      <c r="AF20" s="990"/>
      <c r="AG20" s="801"/>
      <c r="AH20" s="991"/>
      <c r="AI20" s="991"/>
      <c r="AJ20" s="991"/>
      <c r="AK20" s="991"/>
      <c r="AL20" s="991"/>
      <c r="AM20" s="991"/>
      <c r="AN20" s="991"/>
      <c r="AO20" s="991"/>
      <c r="AP20" s="991"/>
      <c r="AQ20" s="991"/>
      <c r="AR20" s="991"/>
      <c r="AS20" s="991"/>
      <c r="AT20" s="991"/>
      <c r="AU20" s="991"/>
      <c r="AV20" s="991"/>
      <c r="AW20" s="991"/>
      <c r="AX20" s="991"/>
      <c r="AY20" s="991"/>
      <c r="AZ20" s="991"/>
      <c r="BA20" s="991"/>
      <c r="BB20" s="991"/>
      <c r="BC20" s="991"/>
      <c r="BD20" s="992"/>
      <c r="BE20" s="992"/>
      <c r="BF20" s="992"/>
      <c r="BG20" s="992"/>
      <c r="BH20" s="992"/>
      <c r="BI20" s="992"/>
      <c r="BJ20" s="992"/>
      <c r="BK20" s="801"/>
    </row>
    <row r="21" spans="2:63" x14ac:dyDescent="0.25">
      <c r="B21" s="776" t="s">
        <v>446</v>
      </c>
      <c r="C21" s="979"/>
      <c r="D21" s="979"/>
      <c r="E21" s="979"/>
      <c r="F21" s="979"/>
      <c r="G21" s="979"/>
      <c r="H21" s="979"/>
      <c r="I21" s="979"/>
      <c r="J21" s="987"/>
      <c r="K21" s="987"/>
      <c r="L21" s="987"/>
      <c r="M21" s="987"/>
      <c r="N21" s="985">
        <f>'Navius Reference_July252017'!O120</f>
        <v>3.9078462330709938</v>
      </c>
      <c r="O21" s="985">
        <f>'Navius Reference_July252017'!P120</f>
        <v>3.9661687237069994</v>
      </c>
      <c r="P21" s="985">
        <f>'Navius Reference_July252017'!Q120</f>
        <v>4.025361645959582</v>
      </c>
      <c r="Q21" s="985">
        <f>'Navius Reference_July252017'!R120</f>
        <v>4.0854379905496607</v>
      </c>
      <c r="R21" s="985">
        <f>'Navius Reference_July252017'!S120</f>
        <v>4.1464109420776367</v>
      </c>
      <c r="S21" s="985">
        <f>'Navius Reference_July252017'!T120</f>
        <v>4.1931172042540545</v>
      </c>
      <c r="T21" s="985">
        <f>'Navius Reference_July252017'!U120</f>
        <v>4.2403495780380691</v>
      </c>
      <c r="U21" s="985">
        <f>'Navius Reference_July252017'!V120</f>
        <v>4.2881139896890454</v>
      </c>
      <c r="V21" s="985">
        <f>'Navius Reference_July252017'!W120</f>
        <v>4.3364164322212924</v>
      </c>
      <c r="W21" s="985">
        <f>'Navius Reference_July252017'!X120</f>
        <v>4.3852629661560059</v>
      </c>
      <c r="X21" s="949"/>
      <c r="Y21" s="777"/>
      <c r="AC21" s="990"/>
      <c r="AD21" s="990"/>
      <c r="AE21" s="990"/>
      <c r="AF21" s="990"/>
      <c r="AG21" s="801"/>
      <c r="AH21" s="991"/>
      <c r="AI21" s="991"/>
      <c r="AJ21" s="991"/>
      <c r="AK21" s="991"/>
      <c r="AL21" s="991"/>
      <c r="AM21" s="991"/>
      <c r="AN21" s="991"/>
      <c r="AO21" s="991"/>
      <c r="AP21" s="991"/>
      <c r="AQ21" s="991"/>
      <c r="AR21" s="991"/>
      <c r="AS21" s="991"/>
      <c r="AT21" s="991"/>
      <c r="AU21" s="991"/>
      <c r="AV21" s="991"/>
      <c r="AW21" s="991"/>
      <c r="AX21" s="991"/>
      <c r="AY21" s="991"/>
      <c r="AZ21" s="991"/>
      <c r="BA21" s="991"/>
      <c r="BB21" s="991"/>
      <c r="BC21" s="991"/>
      <c r="BD21" s="992"/>
      <c r="BE21" s="992"/>
      <c r="BF21" s="992"/>
      <c r="BG21" s="992"/>
      <c r="BH21" s="992"/>
      <c r="BI21" s="992"/>
      <c r="BJ21" s="992"/>
      <c r="BK21" s="801"/>
    </row>
    <row r="22" spans="2:63" x14ac:dyDescent="0.25">
      <c r="B22" s="776" t="s">
        <v>35</v>
      </c>
      <c r="C22" s="979">
        <v>9.2617615999999986E-2</v>
      </c>
      <c r="D22" s="979">
        <v>9.8201560000000007E-2</v>
      </c>
      <c r="E22" s="979">
        <v>0.12523462800000001</v>
      </c>
      <c r="F22" s="979">
        <v>0.11147204200000001</v>
      </c>
      <c r="G22" s="979">
        <v>1.6015083789825439</v>
      </c>
      <c r="H22" s="979">
        <v>1.7121787075834989</v>
      </c>
      <c r="I22" s="979">
        <v>1.8304967773972876</v>
      </c>
      <c r="J22" s="987">
        <v>1.9569910764694214</v>
      </c>
      <c r="K22" s="987">
        <v>1.9566695161816621</v>
      </c>
      <c r="L22" s="987">
        <v>1.9563480087306375</v>
      </c>
      <c r="M22" s="987">
        <v>1.956026554107666</v>
      </c>
      <c r="N22" s="986"/>
      <c r="O22" s="986"/>
      <c r="P22" s="986"/>
      <c r="Q22" s="986"/>
      <c r="R22" s="986"/>
      <c r="S22" s="986"/>
      <c r="T22" s="986"/>
      <c r="U22" s="986"/>
      <c r="V22" s="986"/>
      <c r="W22" s="986"/>
      <c r="X22" s="950"/>
      <c r="AC22" s="992"/>
      <c r="AD22" s="992"/>
      <c r="AE22" s="992"/>
      <c r="AF22" s="992"/>
      <c r="AG22" s="801"/>
      <c r="AH22" s="991"/>
      <c r="AI22" s="991"/>
      <c r="AJ22" s="991"/>
      <c r="AK22" s="991"/>
      <c r="AL22" s="991"/>
      <c r="AM22" s="991"/>
      <c r="AN22" s="991"/>
      <c r="AO22" s="991"/>
      <c r="AP22" s="991"/>
      <c r="AQ22" s="991"/>
      <c r="AR22" s="991"/>
      <c r="AS22" s="991"/>
      <c r="AT22" s="991"/>
      <c r="AU22" s="991"/>
      <c r="AV22" s="991"/>
      <c r="AW22" s="991"/>
      <c r="AX22" s="991"/>
      <c r="AY22" s="991"/>
      <c r="AZ22" s="991"/>
      <c r="BA22" s="991"/>
      <c r="BB22" s="991"/>
      <c r="BC22" s="991"/>
      <c r="BD22" s="990"/>
      <c r="BE22" s="990"/>
      <c r="BF22" s="990"/>
      <c r="BG22" s="990"/>
      <c r="BH22" s="990"/>
      <c r="BI22" s="990"/>
      <c r="BJ22" s="990"/>
      <c r="BK22" s="801"/>
    </row>
    <row r="23" spans="2:63" x14ac:dyDescent="0.25">
      <c r="B23" s="774" t="s">
        <v>449</v>
      </c>
      <c r="C23" s="979">
        <v>10.568463080323705</v>
      </c>
      <c r="D23" s="979">
        <v>9.9956420702438074</v>
      </c>
      <c r="E23" s="979">
        <v>9.8713688043518335</v>
      </c>
      <c r="F23" s="979">
        <v>10.296296437414188</v>
      </c>
      <c r="G23" s="979">
        <v>9.8999996185302734</v>
      </c>
      <c r="H23" s="979">
        <v>9.8999996185302734</v>
      </c>
      <c r="I23" s="979">
        <v>9.8999996185302734</v>
      </c>
      <c r="J23" s="988">
        <v>9.1999998092651367</v>
      </c>
      <c r="K23" s="988">
        <v>9.1999998092651367</v>
      </c>
      <c r="L23" s="988">
        <v>9.1999998092651367</v>
      </c>
      <c r="M23" s="988">
        <v>9.1999998092651367</v>
      </c>
      <c r="N23" s="986">
        <f>'Navius Reference_July252017'!O124</f>
        <v>8.6265770898701959</v>
      </c>
      <c r="O23" s="986">
        <f>'Navius Reference_July252017'!P124</f>
        <v>8.6259312132696078</v>
      </c>
      <c r="P23" s="986">
        <f>'Navius Reference_July252017'!Q124</f>
        <v>8.6252853850261584</v>
      </c>
      <c r="Q23" s="986">
        <f>'Navius Reference_July252017'!R124</f>
        <v>8.6246396051362257</v>
      </c>
      <c r="R23" s="986">
        <f>'Navius Reference_July252017'!S124</f>
        <v>8.6239938735961914</v>
      </c>
      <c r="S23" s="986">
        <f>'Navius Reference_July252017'!T124</f>
        <v>8.6234315138824922</v>
      </c>
      <c r="T23" s="986">
        <f>'Navius Reference_July252017'!U124</f>
        <v>8.6228691908395572</v>
      </c>
      <c r="U23" s="986">
        <f>'Navius Reference_July252017'!V124</f>
        <v>8.6223069044649954</v>
      </c>
      <c r="V23" s="986">
        <f>'Navius Reference_July252017'!W124</f>
        <v>8.6217446547564158</v>
      </c>
      <c r="W23" s="986">
        <f>'Navius Reference_July252017'!X124</f>
        <v>8.6211824417114258</v>
      </c>
      <c r="X23" s="950"/>
      <c r="AC23" s="992"/>
      <c r="AD23" s="992"/>
      <c r="AE23" s="992"/>
      <c r="AF23" s="992"/>
      <c r="AG23" s="801"/>
      <c r="AH23" s="991"/>
      <c r="AI23" s="991"/>
      <c r="AJ23" s="991"/>
      <c r="AK23" s="991"/>
      <c r="AL23" s="991"/>
      <c r="AM23" s="991"/>
      <c r="AN23" s="991"/>
      <c r="AO23" s="991"/>
      <c r="AP23" s="991"/>
      <c r="AQ23" s="991"/>
      <c r="AR23" s="991"/>
      <c r="AS23" s="991"/>
      <c r="AT23" s="991"/>
      <c r="AU23" s="991"/>
      <c r="AV23" s="991"/>
      <c r="AW23" s="991"/>
      <c r="AX23" s="991"/>
      <c r="AY23" s="991"/>
      <c r="AZ23" s="991"/>
      <c r="BA23" s="991"/>
      <c r="BB23" s="991"/>
      <c r="BC23" s="991"/>
      <c r="BD23" s="992"/>
      <c r="BE23" s="992"/>
      <c r="BF23" s="992"/>
      <c r="BG23" s="992"/>
      <c r="BH23" s="992"/>
      <c r="BI23" s="992"/>
      <c r="BJ23" s="992"/>
      <c r="BK23" s="801"/>
    </row>
    <row r="24" spans="2:63" x14ac:dyDescent="0.25">
      <c r="B24" s="778" t="s">
        <v>447</v>
      </c>
      <c r="C24" s="979">
        <v>9.1174527201828681</v>
      </c>
      <c r="D24" s="979">
        <v>9.2778846717353911</v>
      </c>
      <c r="E24" s="979">
        <v>9.2233690480127777</v>
      </c>
      <c r="F24" s="979">
        <v>9.0363657341448818</v>
      </c>
      <c r="G24" s="979">
        <v>9.1999998092651367</v>
      </c>
      <c r="H24" s="979">
        <v>9.1999998092651367</v>
      </c>
      <c r="I24" s="979">
        <v>9.1999998092651367</v>
      </c>
      <c r="J24" s="988">
        <v>9.8999996185302734</v>
      </c>
      <c r="K24" s="988">
        <v>9.8999996185302734</v>
      </c>
      <c r="L24" s="988">
        <v>9.8999996185302734</v>
      </c>
      <c r="M24" s="988">
        <v>9.8999996185302734</v>
      </c>
      <c r="N24" s="986">
        <f>('Navius Reference_July252017'!O122+'Navius Reference_July252017'!O123)</f>
        <v>9.2252687948597476</v>
      </c>
      <c r="O24" s="986">
        <f>('Navius Reference_July252017'!P122+'Navius Reference_July252017'!P123)</f>
        <v>9.1866011132532108</v>
      </c>
      <c r="P24" s="986">
        <f>('Navius Reference_July252017'!Q122+'Navius Reference_July252017'!Q123)</f>
        <v>9.1481753472357727</v>
      </c>
      <c r="Q24" s="986">
        <f>('Navius Reference_July252017'!R122+'Navius Reference_July252017'!R123)</f>
        <v>9.1099897192060784</v>
      </c>
      <c r="R24" s="986">
        <f>('Navius Reference_July252017'!S122+'Navius Reference_July252017'!S123)</f>
        <v>9.0720424652099609</v>
      </c>
      <c r="S24" s="986">
        <f>('Navius Reference_July252017'!T122+'Navius Reference_July252017'!T123)</f>
        <v>9.0465586315601243</v>
      </c>
      <c r="T24" s="986">
        <f>('Navius Reference_July252017'!U122+'Navius Reference_July252017'!U123)</f>
        <v>9.0212376241987293</v>
      </c>
      <c r="U24" s="986">
        <f>('Navius Reference_July252017'!V122+'Navius Reference_July252017'!V123)</f>
        <v>8.9960783498217793</v>
      </c>
      <c r="V24" s="986">
        <f>('Navius Reference_July252017'!W122+'Navius Reference_July252017'!W123)</f>
        <v>8.9710797224798142</v>
      </c>
      <c r="W24" s="986">
        <f>('Navius Reference_July252017'!X122+'Navius Reference_July252017'!X123)</f>
        <v>8.9462406635284424</v>
      </c>
      <c r="X24" s="950"/>
      <c r="AC24" s="992"/>
      <c r="AD24" s="992"/>
      <c r="AE24" s="992"/>
      <c r="AF24" s="992"/>
      <c r="AG24" s="801"/>
      <c r="AH24" s="991"/>
      <c r="AI24" s="991"/>
      <c r="AJ24" s="991"/>
      <c r="AK24" s="991"/>
      <c r="AL24" s="991"/>
      <c r="AM24" s="991"/>
      <c r="AN24" s="991"/>
      <c r="AO24" s="991"/>
      <c r="AP24" s="991"/>
      <c r="AQ24" s="991"/>
      <c r="AR24" s="991"/>
      <c r="AS24" s="991"/>
      <c r="AT24" s="991"/>
      <c r="AU24" s="991"/>
      <c r="AV24" s="991"/>
      <c r="AW24" s="991"/>
      <c r="AX24" s="991"/>
      <c r="AY24" s="991"/>
      <c r="AZ24" s="991"/>
      <c r="BA24" s="991"/>
      <c r="BB24" s="991"/>
      <c r="BC24" s="991"/>
      <c r="BD24" s="992"/>
      <c r="BE24" s="992"/>
      <c r="BF24" s="992"/>
      <c r="BG24" s="992"/>
      <c r="BH24" s="992"/>
      <c r="BI24" s="992"/>
      <c r="BJ24" s="992"/>
      <c r="BK24" s="801"/>
    </row>
    <row r="25" spans="2:63" s="779" customFormat="1" ht="12.75" x14ac:dyDescent="0.2">
      <c r="C25" s="980">
        <f t="shared" ref="C25:W25" si="1">SUM(C15:C24)</f>
        <v>24.238561669196038</v>
      </c>
      <c r="D25" s="980">
        <f t="shared" si="1"/>
        <v>23.441116647301456</v>
      </c>
      <c r="E25" s="980">
        <f t="shared" si="1"/>
        <v>23.764695972851555</v>
      </c>
      <c r="F25" s="980">
        <f t="shared" si="1"/>
        <v>24.300895732824969</v>
      </c>
      <c r="G25" s="980">
        <f t="shared" si="1"/>
        <v>25.168432593345642</v>
      </c>
      <c r="H25" s="980">
        <f t="shared" si="1"/>
        <v>25.346813094867585</v>
      </c>
      <c r="I25" s="980">
        <f t="shared" si="1"/>
        <v>25.533955932344391</v>
      </c>
      <c r="J25" s="980">
        <f t="shared" si="1"/>
        <v>31.142127090993245</v>
      </c>
      <c r="K25" s="980">
        <f>SUM(K15:K24)</f>
        <v>31.125025345358726</v>
      </c>
      <c r="L25" s="980">
        <f>SUM(L15:L24)</f>
        <v>31.108570521252112</v>
      </c>
      <c r="M25" s="980">
        <f>SUM(M15:M24)</f>
        <v>31.092760223206675</v>
      </c>
      <c r="N25" s="980">
        <f t="shared" si="1"/>
        <v>25.544672505459509</v>
      </c>
      <c r="O25" s="980">
        <f t="shared" si="1"/>
        <v>25.620307445243249</v>
      </c>
      <c r="P25" s="980">
        <f t="shared" si="1"/>
        <v>25.698506788575827</v>
      </c>
      <c r="Q25" s="980">
        <f t="shared" si="1"/>
        <v>25.779318709969907</v>
      </c>
      <c r="R25" s="980">
        <f t="shared" si="1"/>
        <v>25.862792551517487</v>
      </c>
      <c r="S25" s="980">
        <f t="shared" si="1"/>
        <v>25.946622000930486</v>
      </c>
      <c r="T25" s="980">
        <f t="shared" si="1"/>
        <v>26.032720100516929</v>
      </c>
      <c r="U25" s="980">
        <f t="shared" si="1"/>
        <v>26.121131752070614</v>
      </c>
      <c r="V25" s="980">
        <f t="shared" si="1"/>
        <v>26.21190296632134</v>
      </c>
      <c r="W25" s="980">
        <f t="shared" si="1"/>
        <v>26.305080890655518</v>
      </c>
      <c r="X25" s="951"/>
      <c r="AC25" s="957"/>
      <c r="AD25" s="957"/>
      <c r="AE25" s="957"/>
      <c r="AF25" s="957"/>
      <c r="AG25" s="957"/>
      <c r="AH25" s="991"/>
      <c r="AI25" s="991"/>
      <c r="AJ25" s="991"/>
      <c r="AK25" s="991"/>
      <c r="AL25" s="991"/>
      <c r="AM25" s="991"/>
      <c r="AN25" s="991"/>
      <c r="AO25" s="991"/>
      <c r="AP25" s="991"/>
      <c r="AQ25" s="991"/>
      <c r="AR25" s="991"/>
      <c r="AS25" s="991"/>
      <c r="AT25" s="991"/>
      <c r="AU25" s="991"/>
      <c r="AV25" s="991"/>
      <c r="AW25" s="991"/>
      <c r="AX25" s="991"/>
      <c r="AY25" s="991"/>
      <c r="AZ25" s="991"/>
      <c r="BA25" s="991"/>
      <c r="BB25" s="991"/>
      <c r="BC25" s="991"/>
      <c r="BD25" s="992"/>
      <c r="BE25" s="992"/>
      <c r="BF25" s="992"/>
      <c r="BG25" s="992"/>
      <c r="BH25" s="992"/>
      <c r="BI25" s="992"/>
      <c r="BJ25" s="992"/>
      <c r="BK25" s="957"/>
    </row>
    <row r="26" spans="2:63" x14ac:dyDescent="0.25">
      <c r="C26" s="173"/>
      <c r="D26" s="173"/>
      <c r="E26" s="173"/>
      <c r="F26" s="173"/>
      <c r="G26" s="801"/>
      <c r="H26" s="805"/>
      <c r="I26" s="805"/>
      <c r="J26" s="806" t="s">
        <v>459</v>
      </c>
      <c r="K26" s="804"/>
      <c r="L26" s="804"/>
      <c r="M26" s="804"/>
      <c r="N26" s="1624" t="s">
        <v>609</v>
      </c>
      <c r="O26" s="1624"/>
      <c r="P26" s="1624"/>
      <c r="Q26" s="1624"/>
      <c r="R26" s="1624"/>
      <c r="S26" s="1624"/>
      <c r="T26" s="1624"/>
      <c r="U26" s="1624"/>
      <c r="V26" s="1624"/>
      <c r="W26" s="1624"/>
      <c r="X26" s="946"/>
      <c r="AC26" s="801"/>
      <c r="AD26" s="801"/>
      <c r="AE26" s="801"/>
      <c r="AF26" s="801"/>
      <c r="AG26" s="801"/>
      <c r="AH26" s="801"/>
      <c r="AI26" s="801"/>
      <c r="AJ26" s="801"/>
      <c r="AK26" s="801"/>
      <c r="AL26" s="801"/>
      <c r="AM26" s="801"/>
      <c r="AN26" s="801"/>
      <c r="AO26" s="801"/>
      <c r="AP26" s="801"/>
      <c r="AQ26" s="801"/>
      <c r="AR26" s="801"/>
      <c r="AS26" s="801"/>
      <c r="AT26" s="801"/>
      <c r="AU26" s="801"/>
      <c r="AV26" s="801"/>
      <c r="AW26" s="801"/>
      <c r="AX26" s="801"/>
      <c r="AY26" s="801"/>
      <c r="AZ26" s="801"/>
      <c r="BA26" s="801"/>
      <c r="BB26" s="801"/>
      <c r="BC26" s="801"/>
      <c r="BD26" s="801"/>
      <c r="BE26" s="801"/>
      <c r="BF26" s="801"/>
      <c r="BG26" s="801"/>
      <c r="BH26" s="801"/>
      <c r="BI26" s="801"/>
      <c r="BJ26" s="801"/>
      <c r="BK26" s="801"/>
    </row>
    <row r="27" spans="2:63" x14ac:dyDescent="0.25">
      <c r="B27" s="1154" t="s">
        <v>486</v>
      </c>
      <c r="AC27" s="801"/>
      <c r="AD27" s="801"/>
      <c r="AE27" s="801"/>
      <c r="AF27" s="801"/>
      <c r="AG27" s="801"/>
      <c r="AH27" s="801"/>
      <c r="AI27" s="801"/>
      <c r="AJ27" s="801"/>
      <c r="AK27" s="801"/>
      <c r="AL27" s="801"/>
      <c r="AM27" s="801"/>
      <c r="AN27" s="801"/>
      <c r="AO27" s="801"/>
      <c r="AP27" s="801"/>
      <c r="AQ27" s="801"/>
      <c r="AR27" s="801"/>
      <c r="AS27" s="801"/>
      <c r="AT27" s="801"/>
      <c r="AU27" s="801"/>
      <c r="AV27" s="801"/>
      <c r="AW27" s="801"/>
      <c r="AX27" s="801"/>
      <c r="AY27" s="801"/>
      <c r="AZ27" s="801"/>
      <c r="BA27" s="801"/>
      <c r="BB27" s="801"/>
      <c r="BC27" s="801"/>
      <c r="BD27" s="801"/>
      <c r="BE27" s="801"/>
      <c r="BF27" s="801"/>
      <c r="BG27" s="801"/>
      <c r="BH27" s="801"/>
      <c r="BI27" s="801"/>
      <c r="BJ27" s="801"/>
      <c r="BK27" s="801"/>
    </row>
    <row r="28" spans="2:63" x14ac:dyDescent="0.25">
      <c r="C28" s="1625" t="s">
        <v>101</v>
      </c>
      <c r="D28" s="1625"/>
      <c r="E28" s="1625"/>
      <c r="F28" s="1625"/>
      <c r="G28" s="1626" t="s">
        <v>463</v>
      </c>
      <c r="H28" s="1626"/>
      <c r="I28" s="1626"/>
      <c r="J28" s="1626"/>
      <c r="K28" s="1626"/>
      <c r="L28" s="1626"/>
      <c r="M28" s="1626"/>
      <c r="N28" s="1626"/>
      <c r="O28" s="1626"/>
      <c r="P28" s="1626"/>
      <c r="Q28" s="1626"/>
      <c r="R28" s="1626"/>
      <c r="S28" s="1626"/>
      <c r="T28" s="1626"/>
      <c r="U28" s="1626"/>
      <c r="V28" s="1626"/>
      <c r="W28" s="1626"/>
      <c r="X28" s="952"/>
      <c r="AC28" s="801"/>
      <c r="AD28" s="801"/>
      <c r="AE28" s="801"/>
      <c r="AF28" s="801"/>
      <c r="AG28" s="801"/>
      <c r="AH28" s="801"/>
      <c r="AI28" s="801"/>
      <c r="AJ28" s="801"/>
      <c r="AK28" s="801"/>
      <c r="AL28" s="801"/>
      <c r="AM28" s="801"/>
      <c r="AN28" s="801"/>
      <c r="AO28" s="801"/>
      <c r="AP28" s="801"/>
      <c r="AQ28" s="801"/>
      <c r="AR28" s="801"/>
      <c r="AS28" s="801"/>
      <c r="AT28" s="801"/>
      <c r="AU28" s="801"/>
      <c r="AV28" s="801"/>
      <c r="AW28" s="801"/>
      <c r="AX28" s="801"/>
      <c r="AY28" s="801"/>
      <c r="AZ28" s="801"/>
      <c r="BA28" s="801"/>
      <c r="BB28" s="801"/>
      <c r="BC28" s="801"/>
      <c r="BD28" s="801"/>
      <c r="BE28" s="801"/>
      <c r="BF28" s="801"/>
      <c r="BG28" s="801"/>
      <c r="BH28" s="801"/>
      <c r="BI28" s="801"/>
      <c r="BJ28" s="801"/>
      <c r="BK28" s="801"/>
    </row>
    <row r="29" spans="2:63" x14ac:dyDescent="0.25">
      <c r="B29" s="362"/>
      <c r="C29" s="769">
        <v>2010</v>
      </c>
      <c r="D29" s="769">
        <v>2011</v>
      </c>
      <c r="E29" s="769">
        <v>2012</v>
      </c>
      <c r="F29" s="769">
        <v>2013</v>
      </c>
      <c r="G29" s="769">
        <v>2014</v>
      </c>
      <c r="H29" s="769">
        <v>2015</v>
      </c>
      <c r="I29" s="769">
        <v>2016</v>
      </c>
      <c r="J29" s="770">
        <v>2017</v>
      </c>
      <c r="K29" s="770">
        <v>2018</v>
      </c>
      <c r="L29" s="770">
        <v>2019</v>
      </c>
      <c r="M29" s="770">
        <v>2020</v>
      </c>
      <c r="N29" s="770">
        <v>2021</v>
      </c>
      <c r="O29" s="770">
        <v>2022</v>
      </c>
      <c r="P29" s="770">
        <v>2023</v>
      </c>
      <c r="Q29" s="770">
        <v>2024</v>
      </c>
      <c r="R29" s="770">
        <v>2025</v>
      </c>
      <c r="S29" s="770">
        <v>2026</v>
      </c>
      <c r="T29" s="770">
        <v>2027</v>
      </c>
      <c r="U29" s="770">
        <v>2028</v>
      </c>
      <c r="V29" s="770">
        <v>2029</v>
      </c>
      <c r="W29" s="770">
        <v>2030</v>
      </c>
      <c r="X29" s="953"/>
      <c r="AC29" s="801"/>
      <c r="AD29" s="801"/>
      <c r="AE29" s="801"/>
      <c r="AF29" s="801"/>
      <c r="AG29" s="801"/>
      <c r="AH29" s="801"/>
      <c r="AI29" s="801"/>
      <c r="AJ29" s="801"/>
      <c r="AK29" s="801"/>
      <c r="AL29" s="801"/>
      <c r="AM29" s="801"/>
      <c r="AN29" s="801"/>
      <c r="AO29" s="801"/>
      <c r="AP29" s="801"/>
      <c r="AQ29" s="801"/>
      <c r="AR29" s="801"/>
      <c r="AS29" s="801"/>
      <c r="AT29" s="801"/>
      <c r="AU29" s="801"/>
      <c r="AV29" s="801"/>
      <c r="AW29" s="801"/>
      <c r="AX29" s="801"/>
      <c r="AY29" s="801"/>
      <c r="AZ29" s="801"/>
      <c r="BA29" s="801"/>
      <c r="BB29" s="801"/>
      <c r="BC29" s="801"/>
      <c r="BD29" s="801"/>
      <c r="BE29" s="801"/>
      <c r="BF29" s="801"/>
      <c r="BG29" s="801"/>
      <c r="BH29" s="801"/>
      <c r="BI29" s="801"/>
      <c r="BJ29" s="801"/>
      <c r="BK29" s="801"/>
    </row>
    <row r="30" spans="2:63" x14ac:dyDescent="0.25">
      <c r="B30" s="789" t="s">
        <v>462</v>
      </c>
      <c r="C30" s="842">
        <f t="shared" ref="C30:W30" si="2">C33/1000000</f>
        <v>29.568594999999998</v>
      </c>
      <c r="D30" s="842">
        <f t="shared" si="2"/>
        <v>30.181574999999999</v>
      </c>
      <c r="E30" s="842">
        <f t="shared" si="2"/>
        <v>30.908985000000001</v>
      </c>
      <c r="F30" s="842">
        <f t="shared" si="2"/>
        <v>28.411908</v>
      </c>
      <c r="G30" s="842">
        <f t="shared" si="2"/>
        <v>28.688124070619835</v>
      </c>
      <c r="H30" s="842">
        <f t="shared" si="2"/>
        <v>28.925179165733535</v>
      </c>
      <c r="I30" s="842">
        <f t="shared" si="2"/>
        <v>29.196001128480333</v>
      </c>
      <c r="J30" s="842">
        <f t="shared" si="2"/>
        <v>29.502350481872782</v>
      </c>
      <c r="K30" s="842">
        <f t="shared" si="2"/>
        <v>29.119064061200707</v>
      </c>
      <c r="L30" s="842">
        <f t="shared" si="2"/>
        <v>28.743845317554793</v>
      </c>
      <c r="M30" s="842">
        <f t="shared" si="2"/>
        <v>28.376472501034623</v>
      </c>
      <c r="N30" s="842">
        <f t="shared" si="2"/>
        <v>28.287904340059541</v>
      </c>
      <c r="O30" s="842">
        <f t="shared" si="2"/>
        <v>28.202186816347496</v>
      </c>
      <c r="P30" s="842">
        <f t="shared" si="2"/>
        <v>28.119274205747686</v>
      </c>
      <c r="Q30" s="842">
        <f t="shared" si="2"/>
        <v>27.96188828683243</v>
      </c>
      <c r="R30" s="842">
        <f t="shared" si="2"/>
        <v>27.811303781710581</v>
      </c>
      <c r="S30" s="842">
        <f t="shared" si="2"/>
        <v>27.667315363055351</v>
      </c>
      <c r="T30" s="842">
        <f t="shared" si="2"/>
        <v>27.655336824046266</v>
      </c>
      <c r="U30" s="842">
        <f t="shared" si="2"/>
        <v>27.645743314614602</v>
      </c>
      <c r="V30" s="842">
        <f t="shared" si="2"/>
        <v>27.638501463928563</v>
      </c>
      <c r="W30" s="842">
        <f t="shared" si="2"/>
        <v>27.440732266348103</v>
      </c>
      <c r="X30" s="954"/>
    </row>
    <row r="31" spans="2:63" x14ac:dyDescent="0.25">
      <c r="B31" s="790" t="s">
        <v>100</v>
      </c>
      <c r="C31" s="989">
        <f>(C6-C19-C22+C7)-C30</f>
        <v>47.324697505737518</v>
      </c>
      <c r="D31" s="989">
        <f t="shared" ref="D31:M31" si="3">(D6-D19-D22+D7)-D30</f>
        <v>49.344713290930443</v>
      </c>
      <c r="E31" s="989">
        <f t="shared" si="3"/>
        <v>47.583275070485712</v>
      </c>
      <c r="F31" s="989">
        <f t="shared" si="3"/>
        <v>50.473716294161733</v>
      </c>
      <c r="G31" s="989">
        <f t="shared" si="3"/>
        <v>42.210292090917335</v>
      </c>
      <c r="H31" s="989">
        <f t="shared" si="3"/>
        <v>42.76332704831394</v>
      </c>
      <c r="I31" s="989">
        <f t="shared" si="3"/>
        <v>43.315035535301021</v>
      </c>
      <c r="J31" s="989">
        <f t="shared" si="3"/>
        <v>43.865649727458731</v>
      </c>
      <c r="K31" s="989">
        <f t="shared" si="3"/>
        <v>44.188444364408625</v>
      </c>
      <c r="L31" s="989">
        <f t="shared" si="3"/>
        <v>44.516669878249765</v>
      </c>
      <c r="M31" s="989">
        <f t="shared" si="3"/>
        <v>44.850448759322276</v>
      </c>
      <c r="N31" s="989">
        <f>(N6-N19-N21-N22+N7)-N30</f>
        <v>49.938340066035636</v>
      </c>
      <c r="O31" s="989">
        <f t="shared" ref="O31:W31" si="4">(O6-O19-O21-O22+O7)-O30</f>
        <v>50.570389025506515</v>
      </c>
      <c r="P31" s="989">
        <f t="shared" si="4"/>
        <v>51.224232231840148</v>
      </c>
      <c r="Q31" s="989">
        <f t="shared" si="4"/>
        <v>51.977440084565686</v>
      </c>
      <c r="R31" s="989">
        <f t="shared" si="4"/>
        <v>52.749039517350482</v>
      </c>
      <c r="S31" s="989">
        <f t="shared" si="4"/>
        <v>53.350156960913196</v>
      </c>
      <c r="T31" s="989">
        <f t="shared" si="4"/>
        <v>53.832034834393404</v>
      </c>
      <c r="U31" s="989">
        <f t="shared" si="4"/>
        <v>54.324439407275889</v>
      </c>
      <c r="V31" s="989">
        <f t="shared" si="4"/>
        <v>54.827548560840981</v>
      </c>
      <c r="W31" s="989">
        <f t="shared" si="4"/>
        <v>55.53438894491245</v>
      </c>
      <c r="X31" s="920"/>
    </row>
    <row r="32" spans="2:63" x14ac:dyDescent="0.25">
      <c r="C32" s="1627" t="s">
        <v>103</v>
      </c>
      <c r="D32" s="1627"/>
      <c r="E32" s="1627"/>
      <c r="F32" s="1627"/>
      <c r="G32" s="1627"/>
      <c r="H32" s="1627"/>
      <c r="I32" s="1627"/>
      <c r="J32" s="1627"/>
      <c r="K32" s="1627"/>
      <c r="L32" s="1627"/>
      <c r="M32" s="1627"/>
      <c r="N32" s="1627"/>
      <c r="O32" s="1627"/>
      <c r="P32" s="1627"/>
      <c r="Q32" s="1627"/>
      <c r="R32" s="1627"/>
      <c r="S32" s="1627"/>
      <c r="T32" s="1627"/>
      <c r="U32" s="1627"/>
      <c r="V32" s="1627"/>
      <c r="W32" s="1627"/>
      <c r="X32" s="952"/>
    </row>
    <row r="33" spans="1:61" s="814" customFormat="1" x14ac:dyDescent="0.25">
      <c r="A33" s="813"/>
      <c r="B33" s="815" t="s">
        <v>465</v>
      </c>
      <c r="C33" s="843">
        <v>29568595</v>
      </c>
      <c r="D33" s="843">
        <v>30181575</v>
      </c>
      <c r="E33" s="843">
        <v>30908985</v>
      </c>
      <c r="F33" s="843">
        <v>28411908</v>
      </c>
      <c r="G33" s="843">
        <v>28688124.070619836</v>
      </c>
      <c r="H33" s="843">
        <v>28925179.165733535</v>
      </c>
      <c r="I33" s="843">
        <v>29196001.128480334</v>
      </c>
      <c r="J33" s="843">
        <v>29502350.481872782</v>
      </c>
      <c r="K33" s="843">
        <v>29119064.061200708</v>
      </c>
      <c r="L33" s="843">
        <v>28743845.317554794</v>
      </c>
      <c r="M33" s="843">
        <v>28376472.501034625</v>
      </c>
      <c r="N33" s="843">
        <v>28287904.340059541</v>
      </c>
      <c r="O33" s="843">
        <v>28202186.816347495</v>
      </c>
      <c r="P33" s="843">
        <v>28119274.205747686</v>
      </c>
      <c r="Q33" s="843">
        <v>27961888.286832429</v>
      </c>
      <c r="R33" s="843">
        <v>27811303.78171058</v>
      </c>
      <c r="S33" s="843">
        <v>27667315.363055352</v>
      </c>
      <c r="T33" s="843">
        <v>27655336.824046265</v>
      </c>
      <c r="U33" s="843">
        <v>27645743.314614601</v>
      </c>
      <c r="V33" s="843">
        <v>27638501.463928562</v>
      </c>
      <c r="W33" s="843">
        <v>27440732.266348105</v>
      </c>
      <c r="X33" s="955"/>
    </row>
    <row r="34" spans="1:61" s="811" customFormat="1" x14ac:dyDescent="0.25">
      <c r="A34" s="809"/>
      <c r="B34" s="810" t="s">
        <v>466</v>
      </c>
      <c r="C34" s="810">
        <f>BB77</f>
        <v>31.380570000000006</v>
      </c>
      <c r="D34" s="810">
        <f>BC77</f>
        <v>31.553200999999998</v>
      </c>
      <c r="E34" s="810">
        <f>BD77</f>
        <v>32.066291999999997</v>
      </c>
      <c r="F34" s="810">
        <f>BE77</f>
        <v>29.877814000000001</v>
      </c>
      <c r="G34" s="810">
        <f t="shared" ref="G34:W34" si="5">F34*G6/F6</f>
        <v>26.765653487802332</v>
      </c>
      <c r="H34" s="810">
        <f t="shared" si="5"/>
        <v>27.098685927264093</v>
      </c>
      <c r="I34" s="810">
        <f t="shared" si="5"/>
        <v>27.453967008654384</v>
      </c>
      <c r="J34" s="810">
        <f>I34*J6/I6</f>
        <v>27.833040087668703</v>
      </c>
      <c r="K34" s="810">
        <f t="shared" si="5"/>
        <v>27.533891160568956</v>
      </c>
      <c r="L34" s="810">
        <f t="shared" si="5"/>
        <v>27.239693257392815</v>
      </c>
      <c r="M34" s="810">
        <f t="shared" si="5"/>
        <v>26.950337526818043</v>
      </c>
      <c r="N34" s="810">
        <f t="shared" si="5"/>
        <v>32.843626390447682</v>
      </c>
      <c r="O34" s="810">
        <f t="shared" si="5"/>
        <v>33.341504315741588</v>
      </c>
      <c r="P34" s="810">
        <f t="shared" si="5"/>
        <v>33.850789429020026</v>
      </c>
      <c r="Q34" s="810">
        <f t="shared" si="5"/>
        <v>34.371723054010971</v>
      </c>
      <c r="R34" s="810">
        <f t="shared" si="5"/>
        <v>34.904551378712064</v>
      </c>
      <c r="S34" s="810">
        <f t="shared" si="5"/>
        <v>35.176340803243406</v>
      </c>
      <c r="T34" s="810">
        <f t="shared" si="5"/>
        <v>35.45524597649262</v>
      </c>
      <c r="U34" s="810">
        <f t="shared" si="5"/>
        <v>35.741348330488407</v>
      </c>
      <c r="V34" s="810">
        <f t="shared" si="5"/>
        <v>36.034731138561341</v>
      </c>
      <c r="W34" s="810">
        <f t="shared" si="5"/>
        <v>36.335479541053047</v>
      </c>
      <c r="X34" s="956"/>
    </row>
    <row r="35" spans="1:61" s="809" customFormat="1" x14ac:dyDescent="0.25">
      <c r="B35" s="812"/>
      <c r="C35" s="812"/>
      <c r="D35" s="812"/>
      <c r="E35" s="812"/>
      <c r="F35" s="812"/>
      <c r="G35" s="812"/>
      <c r="H35" s="812"/>
      <c r="I35" s="812"/>
      <c r="J35" s="812"/>
      <c r="K35" s="812"/>
      <c r="L35" s="812"/>
      <c r="M35" s="812"/>
      <c r="N35" s="812"/>
      <c r="O35" s="812"/>
      <c r="P35" s="812"/>
      <c r="Q35" s="812"/>
      <c r="R35" s="812"/>
      <c r="S35" s="812"/>
      <c r="T35" s="812"/>
      <c r="U35" s="812"/>
      <c r="V35" s="812"/>
      <c r="W35" s="812"/>
      <c r="X35" s="956"/>
    </row>
    <row r="36" spans="1:61" s="788" customFormat="1" x14ac:dyDescent="0.25">
      <c r="A36" s="785"/>
    </row>
    <row r="37" spans="1:61" s="785" customFormat="1" x14ac:dyDescent="0.25">
      <c r="B37" s="1155" t="s">
        <v>521</v>
      </c>
    </row>
    <row r="38" spans="1:61" x14ac:dyDescent="0.25">
      <c r="B38" s="764" t="s">
        <v>608</v>
      </c>
      <c r="C38" s="781">
        <v>2010</v>
      </c>
      <c r="D38" s="781">
        <v>2011</v>
      </c>
      <c r="E38" s="781">
        <v>2012</v>
      </c>
      <c r="F38" s="781">
        <v>2013</v>
      </c>
      <c r="G38" s="781">
        <v>2014</v>
      </c>
      <c r="H38" s="781">
        <v>2015</v>
      </c>
      <c r="I38" s="780">
        <v>2016</v>
      </c>
      <c r="J38" s="780">
        <v>2017</v>
      </c>
      <c r="K38" s="780">
        <v>2018</v>
      </c>
      <c r="L38" s="780">
        <v>2019</v>
      </c>
      <c r="M38" s="780">
        <v>2020</v>
      </c>
      <c r="N38" s="780">
        <v>2021</v>
      </c>
      <c r="O38" s="780">
        <v>2022</v>
      </c>
      <c r="P38" s="780">
        <v>2023</v>
      </c>
      <c r="Q38" s="780">
        <v>2024</v>
      </c>
      <c r="R38" s="780">
        <v>2025</v>
      </c>
      <c r="S38" s="780">
        <v>2026</v>
      </c>
      <c r="T38" s="780">
        <v>2027</v>
      </c>
      <c r="U38" s="780">
        <v>2028</v>
      </c>
      <c r="V38" s="780">
        <v>2029</v>
      </c>
      <c r="W38" s="780">
        <v>2030</v>
      </c>
      <c r="X38" s="957"/>
    </row>
    <row r="39" spans="1:61" s="764" customFormat="1" ht="12.75" x14ac:dyDescent="0.2">
      <c r="A39" s="816"/>
      <c r="B39" s="846" t="s">
        <v>96</v>
      </c>
      <c r="C39" s="847">
        <f t="shared" ref="C39:W39" si="6">C30</f>
        <v>29.568594999999998</v>
      </c>
      <c r="D39" s="847">
        <f t="shared" si="6"/>
        <v>30.181574999999999</v>
      </c>
      <c r="E39" s="847">
        <f t="shared" si="6"/>
        <v>30.908985000000001</v>
      </c>
      <c r="F39" s="847">
        <f t="shared" si="6"/>
        <v>28.411908</v>
      </c>
      <c r="G39" s="847">
        <f t="shared" si="6"/>
        <v>28.688124070619835</v>
      </c>
      <c r="H39" s="847">
        <f t="shared" si="6"/>
        <v>28.925179165733535</v>
      </c>
      <c r="I39" s="847">
        <f t="shared" si="6"/>
        <v>29.196001128480333</v>
      </c>
      <c r="J39" s="829">
        <f t="shared" si="6"/>
        <v>29.502350481872782</v>
      </c>
      <c r="K39" s="829">
        <f t="shared" si="6"/>
        <v>29.119064061200707</v>
      </c>
      <c r="L39" s="829">
        <f t="shared" si="6"/>
        <v>28.743845317554793</v>
      </c>
      <c r="M39" s="829">
        <f t="shared" si="6"/>
        <v>28.376472501034623</v>
      </c>
      <c r="N39" s="831">
        <f t="shared" si="6"/>
        <v>28.287904340059541</v>
      </c>
      <c r="O39" s="831">
        <f t="shared" si="6"/>
        <v>28.202186816347496</v>
      </c>
      <c r="P39" s="831">
        <f t="shared" si="6"/>
        <v>28.119274205747686</v>
      </c>
      <c r="Q39" s="831">
        <f t="shared" si="6"/>
        <v>27.96188828683243</v>
      </c>
      <c r="R39" s="831">
        <f t="shared" si="6"/>
        <v>27.811303781710581</v>
      </c>
      <c r="S39" s="831">
        <f t="shared" si="6"/>
        <v>27.667315363055351</v>
      </c>
      <c r="T39" s="831">
        <f t="shared" si="6"/>
        <v>27.655336824046266</v>
      </c>
      <c r="U39" s="831">
        <f t="shared" si="6"/>
        <v>27.645743314614602</v>
      </c>
      <c r="V39" s="831">
        <f t="shared" si="6"/>
        <v>27.638501463928563</v>
      </c>
      <c r="W39" s="831">
        <f t="shared" si="6"/>
        <v>27.440732266348103</v>
      </c>
      <c r="X39" s="847"/>
    </row>
    <row r="40" spans="1:61" s="764" customFormat="1" ht="12.75" customHeight="1" x14ac:dyDescent="0.2">
      <c r="A40" s="816"/>
      <c r="B40" s="846" t="s">
        <v>110</v>
      </c>
      <c r="C40" s="847">
        <f>C5</f>
        <v>19.802272114057871</v>
      </c>
      <c r="D40" s="847">
        <f t="shared" ref="D40:W40" si="7">D5</f>
        <v>14.218297326696581</v>
      </c>
      <c r="E40" s="847">
        <f t="shared" si="7"/>
        <v>14.154796364649654</v>
      </c>
      <c r="F40" s="847">
        <f t="shared" si="7"/>
        <v>10.890218042777901</v>
      </c>
      <c r="G40" s="847">
        <f t="shared" si="7"/>
        <v>11.203585624694824</v>
      </c>
      <c r="H40" s="847">
        <f t="shared" si="7"/>
        <v>9.1245328705612145</v>
      </c>
      <c r="I40" s="847">
        <f t="shared" si="7"/>
        <v>7.4312905613393676</v>
      </c>
      <c r="J40" s="829">
        <f t="shared" si="7"/>
        <v>6.480922986572784</v>
      </c>
      <c r="K40" s="829">
        <f t="shared" si="7"/>
        <v>6.480922986572784</v>
      </c>
      <c r="L40" s="829">
        <f t="shared" si="7"/>
        <v>6.480922986572784</v>
      </c>
      <c r="M40" s="829">
        <f t="shared" si="7"/>
        <v>6.480922986572784</v>
      </c>
      <c r="N40" s="831">
        <f t="shared" si="7"/>
        <v>3.8699999999999997</v>
      </c>
      <c r="O40" s="831">
        <f t="shared" si="7"/>
        <v>3.8699999999999997</v>
      </c>
      <c r="P40" s="831">
        <f t="shared" si="7"/>
        <v>3.8699999999999997</v>
      </c>
      <c r="Q40" s="831">
        <f t="shared" si="7"/>
        <v>3.8699999999999997</v>
      </c>
      <c r="R40" s="831">
        <f t="shared" si="7"/>
        <v>3.8699999999999997</v>
      </c>
      <c r="S40" s="831">
        <f t="shared" si="7"/>
        <v>3.8699999999999997</v>
      </c>
      <c r="T40" s="831">
        <f t="shared" si="7"/>
        <v>3.8699999999999997</v>
      </c>
      <c r="U40" s="831">
        <f t="shared" si="7"/>
        <v>3.8699999999999997</v>
      </c>
      <c r="V40" s="831">
        <f t="shared" si="7"/>
        <v>3.8699999999999997</v>
      </c>
      <c r="W40" s="831">
        <f t="shared" si="7"/>
        <v>3.8699999999999997</v>
      </c>
      <c r="X40" s="958"/>
      <c r="BA40" s="364" t="s">
        <v>69</v>
      </c>
    </row>
    <row r="41" spans="1:61" s="764" customFormat="1" ht="12.75" customHeight="1" x14ac:dyDescent="0.2">
      <c r="A41" s="816"/>
      <c r="B41" s="846" t="s">
        <v>66</v>
      </c>
      <c r="C41" s="847">
        <f>(C8-C15-C16)</f>
        <v>57.407487290393703</v>
      </c>
      <c r="D41" s="847">
        <f t="shared" ref="D41:W41" si="8">(D8-D15-D16)</f>
        <v>57.464593212534183</v>
      </c>
      <c r="E41" s="847">
        <f t="shared" si="8"/>
        <v>54.489894225375245</v>
      </c>
      <c r="F41" s="847">
        <f t="shared" si="8"/>
        <v>56.697177784266955</v>
      </c>
      <c r="G41" s="847">
        <f t="shared" si="8"/>
        <v>58.268295288085938</v>
      </c>
      <c r="H41" s="847">
        <f t="shared" si="8"/>
        <v>59.314529379210505</v>
      </c>
      <c r="I41" s="847">
        <f t="shared" si="8"/>
        <v>60.379549085531437</v>
      </c>
      <c r="J41" s="829">
        <f t="shared" si="8"/>
        <v>61.463691711425781</v>
      </c>
      <c r="K41" s="829">
        <f t="shared" si="8"/>
        <v>61.859819941146142</v>
      </c>
      <c r="L41" s="829">
        <f t="shared" si="8"/>
        <v>62.258501183385142</v>
      </c>
      <c r="M41" s="829">
        <f t="shared" si="8"/>
        <v>62.659751892089844</v>
      </c>
      <c r="N41" s="831">
        <f t="shared" si="8"/>
        <v>56.271851653755327</v>
      </c>
      <c r="O41" s="831">
        <f t="shared" si="8"/>
        <v>55.536268310323791</v>
      </c>
      <c r="P41" s="831">
        <f t="shared" si="8"/>
        <v>54.828976655203235</v>
      </c>
      <c r="Q41" s="831">
        <f t="shared" si="8"/>
        <v>54.149118382450382</v>
      </c>
      <c r="R41" s="831">
        <f t="shared" si="8"/>
        <v>53.495862305164337</v>
      </c>
      <c r="S41" s="831">
        <f t="shared" si="8"/>
        <v>52.825337250394668</v>
      </c>
      <c r="T41" s="831">
        <f t="shared" si="8"/>
        <v>52.1954728608873</v>
      </c>
      <c r="U41" s="831">
        <f t="shared" si="8"/>
        <v>51.604826821626659</v>
      </c>
      <c r="V41" s="831">
        <f t="shared" si="8"/>
        <v>51.052014799124841</v>
      </c>
      <c r="W41" s="831">
        <f t="shared" si="8"/>
        <v>50.53570818901062</v>
      </c>
      <c r="X41" s="847"/>
      <c r="BA41" s="764" t="s">
        <v>70</v>
      </c>
    </row>
    <row r="42" spans="1:61" s="764" customFormat="1" ht="12.75" x14ac:dyDescent="0.2">
      <c r="A42" s="816"/>
      <c r="B42" s="846" t="s">
        <v>67</v>
      </c>
      <c r="C42" s="847">
        <f t="shared" ref="C42:W42" si="9">C31</f>
        <v>47.324697505737518</v>
      </c>
      <c r="D42" s="847">
        <f t="shared" si="9"/>
        <v>49.344713290930443</v>
      </c>
      <c r="E42" s="847">
        <f t="shared" si="9"/>
        <v>47.583275070485712</v>
      </c>
      <c r="F42" s="847">
        <f t="shared" si="9"/>
        <v>50.473716294161733</v>
      </c>
      <c r="G42" s="847">
        <f t="shared" si="9"/>
        <v>42.210292090917335</v>
      </c>
      <c r="H42" s="847">
        <f t="shared" si="9"/>
        <v>42.76332704831394</v>
      </c>
      <c r="I42" s="847">
        <f t="shared" si="9"/>
        <v>43.315035535301021</v>
      </c>
      <c r="J42" s="829">
        <f t="shared" si="9"/>
        <v>43.865649727458731</v>
      </c>
      <c r="K42" s="829">
        <f t="shared" si="9"/>
        <v>44.188444364408625</v>
      </c>
      <c r="L42" s="829">
        <f t="shared" si="9"/>
        <v>44.516669878249765</v>
      </c>
      <c r="M42" s="829">
        <f t="shared" si="9"/>
        <v>44.850448759322276</v>
      </c>
      <c r="N42" s="831">
        <f t="shared" si="9"/>
        <v>49.938340066035636</v>
      </c>
      <c r="O42" s="831">
        <f t="shared" si="9"/>
        <v>50.570389025506515</v>
      </c>
      <c r="P42" s="831">
        <f t="shared" si="9"/>
        <v>51.224232231840148</v>
      </c>
      <c r="Q42" s="831">
        <f t="shared" si="9"/>
        <v>51.977440084565686</v>
      </c>
      <c r="R42" s="831">
        <f t="shared" si="9"/>
        <v>52.749039517350482</v>
      </c>
      <c r="S42" s="831">
        <f t="shared" si="9"/>
        <v>53.350156960913196</v>
      </c>
      <c r="T42" s="831">
        <f t="shared" si="9"/>
        <v>53.832034834393404</v>
      </c>
      <c r="U42" s="831">
        <f t="shared" si="9"/>
        <v>54.324439407275889</v>
      </c>
      <c r="V42" s="831">
        <f t="shared" si="9"/>
        <v>54.827548560840981</v>
      </c>
      <c r="W42" s="831">
        <f t="shared" si="9"/>
        <v>55.53438894491245</v>
      </c>
      <c r="X42" s="847"/>
    </row>
    <row r="43" spans="1:61" s="764" customFormat="1" ht="12.75" x14ac:dyDescent="0.2">
      <c r="A43" s="816"/>
      <c r="B43" s="846" t="s">
        <v>523</v>
      </c>
      <c r="C43" s="847"/>
      <c r="D43" s="847"/>
      <c r="E43" s="847"/>
      <c r="F43" s="847"/>
      <c r="G43" s="847"/>
      <c r="H43" s="847"/>
      <c r="I43" s="847"/>
      <c r="J43" s="829">
        <f>J39+J42</f>
        <v>73.368000209331512</v>
      </c>
      <c r="K43" s="829"/>
      <c r="L43" s="829"/>
      <c r="M43" s="829"/>
      <c r="N43" s="831"/>
      <c r="O43" s="831"/>
      <c r="P43" s="831"/>
      <c r="Q43" s="831"/>
      <c r="R43" s="831"/>
      <c r="S43" s="831"/>
      <c r="T43" s="831"/>
      <c r="U43" s="831"/>
      <c r="V43" s="831"/>
      <c r="W43" s="831"/>
      <c r="X43" s="847"/>
    </row>
    <row r="44" spans="1:61" s="764" customFormat="1" ht="12.75" x14ac:dyDescent="0.2">
      <c r="A44" s="816"/>
      <c r="B44" s="817" t="s">
        <v>68</v>
      </c>
      <c r="C44" s="818">
        <f t="shared" ref="C44:W44" si="10">SUM(C39:C42)</f>
        <v>154.10305191018909</v>
      </c>
      <c r="D44" s="818">
        <f t="shared" si="10"/>
        <v>151.20917883016119</v>
      </c>
      <c r="E44" s="818">
        <f t="shared" si="10"/>
        <v>147.13695066051062</v>
      </c>
      <c r="F44" s="818">
        <f t="shared" si="10"/>
        <v>146.47302012120659</v>
      </c>
      <c r="G44" s="818">
        <f t="shared" si="10"/>
        <v>140.37029707431793</v>
      </c>
      <c r="H44" s="818">
        <f t="shared" si="10"/>
        <v>140.12756846381922</v>
      </c>
      <c r="I44" s="818">
        <f t="shared" si="10"/>
        <v>140.32187631065216</v>
      </c>
      <c r="J44" s="837">
        <f t="shared" si="10"/>
        <v>141.31261490733007</v>
      </c>
      <c r="K44" s="837">
        <f t="shared" si="10"/>
        <v>141.64825135332825</v>
      </c>
      <c r="L44" s="837">
        <f t="shared" si="10"/>
        <v>141.99993936576249</v>
      </c>
      <c r="M44" s="837">
        <f t="shared" si="10"/>
        <v>142.36759613901953</v>
      </c>
      <c r="N44" s="830">
        <f t="shared" si="10"/>
        <v>138.3680960598505</v>
      </c>
      <c r="O44" s="830">
        <f t="shared" si="10"/>
        <v>138.17884415217782</v>
      </c>
      <c r="P44" s="830">
        <f t="shared" si="10"/>
        <v>138.04248309279109</v>
      </c>
      <c r="Q44" s="830">
        <f t="shared" si="10"/>
        <v>137.95844675384848</v>
      </c>
      <c r="R44" s="830">
        <f t="shared" si="10"/>
        <v>137.9262056042254</v>
      </c>
      <c r="S44" s="830">
        <f t="shared" si="10"/>
        <v>137.71280957436323</v>
      </c>
      <c r="T44" s="830">
        <f t="shared" si="10"/>
        <v>137.55284451932698</v>
      </c>
      <c r="U44" s="830">
        <f t="shared" si="10"/>
        <v>137.44500954351716</v>
      </c>
      <c r="V44" s="830">
        <f t="shared" si="10"/>
        <v>137.38806482389438</v>
      </c>
      <c r="W44" s="830">
        <f t="shared" si="10"/>
        <v>137.38082940027118</v>
      </c>
      <c r="X44" s="847"/>
      <c r="BB44" s="764">
        <v>2010</v>
      </c>
      <c r="BC44" s="764">
        <v>2011</v>
      </c>
      <c r="BD44" s="764">
        <v>2012</v>
      </c>
      <c r="BE44" s="764">
        <v>2013</v>
      </c>
    </row>
    <row r="45" spans="1:61" s="764" customFormat="1" ht="12.75" x14ac:dyDescent="0.2">
      <c r="A45" s="816"/>
      <c r="B45" s="819" t="s">
        <v>106</v>
      </c>
      <c r="C45" s="820">
        <f>C25</f>
        <v>24.238561669196038</v>
      </c>
      <c r="D45" s="820">
        <f t="shared" ref="D45:I45" si="11">D25</f>
        <v>23.441116647301456</v>
      </c>
      <c r="E45" s="820">
        <f t="shared" si="11"/>
        <v>23.764695972851555</v>
      </c>
      <c r="F45" s="820">
        <f t="shared" si="11"/>
        <v>24.300895732824969</v>
      </c>
      <c r="G45" s="820">
        <f t="shared" si="11"/>
        <v>25.168432593345642</v>
      </c>
      <c r="H45" s="820">
        <f t="shared" si="11"/>
        <v>25.346813094867585</v>
      </c>
      <c r="I45" s="820">
        <f t="shared" si="11"/>
        <v>25.533955932344391</v>
      </c>
      <c r="J45" s="837">
        <f>J25</f>
        <v>31.142127090993245</v>
      </c>
      <c r="K45" s="837">
        <f>K25</f>
        <v>31.125025345358726</v>
      </c>
      <c r="L45" s="837">
        <f>L25</f>
        <v>31.108570521252112</v>
      </c>
      <c r="M45" s="837">
        <f>M25</f>
        <v>31.092760223206675</v>
      </c>
      <c r="N45" s="830">
        <f>N25</f>
        <v>25.544672505459509</v>
      </c>
      <c r="O45" s="830">
        <f t="shared" ref="O45:W45" si="12">O25</f>
        <v>25.620307445243249</v>
      </c>
      <c r="P45" s="830">
        <f t="shared" si="12"/>
        <v>25.698506788575827</v>
      </c>
      <c r="Q45" s="830">
        <f t="shared" si="12"/>
        <v>25.779318709969907</v>
      </c>
      <c r="R45" s="830">
        <f t="shared" si="12"/>
        <v>25.862792551517487</v>
      </c>
      <c r="S45" s="830">
        <f t="shared" si="12"/>
        <v>25.946622000930486</v>
      </c>
      <c r="T45" s="830">
        <f t="shared" si="12"/>
        <v>26.032720100516929</v>
      </c>
      <c r="U45" s="830">
        <f t="shared" si="12"/>
        <v>26.121131752070614</v>
      </c>
      <c r="V45" s="830">
        <f t="shared" si="12"/>
        <v>26.21190296632134</v>
      </c>
      <c r="W45" s="830">
        <f t="shared" si="12"/>
        <v>26.305080890655518</v>
      </c>
      <c r="X45" s="847"/>
      <c r="Y45" s="1270"/>
      <c r="BA45" s="364" t="s">
        <v>71</v>
      </c>
      <c r="BB45" s="764">
        <v>23.471340999999999</v>
      </c>
      <c r="BC45" s="764">
        <v>15.654388000000001</v>
      </c>
      <c r="BD45" s="764">
        <v>16.177610999999999</v>
      </c>
      <c r="BE45" s="764">
        <v>13.049913</v>
      </c>
    </row>
    <row r="46" spans="1:61" s="824" customFormat="1" ht="12.75" x14ac:dyDescent="0.2">
      <c r="A46" s="821"/>
      <c r="B46" s="822" t="s">
        <v>107</v>
      </c>
      <c r="C46" s="823">
        <f>C44/(C44+C45)</f>
        <v>0.86408914227745992</v>
      </c>
      <c r="D46" s="823">
        <f t="shared" ref="D46:W46" si="13">D44/(D44+D45)</f>
        <v>0.86578255374136281</v>
      </c>
      <c r="E46" s="823">
        <f t="shared" si="13"/>
        <v>0.86094519016639837</v>
      </c>
      <c r="F46" s="823">
        <f t="shared" si="13"/>
        <v>0.85770136140933806</v>
      </c>
      <c r="G46" s="823">
        <f t="shared" si="13"/>
        <v>0.84796045829351285</v>
      </c>
      <c r="H46" s="823">
        <f t="shared" si="13"/>
        <v>0.84682333992662107</v>
      </c>
      <c r="I46" s="823">
        <f t="shared" si="13"/>
        <v>0.84604728343267177</v>
      </c>
      <c r="J46" s="838">
        <f t="shared" si="13"/>
        <v>0.81941855161456778</v>
      </c>
      <c r="K46" s="838">
        <f t="shared" si="13"/>
        <v>0.81985046565019359</v>
      </c>
      <c r="L46" s="838">
        <f t="shared" si="13"/>
        <v>0.82029438909989905</v>
      </c>
      <c r="M46" s="838">
        <f t="shared" si="13"/>
        <v>0.8207500498945266</v>
      </c>
      <c r="N46" s="834">
        <f t="shared" si="13"/>
        <v>0.84415690901297047</v>
      </c>
      <c r="O46" s="834">
        <f t="shared" si="13"/>
        <v>0.84358705649335841</v>
      </c>
      <c r="P46" s="834">
        <f t="shared" si="13"/>
        <v>0.84305391822050901</v>
      </c>
      <c r="Q46" s="834">
        <f t="shared" si="13"/>
        <v>0.84255728275669883</v>
      </c>
      <c r="R46" s="834">
        <f t="shared" si="13"/>
        <v>0.84209688780851322</v>
      </c>
      <c r="S46" s="834">
        <f t="shared" si="13"/>
        <v>0.84145965954309576</v>
      </c>
      <c r="T46" s="834">
        <f t="shared" si="13"/>
        <v>0.84086175231283822</v>
      </c>
      <c r="U46" s="834">
        <f t="shared" si="13"/>
        <v>0.84030232941140337</v>
      </c>
      <c r="V46" s="834">
        <f t="shared" si="13"/>
        <v>0.83978051267141529</v>
      </c>
      <c r="W46" s="834">
        <f t="shared" si="13"/>
        <v>0.83929538685460314</v>
      </c>
      <c r="X46" s="959"/>
      <c r="Y46" s="1002"/>
      <c r="BA46" s="764" t="s">
        <v>72</v>
      </c>
      <c r="BB46" s="764">
        <v>12.239734</v>
      </c>
      <c r="BC46" s="764">
        <v>12.045002</v>
      </c>
      <c r="BD46" s="764">
        <v>12.566719000000001</v>
      </c>
      <c r="BE46" s="764">
        <v>10.342922</v>
      </c>
      <c r="BF46" s="764"/>
      <c r="BG46" s="764"/>
      <c r="BH46" s="764"/>
      <c r="BI46" s="764"/>
    </row>
    <row r="47" spans="1:61" s="824" customFormat="1" ht="12.75" x14ac:dyDescent="0.2">
      <c r="A47" s="821"/>
      <c r="B47" s="822" t="s">
        <v>461</v>
      </c>
      <c r="C47" s="823"/>
      <c r="D47" s="823"/>
      <c r="E47" s="823"/>
      <c r="F47" s="823"/>
      <c r="G47" s="823"/>
      <c r="H47" s="823"/>
      <c r="I47" s="823"/>
      <c r="J47" s="839">
        <f>J44+J45</f>
        <v>172.45474199832333</v>
      </c>
      <c r="K47" s="839">
        <f t="shared" ref="K47:W47" si="14">K44+K45</f>
        <v>172.77327669868697</v>
      </c>
      <c r="L47" s="839">
        <f t="shared" si="14"/>
        <v>173.10850988701461</v>
      </c>
      <c r="M47" s="839">
        <f t="shared" si="14"/>
        <v>173.46035636222621</v>
      </c>
      <c r="N47" s="835">
        <f t="shared" si="14"/>
        <v>163.91276856531002</v>
      </c>
      <c r="O47" s="835">
        <f t="shared" si="14"/>
        <v>163.79915159742106</v>
      </c>
      <c r="P47" s="835">
        <f t="shared" si="14"/>
        <v>163.74098988136691</v>
      </c>
      <c r="Q47" s="835">
        <f t="shared" si="14"/>
        <v>163.73776546381839</v>
      </c>
      <c r="R47" s="835">
        <f t="shared" si="14"/>
        <v>163.78899815574289</v>
      </c>
      <c r="S47" s="835">
        <f t="shared" si="14"/>
        <v>163.65943157529372</v>
      </c>
      <c r="T47" s="835">
        <f t="shared" si="14"/>
        <v>163.58556461984392</v>
      </c>
      <c r="U47" s="835">
        <f t="shared" si="14"/>
        <v>163.56614129558778</v>
      </c>
      <c r="V47" s="835">
        <f t="shared" si="14"/>
        <v>163.59996779021571</v>
      </c>
      <c r="W47" s="835">
        <f t="shared" si="14"/>
        <v>163.6859102909267</v>
      </c>
      <c r="X47" s="960"/>
      <c r="BA47" s="764"/>
      <c r="BB47" s="764"/>
      <c r="BC47" s="764"/>
      <c r="BD47" s="764"/>
      <c r="BE47" s="764"/>
      <c r="BF47" s="764"/>
      <c r="BG47" s="764"/>
      <c r="BH47" s="764"/>
      <c r="BI47" s="764"/>
    </row>
    <row r="48" spans="1:61" s="827" customFormat="1" ht="12.75" x14ac:dyDescent="0.2">
      <c r="A48" s="826"/>
      <c r="B48" s="998" t="s">
        <v>182</v>
      </c>
      <c r="C48" s="998"/>
      <c r="D48" s="998"/>
      <c r="E48" s="998"/>
      <c r="F48" s="998"/>
      <c r="G48" s="998"/>
      <c r="H48" s="999" t="s">
        <v>503</v>
      </c>
      <c r="I48" s="998"/>
      <c r="J48" s="1000">
        <v>17.776544332575511</v>
      </c>
      <c r="K48" s="1000">
        <v>18.260183300000001</v>
      </c>
      <c r="L48" s="1000">
        <v>19.024845363512195</v>
      </c>
      <c r="M48" s="1000">
        <v>19.823987288030477</v>
      </c>
      <c r="N48" s="1000">
        <v>20.914146793507996</v>
      </c>
      <c r="O48" s="1000">
        <v>22.276871121840031</v>
      </c>
      <c r="P48" s="1000">
        <v>26.015425021990001</v>
      </c>
      <c r="Q48" s="1000">
        <v>33.122947588190712</v>
      </c>
      <c r="R48" s="1000">
        <v>39.254679818464147</v>
      </c>
      <c r="S48" s="1000">
        <v>46.231770390260444</v>
      </c>
      <c r="T48" s="1000">
        <v>54.142767837477656</v>
      </c>
      <c r="U48" s="1000">
        <v>58.615223418346439</v>
      </c>
      <c r="V48" s="1000">
        <v>63.049506895243077</v>
      </c>
      <c r="W48" s="1000">
        <v>67.604570726888241</v>
      </c>
      <c r="X48" s="961"/>
      <c r="BA48" s="827" t="s">
        <v>73</v>
      </c>
      <c r="BB48" s="827">
        <v>4.5615500000000004</v>
      </c>
      <c r="BC48" s="827">
        <v>4.6675000000000004</v>
      </c>
      <c r="BD48" s="827">
        <v>4.5891409999999997</v>
      </c>
      <c r="BE48" s="827">
        <v>4.5392890000000001</v>
      </c>
    </row>
    <row r="49" spans="1:61" x14ac:dyDescent="0.25">
      <c r="B49" s="157" t="s">
        <v>45</v>
      </c>
      <c r="J49" s="927"/>
      <c r="K49" s="927"/>
      <c r="L49" s="927"/>
      <c r="M49" s="828">
        <f>(182049*0.85)/1000</f>
        <v>154.74164999999999</v>
      </c>
      <c r="N49" s="928"/>
      <c r="O49" s="928"/>
      <c r="P49" s="928"/>
      <c r="Q49" s="928"/>
      <c r="R49" s="928"/>
      <c r="S49" s="928"/>
      <c r="T49" s="928"/>
      <c r="U49" s="928"/>
      <c r="V49" s="928"/>
      <c r="W49" s="831">
        <f>(181000*0.63)/1000</f>
        <v>114.03</v>
      </c>
      <c r="X49" s="847"/>
      <c r="AE49" s="937" t="s">
        <v>105</v>
      </c>
      <c r="AF49" s="968" t="s">
        <v>187</v>
      </c>
      <c r="AG49" s="969" t="s">
        <v>188</v>
      </c>
      <c r="BA49" s="312" t="s">
        <v>74</v>
      </c>
      <c r="BB49" s="312">
        <v>4.4165049999999999</v>
      </c>
      <c r="BC49" s="312">
        <v>4.5535319999999997</v>
      </c>
      <c r="BD49" s="312">
        <v>4.5836699999999997</v>
      </c>
      <c r="BE49" s="312">
        <v>4.615856</v>
      </c>
    </row>
    <row r="50" spans="1:61" x14ac:dyDescent="0.25">
      <c r="B50" s="199" t="s">
        <v>108</v>
      </c>
      <c r="J50" s="927"/>
      <c r="K50" s="927"/>
      <c r="L50" s="927"/>
      <c r="M50" s="929">
        <f>(M44+M45)-M49</f>
        <v>18.718706362226214</v>
      </c>
      <c r="N50" s="928"/>
      <c r="O50" s="928"/>
      <c r="P50" s="928"/>
      <c r="Q50" s="928"/>
      <c r="R50" s="928"/>
      <c r="S50" s="928"/>
      <c r="T50" s="928"/>
      <c r="U50" s="928"/>
      <c r="V50" s="928"/>
      <c r="W50" s="930">
        <f>(W44+W45)-W49</f>
        <v>49.655910290926698</v>
      </c>
      <c r="X50" s="962"/>
      <c r="AE50" s="937" t="s">
        <v>483</v>
      </c>
      <c r="AF50" s="938">
        <f>'Electricity Sector Emissions'!AE27</f>
        <v>1.019077013427216</v>
      </c>
      <c r="AG50" s="939">
        <f>'Electricity Sector Emissions'!AI17</f>
        <v>4.2</v>
      </c>
      <c r="BA50" s="312" t="s">
        <v>75</v>
      </c>
      <c r="BB50" s="312">
        <v>4.3822070000000002</v>
      </c>
      <c r="BC50" s="312">
        <v>4.3620289999999997</v>
      </c>
      <c r="BD50" s="312">
        <v>4.6875660000000003</v>
      </c>
      <c r="BE50" s="312">
        <v>4.3963890000000001</v>
      </c>
    </row>
    <row r="51" spans="1:61" x14ac:dyDescent="0.25">
      <c r="B51" s="199" t="s">
        <v>111</v>
      </c>
      <c r="J51" s="931">
        <f>J44-J59</f>
        <v>0</v>
      </c>
      <c r="K51" s="931">
        <f t="shared" ref="K51:W51" si="15">K44-K59</f>
        <v>6.2235448228437633</v>
      </c>
      <c r="L51" s="931">
        <f t="shared" si="15"/>
        <v>12.463141212123588</v>
      </c>
      <c r="M51" s="931">
        <f t="shared" si="15"/>
        <v>18.718706362226214</v>
      </c>
      <c r="N51" s="932">
        <f t="shared" si="15"/>
        <v>18.31160334980207</v>
      </c>
      <c r="O51" s="932">
        <f t="shared" si="15"/>
        <v>21.714748508874266</v>
      </c>
      <c r="P51" s="932">
        <f t="shared" si="15"/>
        <v>25.17078451623243</v>
      </c>
      <c r="Q51" s="932">
        <f t="shared" si="15"/>
        <v>28.6791452440347</v>
      </c>
      <c r="R51" s="932">
        <f t="shared" si="15"/>
        <v>32.239301161156504</v>
      </c>
      <c r="S51" s="932">
        <f t="shared" si="15"/>
        <v>35.618302198039217</v>
      </c>
      <c r="T51" s="932">
        <f t="shared" si="15"/>
        <v>39.050734209747844</v>
      </c>
      <c r="U51" s="932">
        <f t="shared" si="15"/>
        <v>42.535296300682916</v>
      </c>
      <c r="V51" s="932">
        <f t="shared" si="15"/>
        <v>46.070748647805004</v>
      </c>
      <c r="W51" s="932">
        <f t="shared" si="15"/>
        <v>49.655910290926698</v>
      </c>
      <c r="X51" s="963"/>
      <c r="AE51" s="937"/>
      <c r="AF51" s="938"/>
      <c r="AG51" s="939"/>
      <c r="BA51" s="312" t="s">
        <v>76</v>
      </c>
      <c r="BB51" s="312">
        <v>1.025134</v>
      </c>
      <c r="BC51" s="312">
        <v>0.94970900000000003</v>
      </c>
      <c r="BD51" s="312">
        <v>0.89521799999999996</v>
      </c>
      <c r="BE51" s="312">
        <v>1.1112010000000001</v>
      </c>
    </row>
    <row r="52" spans="1:61" x14ac:dyDescent="0.25">
      <c r="B52" s="845" t="s">
        <v>96</v>
      </c>
      <c r="J52" s="828">
        <f>J39-J60</f>
        <v>0</v>
      </c>
      <c r="K52" s="828">
        <f>K39-K60</f>
        <v>0.39818954030205944</v>
      </c>
      <c r="L52" s="828">
        <f>IF((L39-L60)&gt;0,L39-L60,0)</f>
        <v>0.80444675763028428</v>
      </c>
      <c r="M52" s="828">
        <f>IF((M39-M60)&gt;0,M39-M60,0)</f>
        <v>1.2185499020842485</v>
      </c>
      <c r="N52" s="831">
        <f t="shared" ref="N52:W52" si="16">N39-N60</f>
        <v>1.7777742372774092</v>
      </c>
      <c r="O52" s="831">
        <f t="shared" si="16"/>
        <v>2.3398492097336074</v>
      </c>
      <c r="P52" s="831">
        <f t="shared" si="16"/>
        <v>2.9047290953020415</v>
      </c>
      <c r="Q52" s="831">
        <f t="shared" si="16"/>
        <v>3.3951356725550283</v>
      </c>
      <c r="R52" s="831">
        <f t="shared" si="16"/>
        <v>3.892343663601423</v>
      </c>
      <c r="S52" s="831">
        <f t="shared" si="16"/>
        <v>4.3961477411144365</v>
      </c>
      <c r="T52" s="831">
        <f t="shared" si="16"/>
        <v>5.0319616982735944</v>
      </c>
      <c r="U52" s="831">
        <f t="shared" si="16"/>
        <v>5.670160685010174</v>
      </c>
      <c r="V52" s="831">
        <f t="shared" si="16"/>
        <v>6.3107113304923779</v>
      </c>
      <c r="W52" s="831">
        <f t="shared" si="16"/>
        <v>6.7607346290801615</v>
      </c>
      <c r="X52" s="847"/>
      <c r="AE52" s="937" t="s">
        <v>485</v>
      </c>
      <c r="AF52" s="937" t="s">
        <v>484</v>
      </c>
      <c r="AG52" s="937" t="s">
        <v>276</v>
      </c>
      <c r="BA52" s="312" t="s">
        <v>77</v>
      </c>
      <c r="BB52" s="312">
        <v>0.96855500000000005</v>
      </c>
      <c r="BC52" s="312">
        <v>1.0279100000000001</v>
      </c>
      <c r="BD52" s="312">
        <v>1.000391</v>
      </c>
      <c r="BE52" s="312">
        <v>0.78884200000000004</v>
      </c>
    </row>
    <row r="53" spans="1:61" x14ac:dyDescent="0.25">
      <c r="B53" s="845" t="s">
        <v>2</v>
      </c>
      <c r="J53" s="828">
        <f>J40-J61</f>
        <v>0</v>
      </c>
      <c r="K53" s="828">
        <f>K40-K61</f>
        <v>0</v>
      </c>
      <c r="L53" s="828">
        <f>IF((L40-L61)&gt;0,L40-L61,0)</f>
        <v>0</v>
      </c>
      <c r="M53" s="828">
        <f>IF((M40-M61)&gt;0,M40-M61,0)</f>
        <v>0</v>
      </c>
      <c r="N53" s="831">
        <f t="shared" ref="N53:W53" si="17">IF((N40-N61)&gt;0,N40-N61,0)</f>
        <v>0</v>
      </c>
      <c r="O53" s="831">
        <f t="shared" si="17"/>
        <v>0</v>
      </c>
      <c r="P53" s="831">
        <f t="shared" si="17"/>
        <v>0</v>
      </c>
      <c r="Q53" s="831">
        <f t="shared" si="17"/>
        <v>0</v>
      </c>
      <c r="R53" s="831">
        <f t="shared" si="17"/>
        <v>0</v>
      </c>
      <c r="S53" s="831">
        <f t="shared" si="17"/>
        <v>0</v>
      </c>
      <c r="T53" s="831">
        <f t="shared" si="17"/>
        <v>0</v>
      </c>
      <c r="U53" s="831">
        <f t="shared" si="17"/>
        <v>0</v>
      </c>
      <c r="V53" s="831">
        <f t="shared" si="17"/>
        <v>0</v>
      </c>
      <c r="W53" s="831">
        <f t="shared" si="17"/>
        <v>0</v>
      </c>
      <c r="X53" s="847"/>
      <c r="BA53" s="312" t="s">
        <v>78</v>
      </c>
      <c r="BB53" s="312">
        <v>0.87819999999999998</v>
      </c>
      <c r="BC53" s="312">
        <v>0.90612099999999995</v>
      </c>
      <c r="BD53" s="312">
        <v>0.79643900000000001</v>
      </c>
      <c r="BE53" s="312">
        <v>1.0696969999999999</v>
      </c>
    </row>
    <row r="54" spans="1:61" x14ac:dyDescent="0.25">
      <c r="B54" s="845" t="s">
        <v>63</v>
      </c>
      <c r="J54" s="828">
        <f>(J41+J42)-J62</f>
        <v>0</v>
      </c>
      <c r="K54" s="828">
        <f>(K41+K42)-K62</f>
        <v>5.8253552825417074</v>
      </c>
      <c r="L54" s="828">
        <f>(L41+L42)-L62</f>
        <v>11.6586944544933</v>
      </c>
      <c r="M54" s="933">
        <f>M50-M52-M53</f>
        <v>17.500156460141966</v>
      </c>
      <c r="N54" s="831">
        <f t="shared" ref="N54:V54" si="18">(N41+N42)-N62</f>
        <v>18.883659800440171</v>
      </c>
      <c r="O54" s="831">
        <f t="shared" si="18"/>
        <v>21.463637688398876</v>
      </c>
      <c r="P54" s="831">
        <f t="shared" si="18"/>
        <v>24.093701511531322</v>
      </c>
      <c r="Q54" s="831">
        <f t="shared" si="18"/>
        <v>26.850563363423376</v>
      </c>
      <c r="R54" s="831">
        <f t="shared" si="18"/>
        <v>29.652418990841497</v>
      </c>
      <c r="S54" s="831">
        <f t="shared" si="18"/>
        <v>32.266523651553911</v>
      </c>
      <c r="T54" s="831">
        <f t="shared" si="18"/>
        <v>34.80204940744612</v>
      </c>
      <c r="U54" s="831">
        <f t="shared" si="18"/>
        <v>37.387320212987333</v>
      </c>
      <c r="V54" s="831">
        <f t="shared" si="18"/>
        <v>40.021129615969983</v>
      </c>
      <c r="W54" s="934">
        <f>W50-W52-W53</f>
        <v>42.895175661846537</v>
      </c>
      <c r="X54" s="964"/>
      <c r="BA54" s="312" t="s">
        <v>79</v>
      </c>
      <c r="BB54" s="312">
        <v>0.59262700000000001</v>
      </c>
      <c r="BC54" s="312">
        <v>0.61369200000000002</v>
      </c>
      <c r="BD54" s="312">
        <v>0.59292299999999998</v>
      </c>
      <c r="BE54" s="312">
        <v>0.58471099999999998</v>
      </c>
    </row>
    <row r="55" spans="1:61" s="173" customFormat="1" x14ac:dyDescent="0.25">
      <c r="A55" s="797"/>
      <c r="B55" s="791" t="s">
        <v>66</v>
      </c>
      <c r="J55" s="836">
        <f t="shared" ref="J55:W55" si="19">J41-J63</f>
        <v>0</v>
      </c>
      <c r="K55" s="836">
        <f t="shared" si="19"/>
        <v>3.3759264840981871</v>
      </c>
      <c r="L55" s="836">
        <f t="shared" si="19"/>
        <v>6.7544059807150134</v>
      </c>
      <c r="M55" s="836">
        <f t="shared" si="19"/>
        <v>10.135454943797541</v>
      </c>
      <c r="N55" s="833">
        <f t="shared" si="19"/>
        <v>5.3134865600809746</v>
      </c>
      <c r="O55" s="833">
        <f t="shared" si="19"/>
        <v>6.1438350712673824</v>
      </c>
      <c r="P55" s="833">
        <f t="shared" si="19"/>
        <v>7.0024752707647764</v>
      </c>
      <c r="Q55" s="833">
        <f t="shared" si="19"/>
        <v>7.8885488526298673</v>
      </c>
      <c r="R55" s="833">
        <f t="shared" si="19"/>
        <v>8.8012246299617729</v>
      </c>
      <c r="S55" s="833">
        <f t="shared" si="19"/>
        <v>9.6966314298100542</v>
      </c>
      <c r="T55" s="833">
        <f t="shared" si="19"/>
        <v>10.63269889492063</v>
      </c>
      <c r="U55" s="833">
        <f t="shared" si="19"/>
        <v>11.607984710277933</v>
      </c>
      <c r="V55" s="833">
        <f t="shared" si="19"/>
        <v>12.621104542394065</v>
      </c>
      <c r="W55" s="833">
        <f t="shared" si="19"/>
        <v>13.670729786897795</v>
      </c>
      <c r="X55" s="960"/>
      <c r="AC55" s="1005">
        <v>1</v>
      </c>
      <c r="AD55" s="1005">
        <v>2</v>
      </c>
      <c r="AE55" s="1005">
        <v>3</v>
      </c>
      <c r="AF55" s="1005">
        <v>4</v>
      </c>
      <c r="AG55" s="1005">
        <v>5</v>
      </c>
      <c r="AH55" s="1005">
        <v>6</v>
      </c>
      <c r="AI55" s="1005">
        <v>7</v>
      </c>
      <c r="AJ55" s="1005">
        <v>8</v>
      </c>
      <c r="AK55" s="1005">
        <v>9</v>
      </c>
      <c r="AL55" s="1005">
        <v>10</v>
      </c>
      <c r="AM55" s="1005">
        <v>11</v>
      </c>
      <c r="BA55" s="312" t="s">
        <v>80</v>
      </c>
      <c r="BB55" s="312">
        <v>2.316058</v>
      </c>
      <c r="BC55" s="312">
        <v>2.4277060000000001</v>
      </c>
      <c r="BD55" s="312">
        <v>2.354225</v>
      </c>
      <c r="BE55" s="312">
        <v>2.4289070000000001</v>
      </c>
      <c r="BF55" s="312"/>
      <c r="BG55" s="312"/>
      <c r="BH55" s="312"/>
      <c r="BI55" s="312"/>
    </row>
    <row r="56" spans="1:61" s="173" customFormat="1" x14ac:dyDescent="0.25">
      <c r="A56" s="797"/>
      <c r="B56" s="791" t="s">
        <v>67</v>
      </c>
      <c r="J56" s="836">
        <f t="shared" ref="J56:W56" si="20">J42-J64</f>
        <v>0</v>
      </c>
      <c r="K56" s="836">
        <f t="shared" si="20"/>
        <v>2.4494287984435203</v>
      </c>
      <c r="L56" s="836">
        <f t="shared" si="20"/>
        <v>4.904288473778287</v>
      </c>
      <c r="M56" s="836">
        <f t="shared" si="20"/>
        <v>7.3647015163444252</v>
      </c>
      <c r="N56" s="833">
        <f t="shared" si="20"/>
        <v>13.570173240359196</v>
      </c>
      <c r="O56" s="833">
        <f t="shared" si="20"/>
        <v>15.319802617131494</v>
      </c>
      <c r="P56" s="833">
        <f t="shared" si="20"/>
        <v>17.091226240766538</v>
      </c>
      <c r="Q56" s="833">
        <f t="shared" si="20"/>
        <v>18.962014510793495</v>
      </c>
      <c r="R56" s="833">
        <f t="shared" si="20"/>
        <v>20.851194360879703</v>
      </c>
      <c r="S56" s="833">
        <f t="shared" si="20"/>
        <v>22.569892221743832</v>
      </c>
      <c r="T56" s="833">
        <f t="shared" si="20"/>
        <v>24.169350512525455</v>
      </c>
      <c r="U56" s="833">
        <f t="shared" si="20"/>
        <v>25.779335502709351</v>
      </c>
      <c r="V56" s="833">
        <f t="shared" si="20"/>
        <v>27.400025073575861</v>
      </c>
      <c r="W56" s="833">
        <f t="shared" si="20"/>
        <v>29.224445874948742</v>
      </c>
      <c r="X56" s="960"/>
      <c r="AC56" s="1003"/>
      <c r="AD56" s="1003">
        <v>2021</v>
      </c>
      <c r="AE56" s="1003">
        <v>2022</v>
      </c>
      <c r="AF56" s="1003">
        <v>2023</v>
      </c>
      <c r="AG56" s="1003">
        <v>2024</v>
      </c>
      <c r="AH56" s="1003">
        <v>2025</v>
      </c>
      <c r="AI56" s="1003">
        <v>2026</v>
      </c>
      <c r="AJ56" s="1003">
        <v>2027</v>
      </c>
      <c r="AK56" s="1003">
        <v>2028</v>
      </c>
      <c r="AL56" s="1003">
        <v>2029</v>
      </c>
      <c r="AM56" s="1003">
        <v>2030</v>
      </c>
      <c r="BA56" s="312" t="s">
        <v>81</v>
      </c>
      <c r="BB56" s="312">
        <v>54.851911000000001</v>
      </c>
      <c r="BC56" s="312">
        <v>47.207588999999999</v>
      </c>
      <c r="BD56" s="312">
        <v>48.243903000000003</v>
      </c>
      <c r="BE56" s="312">
        <v>42.927726999999997</v>
      </c>
      <c r="BF56" s="312"/>
      <c r="BG56" s="312"/>
      <c r="BH56" s="312"/>
      <c r="BI56" s="312"/>
    </row>
    <row r="57" spans="1:61" s="173" customFormat="1" x14ac:dyDescent="0.25">
      <c r="A57" s="797"/>
      <c r="B57" s="229" t="s">
        <v>479</v>
      </c>
      <c r="J57" s="935">
        <f>J59+'Electricity Sector Emissions'!$AE$27</f>
        <v>142.33169192075729</v>
      </c>
      <c r="K57" s="935">
        <f>K59+'Electricity Sector Emissions'!$AE$27</f>
        <v>136.44378354391171</v>
      </c>
      <c r="L57" s="935">
        <f>L59+'Electricity Sector Emissions'!$AE$27</f>
        <v>130.55587516706612</v>
      </c>
      <c r="M57" s="936">
        <f>M59+M58</f>
        <v>124.66796679022053</v>
      </c>
      <c r="N57" s="926">
        <f>N59+N58</f>
        <v>124.25649271004843</v>
      </c>
      <c r="O57" s="926">
        <f t="shared" ref="O57:V57" si="21">O59+O58</f>
        <v>120.5384209101863</v>
      </c>
      <c r="P57" s="926">
        <f t="shared" si="21"/>
        <v>116.82034911032416</v>
      </c>
      <c r="Q57" s="926">
        <f t="shared" si="21"/>
        <v>113.10227731046203</v>
      </c>
      <c r="R57" s="926">
        <f t="shared" si="21"/>
        <v>109.3842055105999</v>
      </c>
      <c r="S57" s="926">
        <f t="shared" si="21"/>
        <v>105.66613371073777</v>
      </c>
      <c r="T57" s="926">
        <f t="shared" si="21"/>
        <v>101.94806191087564</v>
      </c>
      <c r="U57" s="926">
        <f t="shared" si="21"/>
        <v>98.229990111013493</v>
      </c>
      <c r="V57" s="926">
        <f t="shared" si="21"/>
        <v>94.511918311151376</v>
      </c>
      <c r="W57" s="997">
        <f>W59+W58</f>
        <v>90.793846511289232</v>
      </c>
      <c r="X57" s="965"/>
      <c r="AC57" s="1003" t="s">
        <v>492</v>
      </c>
      <c r="AD57" s="1004">
        <f>'Electricity Sector Emissions'!AI17</f>
        <v>4.2</v>
      </c>
      <c r="AE57" s="1004">
        <f>AD57*O59/N59</f>
        <v>4.0743252668827497</v>
      </c>
      <c r="AF57" s="1004">
        <f t="shared" ref="AF57:AM57" si="22">AE57*P59/O59</f>
        <v>3.9486505337654982</v>
      </c>
      <c r="AG57" s="1004">
        <f t="shared" si="22"/>
        <v>3.8229758006482473</v>
      </c>
      <c r="AH57" s="1004">
        <f t="shared" si="22"/>
        <v>3.6973010675309967</v>
      </c>
      <c r="AI57" s="1004">
        <f t="shared" si="22"/>
        <v>3.5716263344137458</v>
      </c>
      <c r="AJ57" s="1004">
        <f t="shared" si="22"/>
        <v>3.4459516012964948</v>
      </c>
      <c r="AK57" s="1004">
        <f t="shared" si="22"/>
        <v>3.3202768681792434</v>
      </c>
      <c r="AL57" s="1004">
        <f t="shared" si="22"/>
        <v>3.1946021350619933</v>
      </c>
      <c r="AM57" s="1004">
        <f t="shared" si="22"/>
        <v>3.0689274019447419</v>
      </c>
      <c r="BA57" s="312"/>
      <c r="BB57" s="312"/>
      <c r="BC57" s="312"/>
      <c r="BD57" s="312"/>
      <c r="BE57" s="312"/>
      <c r="BF57" s="312"/>
      <c r="BG57" s="312"/>
      <c r="BH57" s="312"/>
      <c r="BI57" s="312"/>
    </row>
    <row r="58" spans="1:61" s="173" customFormat="1" x14ac:dyDescent="0.25">
      <c r="A58" s="797"/>
      <c r="B58" s="996" t="s">
        <v>490</v>
      </c>
      <c r="J58" s="935">
        <f>'Electricity Sector Emissions'!$AE$27</f>
        <v>1.019077013427216</v>
      </c>
      <c r="K58" s="935">
        <f>'Electricity Sector Emissions'!$AE$27</f>
        <v>1.019077013427216</v>
      </c>
      <c r="L58" s="935">
        <f>'Electricity Sector Emissions'!$AE$27</f>
        <v>1.019077013427216</v>
      </c>
      <c r="M58" s="935">
        <f>'Electricity Sector Emissions'!$AE$27</f>
        <v>1.019077013427216</v>
      </c>
      <c r="N58" s="1007">
        <f>VLOOKUP($Z$58,$AC$57:$AM$58,2,FALSE)</f>
        <v>4.2</v>
      </c>
      <c r="O58" s="1007">
        <f>VLOOKUP($Z$58,$AC$57:$AM$58,3,FALSE)</f>
        <v>4.0743252668827497</v>
      </c>
      <c r="P58" s="1007">
        <f>VLOOKUP($Z$58,$AC$57:$AM$58,4,FALSE)</f>
        <v>3.9486505337654982</v>
      </c>
      <c r="Q58" s="1007">
        <f>VLOOKUP($Z$58,$AC$57:$AM$58,5,FALSE)</f>
        <v>3.8229758006482473</v>
      </c>
      <c r="R58" s="1007">
        <f>VLOOKUP($Z$58,$AC$57:$AM$58,6,FALSE)</f>
        <v>3.6973010675309967</v>
      </c>
      <c r="S58" s="1007">
        <f>VLOOKUP($Z$58,$AC$57:$AM$58,7,FALSE)</f>
        <v>3.5716263344137458</v>
      </c>
      <c r="T58" s="1007">
        <f>VLOOKUP($Z$58,$AC$57:$AM$58,8,FALSE)</f>
        <v>3.4459516012964948</v>
      </c>
      <c r="U58" s="1007">
        <f>VLOOKUP($Z$58,$AC$57:$AM$58,9,FALSE)</f>
        <v>3.3202768681792434</v>
      </c>
      <c r="V58" s="1007">
        <f>VLOOKUP($Z$58,$AC$57:$AM$58,10,FALSE)</f>
        <v>3.1946021350619933</v>
      </c>
      <c r="W58" s="1007">
        <f>VLOOKUP($Z$58,$AC$57:$AM$58,11,FALSE)</f>
        <v>3.0689274019447419</v>
      </c>
      <c r="X58" s="965"/>
      <c r="Y58" s="1006" t="s">
        <v>490</v>
      </c>
      <c r="Z58" s="1008" t="s">
        <v>492</v>
      </c>
      <c r="AC58" s="1003" t="s">
        <v>493</v>
      </c>
      <c r="AD58" s="1003">
        <f>'Electricity Sector Emissions'!AI17</f>
        <v>4.2</v>
      </c>
      <c r="AE58" s="1003">
        <f>AD58</f>
        <v>4.2</v>
      </c>
      <c r="AF58" s="1003">
        <f t="shared" ref="AF58:AM58" si="23">AE58</f>
        <v>4.2</v>
      </c>
      <c r="AG58" s="1003">
        <f t="shared" si="23"/>
        <v>4.2</v>
      </c>
      <c r="AH58" s="1003">
        <f t="shared" si="23"/>
        <v>4.2</v>
      </c>
      <c r="AI58" s="1003">
        <f t="shared" si="23"/>
        <v>4.2</v>
      </c>
      <c r="AJ58" s="1003">
        <f t="shared" si="23"/>
        <v>4.2</v>
      </c>
      <c r="AK58" s="1003">
        <f t="shared" si="23"/>
        <v>4.2</v>
      </c>
      <c r="AL58" s="1003">
        <f t="shared" si="23"/>
        <v>4.2</v>
      </c>
      <c r="AM58" s="1003">
        <f t="shared" si="23"/>
        <v>4.2</v>
      </c>
      <c r="BA58" s="312"/>
      <c r="BB58" s="312"/>
      <c r="BC58" s="312"/>
      <c r="BD58" s="312"/>
      <c r="BE58" s="312"/>
      <c r="BF58" s="312"/>
      <c r="BG58" s="312"/>
      <c r="BH58" s="312"/>
      <c r="BI58" s="312"/>
    </row>
    <row r="59" spans="1:61" x14ac:dyDescent="0.25">
      <c r="B59" s="157" t="s">
        <v>480</v>
      </c>
      <c r="J59" s="828">
        <f>SUM(J60:J62)</f>
        <v>141.31261490733007</v>
      </c>
      <c r="K59" s="828">
        <f>SUM(K60:K62)</f>
        <v>135.42470653048449</v>
      </c>
      <c r="L59" s="828">
        <f>SUM(L60:L62)</f>
        <v>129.5367981536389</v>
      </c>
      <c r="M59" s="933">
        <f>M44-M50</f>
        <v>123.64888977679331</v>
      </c>
      <c r="N59" s="848">
        <f>$M$59-$M$59*$R$82</f>
        <v>120.05649271004843</v>
      </c>
      <c r="O59" s="848">
        <f>$M$59-$M$59*$R$82*2</f>
        <v>116.46409564330355</v>
      </c>
      <c r="P59" s="848">
        <f>$M$59-$M$59*$R$82*3</f>
        <v>112.87169857655866</v>
      </c>
      <c r="Q59" s="848">
        <f>$M$59-$M$59*$R$82*4</f>
        <v>109.27930150981378</v>
      </c>
      <c r="R59" s="848">
        <f>$M$59-$M$59*$R$82*5</f>
        <v>105.6869044430689</v>
      </c>
      <c r="S59" s="848">
        <f>$M$59-$M$59*$R$82*6</f>
        <v>102.09450737632402</v>
      </c>
      <c r="T59" s="848">
        <f>$M$59-$M$59*$R$82*7</f>
        <v>98.502110309579137</v>
      </c>
      <c r="U59" s="848">
        <f>$M$59-$M$59*$R$82*8</f>
        <v>94.909713242834243</v>
      </c>
      <c r="V59" s="848">
        <f>$M$59-$M$59*$R$82*9</f>
        <v>91.317316176089378</v>
      </c>
      <c r="W59" s="934">
        <f>W44-W50</f>
        <v>87.724919109344484</v>
      </c>
      <c r="X59" s="964"/>
      <c r="AB59" s="923"/>
      <c r="AC59" s="923"/>
      <c r="BA59" s="157" t="s">
        <v>82</v>
      </c>
    </row>
    <row r="60" spans="1:61" x14ac:dyDescent="0.25">
      <c r="B60" s="845" t="s">
        <v>96</v>
      </c>
      <c r="J60" s="828">
        <f>J39</f>
        <v>29.502350481872782</v>
      </c>
      <c r="K60" s="828">
        <f>$J60-$J60*$N74*$T74-$J60*$N75*$T75</f>
        <v>28.720874520898647</v>
      </c>
      <c r="L60" s="828">
        <f>$J60-($J60*$N74*$T74+$J60*$N75*$T75)*2</f>
        <v>27.939398559924509</v>
      </c>
      <c r="M60" s="828">
        <f>$J60-($J60*$N74*$T74+$J60*$N75*$T75)*3</f>
        <v>27.157922598950375</v>
      </c>
      <c r="N60" s="831">
        <f>$M60-($M60*$P74*$U74+$M60*$P75*$U75)</f>
        <v>26.510130102782131</v>
      </c>
      <c r="O60" s="831">
        <f>$M60-($M60*$P74*$U74+$M60*$P75*$U75)*2</f>
        <v>25.862337606613888</v>
      </c>
      <c r="P60" s="831">
        <f>$M60-($M60*$P74*$U74+$M60*$P75*$U75)*3</f>
        <v>25.214545110445645</v>
      </c>
      <c r="Q60" s="831">
        <f>$M60-($M60*$P74*$U74+$M60*$P75*$U75)*4</f>
        <v>24.566752614277402</v>
      </c>
      <c r="R60" s="831">
        <f>$M60-($M60*$P74*$U74+$M60*$P75*$U75)*5</f>
        <v>23.918960118109158</v>
      </c>
      <c r="S60" s="831">
        <f>$M60-($M60*$P74*$U74+$M60*$P75*$U75)*6</f>
        <v>23.271167621940915</v>
      </c>
      <c r="T60" s="831">
        <f>$M60-($M60*$P74*$U74+$M60*$P75*$U75)*7</f>
        <v>22.623375125772672</v>
      </c>
      <c r="U60" s="831">
        <f>$M60-($M60*$P74*$U74+$M60*$P75*$U75)*8</f>
        <v>21.975582629604428</v>
      </c>
      <c r="V60" s="831">
        <f>$M60-($M60*$P74*$U74+$M60*$P75*$U75)*9</f>
        <v>21.327790133436185</v>
      </c>
      <c r="W60" s="831">
        <f>$M60-($M60*$P74*$U74+$M60*$P75*$U75)*10</f>
        <v>20.679997637267942</v>
      </c>
      <c r="X60" s="847"/>
      <c r="BA60" s="312" t="s">
        <v>83</v>
      </c>
      <c r="BB60" s="312">
        <v>0.54015599999999997</v>
      </c>
      <c r="BC60" s="312">
        <v>0.55067600000000005</v>
      </c>
      <c r="BD60" s="312">
        <v>0.463028</v>
      </c>
      <c r="BE60" s="312">
        <v>0.51003299999999996</v>
      </c>
    </row>
    <row r="61" spans="1:61" x14ac:dyDescent="0.25">
      <c r="B61" s="845" t="s">
        <v>2</v>
      </c>
      <c r="J61" s="828">
        <f>J40</f>
        <v>6.480922986572784</v>
      </c>
      <c r="K61" s="828">
        <f>$J61-$J61*$N76</f>
        <v>6.480922986572784</v>
      </c>
      <c r="L61" s="828">
        <f>$J61-$J61*$N76*2</f>
        <v>6.480922986572784</v>
      </c>
      <c r="M61" s="828">
        <f>$J61-$J61*$N76*3</f>
        <v>6.480922986572784</v>
      </c>
      <c r="N61" s="832">
        <f t="shared" ref="N61:W61" si="24">N40</f>
        <v>3.8699999999999997</v>
      </c>
      <c r="O61" s="832">
        <f t="shared" si="24"/>
        <v>3.8699999999999997</v>
      </c>
      <c r="P61" s="832">
        <f t="shared" si="24"/>
        <v>3.8699999999999997</v>
      </c>
      <c r="Q61" s="832">
        <f t="shared" si="24"/>
        <v>3.8699999999999997</v>
      </c>
      <c r="R61" s="832">
        <f t="shared" si="24"/>
        <v>3.8699999999999997</v>
      </c>
      <c r="S61" s="832">
        <f t="shared" si="24"/>
        <v>3.8699999999999997</v>
      </c>
      <c r="T61" s="832">
        <f t="shared" si="24"/>
        <v>3.8699999999999997</v>
      </c>
      <c r="U61" s="832">
        <f t="shared" si="24"/>
        <v>3.8699999999999997</v>
      </c>
      <c r="V61" s="832">
        <f t="shared" si="24"/>
        <v>3.8699999999999997</v>
      </c>
      <c r="W61" s="832">
        <f t="shared" si="24"/>
        <v>3.8699999999999997</v>
      </c>
      <c r="X61" s="958"/>
      <c r="BA61" s="312" t="s">
        <v>85</v>
      </c>
      <c r="BB61" s="312">
        <v>0.36312299999999997</v>
      </c>
      <c r="BC61" s="312">
        <v>0.47993200000000003</v>
      </c>
      <c r="BD61" s="312">
        <v>0.48398400000000003</v>
      </c>
      <c r="BE61" s="312">
        <v>0.49171700000000002</v>
      </c>
    </row>
    <row r="62" spans="1:61" x14ac:dyDescent="0.25">
      <c r="B62" s="845" t="s">
        <v>63</v>
      </c>
      <c r="J62" s="828">
        <f>SUM(J63:J64)</f>
        <v>105.32934143888451</v>
      </c>
      <c r="K62" s="933">
        <f>J62-($J62-$M62)/3</f>
        <v>100.22290902301306</v>
      </c>
      <c r="L62" s="933">
        <f>K62-($J62-$M62)/3</f>
        <v>95.116476607141607</v>
      </c>
      <c r="M62" s="933">
        <f>(M41+M42)-M54</f>
        <v>90.010044191270154</v>
      </c>
      <c r="N62" s="934">
        <f>M62-($M62-$W62)/10</f>
        <v>87.326531919350799</v>
      </c>
      <c r="O62" s="934">
        <f t="shared" ref="O62:V62" si="25">N62-($M62-$W62)/10</f>
        <v>84.64301964743143</v>
      </c>
      <c r="P62" s="934">
        <f t="shared" si="25"/>
        <v>81.959507375512061</v>
      </c>
      <c r="Q62" s="934">
        <f t="shared" si="25"/>
        <v>79.275995103592692</v>
      </c>
      <c r="R62" s="934">
        <f t="shared" si="25"/>
        <v>76.592482831673323</v>
      </c>
      <c r="S62" s="934">
        <f t="shared" si="25"/>
        <v>73.908970559753953</v>
      </c>
      <c r="T62" s="934">
        <f t="shared" si="25"/>
        <v>71.225458287834584</v>
      </c>
      <c r="U62" s="934">
        <f t="shared" si="25"/>
        <v>68.541946015915215</v>
      </c>
      <c r="V62" s="934">
        <f t="shared" si="25"/>
        <v>65.858433743995846</v>
      </c>
      <c r="W62" s="934">
        <f>(W41+W42)-W54</f>
        <v>63.174921472076534</v>
      </c>
      <c r="X62" s="964"/>
      <c r="BA62" s="312" t="s">
        <v>86</v>
      </c>
      <c r="BB62" s="312">
        <v>0.29633300000000001</v>
      </c>
      <c r="BC62" s="312">
        <v>0.29138399999999998</v>
      </c>
      <c r="BD62" s="312">
        <v>0.26049299999999997</v>
      </c>
      <c r="BE62" s="312">
        <v>0.25771500000000003</v>
      </c>
    </row>
    <row r="63" spans="1:61" s="173" customFormat="1" x14ac:dyDescent="0.25">
      <c r="A63" s="797"/>
      <c r="B63" s="791" t="s">
        <v>66</v>
      </c>
      <c r="J63" s="840">
        <f>J41</f>
        <v>61.463691711425781</v>
      </c>
      <c r="K63" s="840">
        <f>$J63-$J63*$P$85*1</f>
        <v>58.483893457047955</v>
      </c>
      <c r="L63" s="840">
        <f>$J63-$J63*$P$85*2</f>
        <v>55.504095202670129</v>
      </c>
      <c r="M63" s="840">
        <f>$J63-$J63*$P$85*3</f>
        <v>52.524296948292303</v>
      </c>
      <c r="N63" s="849">
        <f>$M63-$M63*$R$85*1</f>
        <v>50.958365093674352</v>
      </c>
      <c r="O63" s="849">
        <f>$M63-$M63*$R$85*2</f>
        <v>49.392433239056409</v>
      </c>
      <c r="P63" s="849">
        <f>$M63-$M63*$R$85*3</f>
        <v>47.826501384438458</v>
      </c>
      <c r="Q63" s="849">
        <f>$M63-$M63*$R$85*4</f>
        <v>46.260569529820515</v>
      </c>
      <c r="R63" s="849">
        <f>$M63-$M63*$R$85*5</f>
        <v>44.694637675202564</v>
      </c>
      <c r="S63" s="849">
        <f>$M63-$M63*$R$85*6</f>
        <v>43.128705820584614</v>
      </c>
      <c r="T63" s="849">
        <f>$M63-$M63*$R$85*7</f>
        <v>41.56277396596667</v>
      </c>
      <c r="U63" s="849">
        <f>$M63-$M63*$R$85*8</f>
        <v>39.996842111348727</v>
      </c>
      <c r="V63" s="849">
        <f>$M63-$M63*$R$85*9</f>
        <v>38.430910256730776</v>
      </c>
      <c r="W63" s="849">
        <f>$M63-$M63*$R$85*10</f>
        <v>36.864978402112826</v>
      </c>
      <c r="X63" s="966"/>
      <c r="BA63" s="312" t="s">
        <v>87</v>
      </c>
      <c r="BB63" s="312">
        <v>0.28870200000000001</v>
      </c>
      <c r="BC63" s="312">
        <v>0.304591</v>
      </c>
      <c r="BD63" s="312">
        <v>0.32132899999999998</v>
      </c>
      <c r="BE63" s="312">
        <v>0.323932</v>
      </c>
      <c r="BF63" s="312"/>
      <c r="BG63" s="312"/>
      <c r="BH63" s="312"/>
      <c r="BI63" s="312"/>
    </row>
    <row r="64" spans="1:61" s="173" customFormat="1" x14ac:dyDescent="0.25">
      <c r="A64" s="797"/>
      <c r="B64" s="791" t="s">
        <v>67</v>
      </c>
      <c r="J64" s="840">
        <f>J42</f>
        <v>43.865649727458731</v>
      </c>
      <c r="K64" s="840">
        <f>$J64-$J64*$P$85*1</f>
        <v>41.739015565965104</v>
      </c>
      <c r="L64" s="840">
        <f>$J64-$J64*$P$85*2</f>
        <v>39.612381404471478</v>
      </c>
      <c r="M64" s="840">
        <f>$J64-$J64*$P$85*3</f>
        <v>37.485747242977851</v>
      </c>
      <c r="N64" s="849">
        <f>$M64-$M64*$R$85*1</f>
        <v>36.36816682567644</v>
      </c>
      <c r="O64" s="849">
        <f>$M64-$M64*$R$85*2</f>
        <v>35.250586408375021</v>
      </c>
      <c r="P64" s="849">
        <f>$M64-$M64*$R$85*3</f>
        <v>34.13300599107361</v>
      </c>
      <c r="Q64" s="849">
        <f>$M64-$M64*$R$85*4</f>
        <v>33.015425573772191</v>
      </c>
      <c r="R64" s="849">
        <f>$M64-$M64*$R$85*5</f>
        <v>31.89784515647078</v>
      </c>
      <c r="S64" s="849">
        <f>$M64-$M64*$R$85*6</f>
        <v>30.780264739169365</v>
      </c>
      <c r="T64" s="849">
        <f>$M64-$M64*$R$85*7</f>
        <v>29.66268432186795</v>
      </c>
      <c r="U64" s="849">
        <f>$M64-$M64*$R$85*8</f>
        <v>28.545103904566538</v>
      </c>
      <c r="V64" s="849">
        <f>$M64-$M64*$R$85*9</f>
        <v>27.42752348726512</v>
      </c>
      <c r="W64" s="849">
        <f>$M64-$M64*$R$85*10</f>
        <v>26.309943069963708</v>
      </c>
      <c r="X64" s="966"/>
      <c r="BA64" s="312" t="s">
        <v>88</v>
      </c>
      <c r="BB64" s="312">
        <v>0.20796100000000001</v>
      </c>
      <c r="BC64" s="312">
        <v>0.14618500000000001</v>
      </c>
      <c r="BD64" s="312">
        <v>0.18004899999999999</v>
      </c>
      <c r="BE64" s="312">
        <v>0.18599299999999999</v>
      </c>
      <c r="BF64" s="312"/>
      <c r="BG64" s="312"/>
      <c r="BH64" s="312"/>
      <c r="BI64" s="312"/>
    </row>
    <row r="65" spans="2:61" x14ac:dyDescent="0.25">
      <c r="B65" s="852" t="s">
        <v>179</v>
      </c>
      <c r="J65" s="850">
        <f>J61+J62</f>
        <v>111.81026442545729</v>
      </c>
      <c r="K65" s="850">
        <f t="shared" ref="K65:W65" si="26">K61+K62</f>
        <v>106.70383200958584</v>
      </c>
      <c r="L65" s="850">
        <f t="shared" si="26"/>
        <v>101.59739959371439</v>
      </c>
      <c r="M65" s="850">
        <f t="shared" si="26"/>
        <v>96.490967177842933</v>
      </c>
      <c r="N65" s="851">
        <f t="shared" si="26"/>
        <v>91.196531919350804</v>
      </c>
      <c r="O65" s="851">
        <f t="shared" si="26"/>
        <v>88.513019647431435</v>
      </c>
      <c r="P65" s="851">
        <f t="shared" si="26"/>
        <v>85.829507375512065</v>
      </c>
      <c r="Q65" s="851">
        <f t="shared" si="26"/>
        <v>83.145995103592696</v>
      </c>
      <c r="R65" s="851">
        <f t="shared" si="26"/>
        <v>80.462482831673327</v>
      </c>
      <c r="S65" s="851">
        <f t="shared" si="26"/>
        <v>77.778970559753958</v>
      </c>
      <c r="T65" s="851">
        <f t="shared" si="26"/>
        <v>75.095458287834589</v>
      </c>
      <c r="U65" s="851">
        <f t="shared" si="26"/>
        <v>72.41194601591522</v>
      </c>
      <c r="V65" s="851">
        <f t="shared" si="26"/>
        <v>69.728433743995851</v>
      </c>
      <c r="W65" s="851">
        <f t="shared" si="26"/>
        <v>67.044921472076538</v>
      </c>
      <c r="X65" s="967"/>
      <c r="BA65" s="312" t="s">
        <v>89</v>
      </c>
      <c r="BB65" s="312">
        <v>0.13961899999999999</v>
      </c>
      <c r="BC65" s="312">
        <v>0.13515199999999999</v>
      </c>
      <c r="BD65" s="312">
        <v>0.145704</v>
      </c>
      <c r="BE65" s="312">
        <v>0.135209</v>
      </c>
    </row>
    <row r="66" spans="2:61" x14ac:dyDescent="0.25">
      <c r="B66" s="852" t="s">
        <v>428</v>
      </c>
      <c r="J66" s="850">
        <f t="shared" ref="J66:W66" si="27">J62+J61+J60*$U$74</f>
        <v>130.69176873385587</v>
      </c>
      <c r="K66" s="850">
        <f t="shared" si="27"/>
        <v>125.08519170296097</v>
      </c>
      <c r="L66" s="850">
        <f t="shared" si="27"/>
        <v>119.47861467206607</v>
      </c>
      <c r="M66" s="850">
        <f t="shared" si="27"/>
        <v>113.87203764117118</v>
      </c>
      <c r="N66" s="851">
        <f t="shared" si="27"/>
        <v>108.16301518513137</v>
      </c>
      <c r="O66" s="851">
        <f t="shared" si="27"/>
        <v>105.06491571566433</v>
      </c>
      <c r="P66" s="851">
        <f t="shared" si="27"/>
        <v>101.96681624619728</v>
      </c>
      <c r="Q66" s="851">
        <f t="shared" si="27"/>
        <v>98.868716776730238</v>
      </c>
      <c r="R66" s="851">
        <f t="shared" si="27"/>
        <v>95.770617307263194</v>
      </c>
      <c r="S66" s="851">
        <f t="shared" si="27"/>
        <v>92.67251783779615</v>
      </c>
      <c r="T66" s="851">
        <f t="shared" si="27"/>
        <v>89.574418368329106</v>
      </c>
      <c r="U66" s="851">
        <f t="shared" si="27"/>
        <v>86.476318898862047</v>
      </c>
      <c r="V66" s="851">
        <f t="shared" si="27"/>
        <v>83.378219429395017</v>
      </c>
      <c r="W66" s="851">
        <f t="shared" si="27"/>
        <v>80.280119959928015</v>
      </c>
      <c r="X66" s="967"/>
      <c r="BA66" s="312" t="s">
        <v>90</v>
      </c>
      <c r="BB66" s="312">
        <v>0.101923</v>
      </c>
      <c r="BC66" s="312">
        <v>0.137846</v>
      </c>
      <c r="BD66" s="312">
        <v>0.142485</v>
      </c>
      <c r="BE66" s="312">
        <v>0.155691</v>
      </c>
    </row>
    <row r="67" spans="2:61" s="785" customFormat="1" x14ac:dyDescent="0.25">
      <c r="J67" s="1631" t="s">
        <v>467</v>
      </c>
      <c r="K67" s="1631"/>
      <c r="L67" s="1631"/>
      <c r="M67" s="1631"/>
      <c r="N67" s="1624" t="s">
        <v>468</v>
      </c>
      <c r="O67" s="1624"/>
      <c r="P67" s="1624"/>
      <c r="Q67" s="1624"/>
      <c r="R67" s="1624"/>
      <c r="S67" s="1624"/>
      <c r="T67" s="1624"/>
      <c r="U67" s="1624"/>
      <c r="V67" s="1624"/>
      <c r="W67" s="1624"/>
      <c r="X67" s="946"/>
      <c r="Y67" s="767"/>
      <c r="Z67" s="767"/>
      <c r="BA67" s="312"/>
      <c r="BB67" s="312"/>
      <c r="BC67" s="312"/>
      <c r="BD67" s="312"/>
      <c r="BE67" s="312"/>
      <c r="BF67" s="312"/>
      <c r="BG67" s="312"/>
      <c r="BH67" s="312"/>
      <c r="BI67" s="312"/>
    </row>
    <row r="68" spans="2:61" s="785" customFormat="1" x14ac:dyDescent="0.25">
      <c r="J68" s="1631" t="s">
        <v>469</v>
      </c>
      <c r="K68" s="1631"/>
      <c r="L68" s="1631"/>
      <c r="M68" s="1631"/>
      <c r="N68" s="1624" t="s">
        <v>470</v>
      </c>
      <c r="O68" s="1624"/>
      <c r="P68" s="1624"/>
      <c r="Q68" s="1624"/>
      <c r="R68" s="1624"/>
      <c r="S68" s="1624"/>
      <c r="T68" s="1624"/>
      <c r="U68" s="1624"/>
      <c r="V68" s="1624"/>
      <c r="W68" s="1624"/>
      <c r="X68" s="946"/>
      <c r="Y68" s="767"/>
      <c r="Z68" s="767"/>
      <c r="BA68" s="157" t="s">
        <v>91</v>
      </c>
      <c r="BB68" s="312"/>
      <c r="BC68" s="312"/>
      <c r="BD68" s="312"/>
      <c r="BE68" s="312"/>
      <c r="BF68" s="312"/>
      <c r="BG68" s="312"/>
      <c r="BH68" s="312"/>
      <c r="BI68" s="312"/>
    </row>
    <row r="69" spans="2:61" x14ac:dyDescent="0.25">
      <c r="B69" s="1156" t="s">
        <v>112</v>
      </c>
      <c r="C69" s="765"/>
      <c r="D69" s="765"/>
      <c r="E69" s="765"/>
      <c r="F69" s="765"/>
      <c r="G69" s="765"/>
      <c r="H69" s="765"/>
      <c r="I69" s="765"/>
      <c r="J69" s="844"/>
      <c r="K69" s="844"/>
      <c r="L69" s="844"/>
      <c r="M69" s="844"/>
      <c r="N69" s="844"/>
      <c r="O69" s="844"/>
      <c r="P69" s="765"/>
      <c r="Y69" s="793"/>
      <c r="Z69" s="793"/>
      <c r="BA69" s="312" t="s">
        <v>92</v>
      </c>
      <c r="BB69" s="312">
        <v>30.604073000000007</v>
      </c>
      <c r="BC69" s="312">
        <v>30.742030999999997</v>
      </c>
      <c r="BD69" s="312">
        <v>31.306160999999999</v>
      </c>
      <c r="BE69" s="312">
        <v>29.095790999999998</v>
      </c>
    </row>
    <row r="70" spans="2:61" ht="15.75" thickBot="1" x14ac:dyDescent="0.3">
      <c r="B70" s="765"/>
      <c r="C70" s="765"/>
      <c r="D70" s="765"/>
      <c r="E70" s="765"/>
      <c r="F70" s="765"/>
      <c r="G70" s="765"/>
      <c r="H70" s="765"/>
      <c r="I70" s="765"/>
      <c r="J70" s="794"/>
      <c r="K70" s="765"/>
      <c r="L70" s="765"/>
      <c r="M70" s="765"/>
      <c r="N70" s="765"/>
      <c r="O70" s="765"/>
      <c r="P70" s="765"/>
      <c r="BA70" s="312" t="s">
        <v>93</v>
      </c>
      <c r="BB70" s="312">
        <v>23.471340999999999</v>
      </c>
      <c r="BC70" s="312">
        <v>15.654388000000001</v>
      </c>
      <c r="BD70" s="312">
        <v>16.177610999999999</v>
      </c>
      <c r="BE70" s="312">
        <v>13.049913</v>
      </c>
    </row>
    <row r="71" spans="2:61" x14ac:dyDescent="0.25">
      <c r="B71" s="765"/>
      <c r="C71" s="765"/>
      <c r="D71" s="765"/>
      <c r="E71" s="765"/>
      <c r="F71" s="765"/>
      <c r="G71" s="765"/>
      <c r="H71" s="765"/>
      <c r="I71" s="765"/>
      <c r="J71" s="912"/>
      <c r="K71" s="792"/>
      <c r="L71" s="792"/>
      <c r="M71" s="792"/>
      <c r="N71" s="913" t="s">
        <v>478</v>
      </c>
      <c r="O71" s="914"/>
      <c r="P71" s="913" t="s">
        <v>477</v>
      </c>
      <c r="Q71" s="858"/>
      <c r="R71" s="792"/>
      <c r="S71" s="792"/>
      <c r="T71" s="792"/>
      <c r="U71" s="792"/>
      <c r="V71" s="792"/>
      <c r="W71" s="857"/>
      <c r="X71" s="856"/>
    </row>
    <row r="72" spans="2:61" x14ac:dyDescent="0.25">
      <c r="B72" s="765"/>
      <c r="C72" s="765"/>
      <c r="D72" s="765"/>
      <c r="J72" s="884"/>
      <c r="K72" s="885"/>
      <c r="L72" s="860" t="s">
        <v>55</v>
      </c>
      <c r="M72" s="860"/>
      <c r="N72" s="915">
        <v>2017</v>
      </c>
      <c r="O72" s="865"/>
      <c r="P72" s="915">
        <v>2020</v>
      </c>
      <c r="Q72" s="888"/>
      <c r="R72" s="885"/>
      <c r="S72" s="888"/>
      <c r="T72" s="888"/>
      <c r="U72" s="888"/>
      <c r="V72" s="885"/>
      <c r="W72" s="887"/>
      <c r="X72" s="892"/>
      <c r="Z72" s="765"/>
      <c r="BA72" s="312" t="s">
        <v>94</v>
      </c>
      <c r="BB72" s="312">
        <v>0.37824099999999999</v>
      </c>
      <c r="BC72" s="312">
        <v>0.38194</v>
      </c>
      <c r="BD72" s="312">
        <v>0.357153</v>
      </c>
      <c r="BE72" s="312">
        <v>0.36861699999999997</v>
      </c>
    </row>
    <row r="73" spans="2:61" x14ac:dyDescent="0.25">
      <c r="B73" s="765"/>
      <c r="C73" s="765"/>
      <c r="D73" s="765"/>
      <c r="J73" s="884"/>
      <c r="K73" s="885"/>
      <c r="L73" s="860" t="s">
        <v>56</v>
      </c>
      <c r="M73" s="860"/>
      <c r="N73" s="916" t="s">
        <v>116</v>
      </c>
      <c r="O73" s="917"/>
      <c r="P73" s="916" t="s">
        <v>473</v>
      </c>
      <c r="Q73" s="888"/>
      <c r="R73" s="885"/>
      <c r="S73" s="865"/>
      <c r="T73" s="863" t="s">
        <v>116</v>
      </c>
      <c r="U73" s="863" t="s">
        <v>522</v>
      </c>
      <c r="V73" s="885"/>
      <c r="W73" s="887"/>
      <c r="X73" s="892"/>
      <c r="Z73" s="765"/>
    </row>
    <row r="74" spans="2:61" x14ac:dyDescent="0.25">
      <c r="B74" s="765"/>
      <c r="C74" s="765"/>
      <c r="D74" s="765"/>
      <c r="J74" s="884"/>
      <c r="K74" s="885"/>
      <c r="L74" s="920"/>
      <c r="M74" s="921" t="s">
        <v>36</v>
      </c>
      <c r="N74" s="861">
        <v>4.5670000000000002E-2</v>
      </c>
      <c r="O74" s="862" t="s">
        <v>57</v>
      </c>
      <c r="P74" s="861">
        <v>3.7269999999999998E-2</v>
      </c>
      <c r="Q74" s="886"/>
      <c r="R74" s="885"/>
      <c r="S74" s="863" t="s">
        <v>58</v>
      </c>
      <c r="T74" s="893">
        <f>1-T75</f>
        <v>0.58000000000000007</v>
      </c>
      <c r="U74" s="894">
        <v>0.64</v>
      </c>
      <c r="V74" s="885"/>
      <c r="W74" s="887"/>
      <c r="X74" s="892"/>
      <c r="Z74" s="765"/>
      <c r="BA74" s="312" t="s">
        <v>90</v>
      </c>
      <c r="BB74" s="312">
        <v>0.101923</v>
      </c>
      <c r="BC74" s="312">
        <v>0.137846</v>
      </c>
      <c r="BD74" s="312">
        <v>0.142485</v>
      </c>
      <c r="BE74" s="312">
        <v>0.155691</v>
      </c>
    </row>
    <row r="75" spans="2:61" x14ac:dyDescent="0.25">
      <c r="B75" s="765"/>
      <c r="C75" s="765"/>
      <c r="D75" s="765"/>
      <c r="J75" s="884"/>
      <c r="K75" s="885"/>
      <c r="L75" s="922"/>
      <c r="M75" s="860"/>
      <c r="N75" s="864">
        <v>0</v>
      </c>
      <c r="O75" s="865" t="s">
        <v>59</v>
      </c>
      <c r="P75" s="864">
        <v>0</v>
      </c>
      <c r="Q75" s="886"/>
      <c r="R75" s="885"/>
      <c r="S75" s="863" t="s">
        <v>59</v>
      </c>
      <c r="T75" s="893">
        <v>0.42</v>
      </c>
      <c r="U75" s="894">
        <v>0.36</v>
      </c>
      <c r="V75" s="885"/>
      <c r="W75" s="887"/>
      <c r="X75" s="892"/>
      <c r="Z75" s="765"/>
      <c r="BA75" s="312" t="s">
        <v>86</v>
      </c>
      <c r="BB75" s="312">
        <v>0.29633300000000001</v>
      </c>
      <c r="BC75" s="312">
        <v>0.29138399999999998</v>
      </c>
      <c r="BD75" s="312">
        <v>0.26049299999999997</v>
      </c>
      <c r="BE75" s="312">
        <v>0.25771500000000003</v>
      </c>
    </row>
    <row r="76" spans="2:61" x14ac:dyDescent="0.25">
      <c r="B76" s="765"/>
      <c r="C76" s="765"/>
      <c r="D76" s="765"/>
      <c r="J76" s="884"/>
      <c r="K76" s="885"/>
      <c r="L76" s="920"/>
      <c r="M76" s="860" t="s">
        <v>60</v>
      </c>
      <c r="N76" s="918">
        <v>0</v>
      </c>
      <c r="O76" s="865" t="s">
        <v>61</v>
      </c>
      <c r="P76" s="918">
        <v>0</v>
      </c>
      <c r="Q76" s="886"/>
      <c r="R76" s="888"/>
      <c r="S76" s="888"/>
      <c r="T76" s="888"/>
      <c r="U76" s="885"/>
      <c r="V76" s="885"/>
      <c r="W76" s="887"/>
      <c r="X76" s="892"/>
      <c r="Z76" s="765"/>
      <c r="BA76" s="312" t="s">
        <v>81</v>
      </c>
      <c r="BB76" s="312">
        <v>54.851911000000008</v>
      </c>
      <c r="BC76" s="312">
        <v>47.207588999999999</v>
      </c>
      <c r="BD76" s="312">
        <v>48.243902999999996</v>
      </c>
      <c r="BE76" s="312">
        <v>42.92772699999999</v>
      </c>
    </row>
    <row r="77" spans="2:61" x14ac:dyDescent="0.25">
      <c r="B77" s="765"/>
      <c r="C77" s="765"/>
      <c r="D77" s="765"/>
      <c r="J77" s="884"/>
      <c r="K77" s="885"/>
      <c r="L77" s="920"/>
      <c r="M77" s="860" t="s">
        <v>63</v>
      </c>
      <c r="N77" s="919">
        <f>P85</f>
        <v>4.8480626064052346E-2</v>
      </c>
      <c r="O77" s="865" t="s">
        <v>64</v>
      </c>
      <c r="P77" s="919">
        <f>R85</f>
        <v>2.9813475774069544E-2</v>
      </c>
      <c r="Q77" s="886"/>
      <c r="R77" s="888"/>
      <c r="S77" s="888"/>
      <c r="T77" s="888"/>
      <c r="U77" s="885"/>
      <c r="V77" s="885"/>
      <c r="W77" s="887"/>
      <c r="X77" s="892"/>
      <c r="Z77" s="765"/>
      <c r="BA77" s="158" t="s">
        <v>95</v>
      </c>
      <c r="BB77" s="796">
        <f>SUM(BB69,BB72,BB74,BB75)</f>
        <v>31.380570000000006</v>
      </c>
      <c r="BC77" s="796">
        <f>SUM(BC69,BC72,BC74,BC75)</f>
        <v>31.553200999999998</v>
      </c>
      <c r="BD77" s="796">
        <f>SUM(BD69,BD72,BD74,BD75)</f>
        <v>32.066291999999997</v>
      </c>
      <c r="BE77" s="796">
        <f>SUM(BE69,BE72,BE74,BE75)</f>
        <v>29.877814000000001</v>
      </c>
    </row>
    <row r="78" spans="2:61" x14ac:dyDescent="0.25">
      <c r="B78" s="765"/>
      <c r="C78" s="765"/>
      <c r="D78" s="765"/>
      <c r="J78" s="884"/>
      <c r="K78" s="885"/>
      <c r="L78" s="922"/>
      <c r="M78" s="860" t="s">
        <v>475</v>
      </c>
      <c r="N78" s="866">
        <f>P82</f>
        <v>4.1665836986363579E-2</v>
      </c>
      <c r="O78" s="865" t="s">
        <v>64</v>
      </c>
      <c r="P78" s="866">
        <f>R82</f>
        <v>2.9053209238107624E-2</v>
      </c>
      <c r="Q78" s="886"/>
      <c r="R78" s="888"/>
      <c r="S78" s="888"/>
      <c r="T78" s="888"/>
      <c r="U78" s="885"/>
      <c r="V78" s="885"/>
      <c r="W78" s="887"/>
      <c r="X78" s="892"/>
      <c r="Z78" s="1217">
        <v>0.42</v>
      </c>
      <c r="AA78" s="1216">
        <v>0.57999999999999996</v>
      </c>
    </row>
    <row r="79" spans="2:61" ht="18" x14ac:dyDescent="0.35">
      <c r="B79" s="765"/>
      <c r="C79" s="765"/>
      <c r="D79" s="765"/>
      <c r="J79" s="884"/>
      <c r="K79" s="885"/>
      <c r="L79" s="920"/>
      <c r="M79" s="859"/>
      <c r="N79" s="885"/>
      <c r="O79" s="885"/>
      <c r="P79" s="885"/>
      <c r="Q79" s="885"/>
      <c r="R79" s="885"/>
      <c r="S79" s="885"/>
      <c r="T79" s="885"/>
      <c r="U79" s="885"/>
      <c r="V79" s="885"/>
      <c r="W79" s="887"/>
      <c r="X79" s="892"/>
      <c r="Z79" s="970" t="s">
        <v>471</v>
      </c>
      <c r="AA79" s="970" t="s">
        <v>472</v>
      </c>
      <c r="AC79" s="970" t="s">
        <v>474</v>
      </c>
    </row>
    <row r="80" spans="2:61" x14ac:dyDescent="0.25">
      <c r="B80" s="765"/>
      <c r="C80" s="765"/>
      <c r="D80" s="765"/>
      <c r="J80" s="884"/>
      <c r="K80" s="885"/>
      <c r="L80" s="892"/>
      <c r="M80" s="885"/>
      <c r="N80" s="885"/>
      <c r="O80" s="1623" t="s">
        <v>116</v>
      </c>
      <c r="P80" s="1623"/>
      <c r="Q80" s="1622" t="s">
        <v>473</v>
      </c>
      <c r="R80" s="1622"/>
      <c r="S80" s="885"/>
      <c r="T80" s="885"/>
      <c r="U80" s="885"/>
      <c r="V80" s="885"/>
      <c r="W80" s="887"/>
      <c r="X80" s="892"/>
      <c r="Z80" s="971">
        <v>0</v>
      </c>
      <c r="AA80" s="993">
        <v>3.7810000000000003E-2</v>
      </c>
      <c r="AC80" s="1001">
        <f>R82</f>
        <v>2.9053209238107624E-2</v>
      </c>
    </row>
    <row r="81" spans="1:72" x14ac:dyDescent="0.25">
      <c r="B81" s="853"/>
      <c r="C81" s="765"/>
      <c r="D81" s="765"/>
      <c r="J81" s="884"/>
      <c r="K81" s="859"/>
      <c r="L81" s="859"/>
      <c r="M81" s="859"/>
      <c r="N81" s="867" t="s">
        <v>112</v>
      </c>
      <c r="O81" s="868" t="s">
        <v>114</v>
      </c>
      <c r="P81" s="869" t="s">
        <v>115</v>
      </c>
      <c r="Q81" s="868" t="s">
        <v>114</v>
      </c>
      <c r="R81" s="869" t="s">
        <v>115</v>
      </c>
      <c r="S81" s="885"/>
      <c r="T81" s="885"/>
      <c r="U81" s="885"/>
      <c r="V81" s="885"/>
      <c r="W81" s="887"/>
      <c r="X81" s="892"/>
      <c r="Z81" s="971">
        <v>0.01</v>
      </c>
      <c r="AA81" s="993">
        <v>3.6790000000000003E-2</v>
      </c>
    </row>
    <row r="82" spans="1:72" x14ac:dyDescent="0.25">
      <c r="B82" s="854"/>
      <c r="C82" s="765"/>
      <c r="D82" s="765"/>
      <c r="J82" s="884"/>
      <c r="K82" s="859"/>
      <c r="L82" s="859"/>
      <c r="M82" s="859"/>
      <c r="N82" s="867" t="s">
        <v>113</v>
      </c>
      <c r="O82" s="870">
        <f>1-M59/J59</f>
        <v>0.12499751095909073</v>
      </c>
      <c r="P82" s="871">
        <f t="shared" ref="P82:P87" si="28">O82/3</f>
        <v>4.1665836986363579E-2</v>
      </c>
      <c r="Q82" s="870">
        <f>1-W59/M59</f>
        <v>0.29053209238107625</v>
      </c>
      <c r="R82" s="872">
        <f t="shared" ref="R82:R87" si="29">Q82/10</f>
        <v>2.9053209238107624E-2</v>
      </c>
      <c r="S82" s="885"/>
      <c r="T82" s="885"/>
      <c r="U82" s="885"/>
      <c r="V82" s="885"/>
      <c r="W82" s="887"/>
      <c r="X82" s="892"/>
      <c r="Z82" s="765"/>
    </row>
    <row r="83" spans="1:72" x14ac:dyDescent="0.25">
      <c r="B83" s="855"/>
      <c r="C83" s="765"/>
      <c r="D83" s="765"/>
      <c r="J83" s="884"/>
      <c r="K83" s="859"/>
      <c r="L83" s="859"/>
      <c r="M83" s="859"/>
      <c r="N83" s="873" t="s">
        <v>96</v>
      </c>
      <c r="O83" s="870">
        <f>1-M60/J60</f>
        <v>7.9465800000000031E-2</v>
      </c>
      <c r="P83" s="871">
        <f t="shared" si="28"/>
        <v>2.6488600000000011E-2</v>
      </c>
      <c r="Q83" s="870">
        <f>1-W60/M60</f>
        <v>0.23852799999999996</v>
      </c>
      <c r="R83" s="872">
        <f t="shared" si="29"/>
        <v>2.3852799999999997E-2</v>
      </c>
      <c r="S83" s="885"/>
      <c r="T83" s="885"/>
      <c r="U83" s="885"/>
      <c r="V83" s="885"/>
      <c r="W83" s="887"/>
      <c r="X83" s="892"/>
      <c r="Z83" s="1217">
        <v>0.36</v>
      </c>
      <c r="AA83" s="1216">
        <v>0.64</v>
      </c>
    </row>
    <row r="84" spans="1:72" ht="18" x14ac:dyDescent="0.35">
      <c r="B84" s="855"/>
      <c r="C84" s="765"/>
      <c r="D84" s="765"/>
      <c r="J84" s="884"/>
      <c r="K84" s="859"/>
      <c r="L84" s="859"/>
      <c r="M84" s="859"/>
      <c r="N84" s="874" t="s">
        <v>2</v>
      </c>
      <c r="O84" s="870">
        <f>1-M61/J61</f>
        <v>0</v>
      </c>
      <c r="P84" s="875">
        <f t="shared" si="28"/>
        <v>0</v>
      </c>
      <c r="Q84" s="870">
        <f>1-W61/M61</f>
        <v>0.40286283172660908</v>
      </c>
      <c r="R84" s="871">
        <f t="shared" si="29"/>
        <v>4.0286283172660906E-2</v>
      </c>
      <c r="S84" s="885"/>
      <c r="T84" s="885"/>
      <c r="U84" s="885"/>
      <c r="V84" s="885"/>
      <c r="W84" s="887"/>
      <c r="X84" s="892"/>
      <c r="Z84" s="970" t="s">
        <v>471</v>
      </c>
      <c r="AA84" s="970" t="s">
        <v>472</v>
      </c>
    </row>
    <row r="85" spans="1:72" x14ac:dyDescent="0.25">
      <c r="B85" s="855"/>
      <c r="C85" s="765"/>
      <c r="D85" s="765"/>
      <c r="J85" s="884"/>
      <c r="K85" s="859"/>
      <c r="L85" s="859"/>
      <c r="M85" s="859"/>
      <c r="N85" s="876" t="s">
        <v>63</v>
      </c>
      <c r="O85" s="870">
        <f>1-M62/J62</f>
        <v>0.14544187819215704</v>
      </c>
      <c r="P85" s="872">
        <f t="shared" si="28"/>
        <v>4.8480626064052346E-2</v>
      </c>
      <c r="Q85" s="870">
        <f>1-W62/M62</f>
        <v>0.29813475774069542</v>
      </c>
      <c r="R85" s="872">
        <f t="shared" si="29"/>
        <v>2.9813475774069544E-2</v>
      </c>
      <c r="S85" s="885"/>
      <c r="T85" s="885"/>
      <c r="U85" s="885"/>
      <c r="V85" s="885"/>
      <c r="W85" s="887"/>
      <c r="X85" s="892"/>
      <c r="Z85" s="971">
        <v>0</v>
      </c>
      <c r="AA85" s="993">
        <v>3.7269999999999998E-2</v>
      </c>
    </row>
    <row r="86" spans="1:72" x14ac:dyDescent="0.25">
      <c r="B86" s="856"/>
      <c r="C86" s="765"/>
      <c r="D86" s="765"/>
      <c r="J86" s="884"/>
      <c r="K86" s="859"/>
      <c r="L86" s="859"/>
      <c r="M86" s="859"/>
      <c r="N86" s="877" t="s">
        <v>179</v>
      </c>
      <c r="O86" s="878">
        <f>1-M65/J65</f>
        <v>0.13701154653674552</v>
      </c>
      <c r="P86" s="879">
        <f t="shared" si="28"/>
        <v>4.5670515512248509E-2</v>
      </c>
      <c r="Q86" s="878">
        <f>1-W65/M65</f>
        <v>0.30516893515529031</v>
      </c>
      <c r="R86" s="879">
        <f t="shared" si="29"/>
        <v>3.0516893515529032E-2</v>
      </c>
      <c r="S86" s="885"/>
      <c r="T86" s="885"/>
      <c r="U86" s="885"/>
      <c r="V86" s="885"/>
      <c r="W86" s="887"/>
      <c r="X86" s="892"/>
      <c r="Z86" s="971">
        <v>0.01</v>
      </c>
      <c r="AA86" s="993">
        <v>3.6409999999999998E-2</v>
      </c>
    </row>
    <row r="87" spans="1:72" ht="15.75" thickBot="1" x14ac:dyDescent="0.3">
      <c r="B87" s="765"/>
      <c r="C87" s="765"/>
      <c r="D87" s="765"/>
      <c r="J87" s="889"/>
      <c r="K87" s="880"/>
      <c r="L87" s="880"/>
      <c r="M87" s="880"/>
      <c r="N87" s="881" t="s">
        <v>428</v>
      </c>
      <c r="O87" s="882">
        <f>1-M66/J66</f>
        <v>0.12869770801661451</v>
      </c>
      <c r="P87" s="883">
        <f t="shared" si="28"/>
        <v>4.2899236005538167E-2</v>
      </c>
      <c r="Q87" s="882">
        <f>1-W66/M66</f>
        <v>0.29499707195103164</v>
      </c>
      <c r="R87" s="883">
        <f t="shared" si="29"/>
        <v>2.9499707195103163E-2</v>
      </c>
      <c r="S87" s="890"/>
      <c r="T87" s="890"/>
      <c r="U87" s="890"/>
      <c r="V87" s="890"/>
      <c r="W87" s="891"/>
      <c r="X87" s="892"/>
      <c r="Z87" s="765"/>
    </row>
    <row r="89" spans="1:72" s="795" customFormat="1" x14ac:dyDescent="0.25">
      <c r="A89" s="785"/>
    </row>
    <row r="90" spans="1:72" s="173" customFormat="1" ht="12" thickBot="1" x14ac:dyDescent="0.25">
      <c r="A90" s="797"/>
      <c r="B90" s="1030" t="s">
        <v>206</v>
      </c>
      <c r="N90" s="859"/>
      <c r="O90" s="859"/>
      <c r="P90" s="859"/>
      <c r="Q90" s="859"/>
      <c r="R90" s="859"/>
      <c r="S90" s="859"/>
      <c r="X90" s="948"/>
    </row>
    <row r="91" spans="1:72" s="1031" customFormat="1" ht="11.25" x14ac:dyDescent="0.2">
      <c r="B91" s="1157"/>
      <c r="C91" s="1032"/>
      <c r="D91" s="1032"/>
      <c r="E91" s="1032"/>
      <c r="F91" s="1032"/>
      <c r="G91" s="1032"/>
      <c r="H91" s="1032"/>
      <c r="I91" s="1033"/>
      <c r="J91" s="1033"/>
      <c r="K91" s="1033"/>
      <c r="L91" s="1033"/>
      <c r="M91" s="1033"/>
      <c r="N91" s="1034"/>
      <c r="O91" s="1035"/>
      <c r="P91" s="1035"/>
      <c r="Q91" s="1035"/>
      <c r="R91" s="1035"/>
      <c r="S91" s="1035"/>
      <c r="T91" s="1035"/>
      <c r="U91" s="1035"/>
      <c r="V91" s="1035"/>
      <c r="W91" s="1035"/>
      <c r="X91" s="1035"/>
      <c r="Y91" s="1035"/>
      <c r="Z91" s="1035"/>
      <c r="AA91" s="1035"/>
      <c r="AB91" s="1035"/>
      <c r="AC91" s="1036"/>
      <c r="AD91" s="1037" t="s">
        <v>204</v>
      </c>
      <c r="AE91" s="1038">
        <v>1</v>
      </c>
      <c r="AF91" s="1036"/>
      <c r="AG91" s="1036" t="s">
        <v>205</v>
      </c>
      <c r="AH91" s="1039">
        <v>0.05</v>
      </c>
      <c r="AI91" s="1036"/>
      <c r="AJ91" s="1036"/>
      <c r="AK91" s="1036"/>
      <c r="AL91" s="1036"/>
      <c r="AM91" s="1036"/>
      <c r="AN91" s="1036"/>
      <c r="AO91" s="1036"/>
      <c r="AP91" s="1036"/>
      <c r="AQ91" s="1036"/>
      <c r="AR91" s="1036"/>
      <c r="AS91" s="1036"/>
      <c r="AT91" s="1036"/>
      <c r="AU91" s="1036"/>
      <c r="AY91" s="1036"/>
      <c r="BT91" s="1040">
        <v>0.16</v>
      </c>
    </row>
    <row r="92" spans="1:72" s="1031" customFormat="1" ht="11.25" x14ac:dyDescent="0.2">
      <c r="B92" s="1041"/>
      <c r="C92" s="920"/>
      <c r="D92" s="920"/>
      <c r="E92" s="920"/>
      <c r="F92" s="920"/>
      <c r="G92" s="920"/>
      <c r="H92" s="920"/>
      <c r="I92" s="865"/>
      <c r="J92" s="865"/>
      <c r="K92" s="865"/>
      <c r="L92" s="865"/>
      <c r="M92" s="865"/>
      <c r="N92" s="865"/>
      <c r="O92" s="1035"/>
      <c r="P92" s="1035"/>
      <c r="Q92" s="1035"/>
      <c r="R92" s="1035"/>
      <c r="S92" s="1035"/>
      <c r="T92" s="1035"/>
      <c r="U92" s="1035"/>
      <c r="V92" s="1035"/>
      <c r="W92" s="1035"/>
      <c r="X92" s="1035"/>
      <c r="Y92" s="1035"/>
      <c r="Z92" s="1035"/>
      <c r="AA92" s="1035"/>
      <c r="AB92" s="1035"/>
      <c r="AC92" s="1036"/>
      <c r="AD92" s="1036"/>
      <c r="AE92" s="1036"/>
      <c r="AF92" s="1036"/>
      <c r="AG92" s="1036"/>
      <c r="AI92" s="1036"/>
      <c r="AJ92" s="1036"/>
      <c r="AK92" s="1036"/>
      <c r="AL92" s="1036"/>
      <c r="AM92" s="1036"/>
      <c r="AN92" s="1036"/>
      <c r="AO92" s="1036"/>
      <c r="AP92" s="1036"/>
      <c r="AQ92" s="1036"/>
      <c r="AR92" s="1036"/>
      <c r="AS92" s="1036"/>
      <c r="AT92" s="1036"/>
      <c r="AU92" s="1036"/>
      <c r="AY92" s="1036"/>
      <c r="BT92" s="1040">
        <v>0.17</v>
      </c>
    </row>
    <row r="93" spans="1:72" s="1031" customFormat="1" ht="11.25" x14ac:dyDescent="0.2">
      <c r="B93" s="1042" t="s">
        <v>206</v>
      </c>
      <c r="C93" s="953"/>
      <c r="D93" s="953"/>
      <c r="E93" s="953"/>
      <c r="F93" s="953"/>
      <c r="G93" s="953"/>
      <c r="H93" s="953"/>
      <c r="I93" s="1043">
        <v>2016</v>
      </c>
      <c r="J93" s="1043">
        <v>2017</v>
      </c>
      <c r="K93" s="1043">
        <v>2018</v>
      </c>
      <c r="L93" s="1043">
        <v>2019</v>
      </c>
      <c r="M93" s="1043">
        <v>2020</v>
      </c>
      <c r="N93" s="1043">
        <v>2021</v>
      </c>
      <c r="O93" s="1043">
        <v>2022</v>
      </c>
      <c r="P93" s="1043">
        <v>2023</v>
      </c>
      <c r="Q93" s="1043">
        <v>2024</v>
      </c>
      <c r="R93" s="1043">
        <v>2025</v>
      </c>
      <c r="S93" s="1043">
        <v>2026</v>
      </c>
      <c r="T93" s="1043">
        <v>2027</v>
      </c>
      <c r="U93" s="1043">
        <v>2028</v>
      </c>
      <c r="V93" s="1043">
        <v>2029</v>
      </c>
      <c r="W93" s="1043">
        <v>2030</v>
      </c>
      <c r="X93" s="1044"/>
      <c r="Y93" s="1044"/>
      <c r="Z93" s="1044"/>
      <c r="AA93" s="1035"/>
      <c r="AB93" s="1035"/>
      <c r="AC93" s="1036"/>
      <c r="AD93" s="1036"/>
      <c r="AE93" s="1036"/>
      <c r="AF93" s="1036"/>
      <c r="AG93" s="1036"/>
      <c r="AH93" s="1036"/>
      <c r="AI93" s="1036"/>
      <c r="AJ93" s="1036"/>
      <c r="AK93" s="1036"/>
      <c r="AL93" s="1036"/>
      <c r="AM93" s="1036"/>
      <c r="AN93" s="1036"/>
      <c r="AO93" s="1036"/>
      <c r="AP93" s="1036"/>
      <c r="AQ93" s="1036"/>
      <c r="AR93" s="1036"/>
      <c r="AS93" s="1036"/>
      <c r="AT93" s="1036"/>
      <c r="AU93" s="1036"/>
      <c r="BT93" s="1040">
        <v>0.18</v>
      </c>
    </row>
    <row r="94" spans="1:72" s="1031" customFormat="1" ht="11.25" x14ac:dyDescent="0.2">
      <c r="B94" s="1042" t="s">
        <v>510</v>
      </c>
      <c r="C94" s="953"/>
      <c r="D94" s="953"/>
      <c r="E94" s="953"/>
      <c r="F94" s="953"/>
      <c r="G94" s="953"/>
      <c r="H94" s="953"/>
      <c r="I94" s="1136"/>
      <c r="J94" s="1045">
        <f>'Carbon Price Forecast July 2017'!H13</f>
        <v>17.776544332575511</v>
      </c>
      <c r="K94" s="1046">
        <f>'Carbon Price Forecast July 2017'!I13</f>
        <v>18.260183300000001</v>
      </c>
      <c r="L94" s="1046">
        <f>'Carbon Price Forecast July 2017'!J13</f>
        <v>19.024845363512195</v>
      </c>
      <c r="M94" s="1046">
        <f>'Carbon Price Forecast July 2017'!K13</f>
        <v>19.823987288030477</v>
      </c>
      <c r="N94" s="1047">
        <f>'Carbon Price Forecast July 2017'!L13</f>
        <v>20.914146793507996</v>
      </c>
      <c r="O94" s="1047">
        <f>'Carbon Price Forecast July 2017'!M13</f>
        <v>22.276871121840031</v>
      </c>
      <c r="P94" s="1047">
        <f>'Carbon Price Forecast July 2017'!N13</f>
        <v>26.015425021990001</v>
      </c>
      <c r="Q94" s="1047">
        <f>'Carbon Price Forecast July 2017'!O13</f>
        <v>33.122947588190712</v>
      </c>
      <c r="R94" s="1047">
        <f>'Carbon Price Forecast July 2017'!P13</f>
        <v>39.254679818464147</v>
      </c>
      <c r="S94" s="1047">
        <f>'Carbon Price Forecast July 2017'!Q13</f>
        <v>46.231770390260444</v>
      </c>
      <c r="T94" s="1047">
        <f>'Carbon Price Forecast July 2017'!R13</f>
        <v>54.142767837477656</v>
      </c>
      <c r="U94" s="1047">
        <f>'Carbon Price Forecast July 2017'!S13</f>
        <v>58.615223418346439</v>
      </c>
      <c r="V94" s="1047">
        <f>'Carbon Price Forecast July 2017'!T13</f>
        <v>63.049506895243077</v>
      </c>
      <c r="W94" s="1047">
        <f>'Carbon Price Forecast July 2017'!U13</f>
        <v>67.604570726888241</v>
      </c>
      <c r="X94" s="1048"/>
      <c r="Y94" s="1048"/>
      <c r="Z94" s="1048"/>
      <c r="AA94" s="1035"/>
      <c r="AB94" s="1035"/>
      <c r="AC94" s="1036"/>
      <c r="AD94" s="1036" t="s">
        <v>208</v>
      </c>
      <c r="AE94" s="1036"/>
      <c r="AF94" s="1038">
        <v>1</v>
      </c>
      <c r="AG94" s="1036"/>
      <c r="AH94" s="1049">
        <v>0</v>
      </c>
      <c r="AI94" s="1036"/>
      <c r="AJ94" s="1036"/>
      <c r="AK94" s="1036"/>
      <c r="AM94" s="1036"/>
      <c r="AN94" s="1036"/>
      <c r="AO94" s="1036"/>
      <c r="AP94" s="1036"/>
      <c r="AQ94" s="1036"/>
      <c r="AR94" s="1036"/>
      <c r="AS94" s="1036"/>
      <c r="AT94" s="1036"/>
      <c r="AU94" s="1036"/>
      <c r="BT94" s="1040">
        <v>0.19</v>
      </c>
    </row>
    <row r="95" spans="1:72" s="1031" customFormat="1" ht="16.149999999999999" customHeight="1" x14ac:dyDescent="0.2">
      <c r="B95" s="1042" t="s">
        <v>209</v>
      </c>
      <c r="C95" s="953"/>
      <c r="D95" s="953"/>
      <c r="E95" s="953"/>
      <c r="F95" s="953"/>
      <c r="G95" s="953"/>
      <c r="H95" s="953"/>
      <c r="I95" s="1137"/>
      <c r="J95" s="1051">
        <f>J57</f>
        <v>142.33169192075729</v>
      </c>
      <c r="K95" s="1051">
        <f t="shared" ref="K95:W95" si="30">K57</f>
        <v>136.44378354391171</v>
      </c>
      <c r="L95" s="1051">
        <f t="shared" si="30"/>
        <v>130.55587516706612</v>
      </c>
      <c r="M95" s="1051">
        <f t="shared" si="30"/>
        <v>124.66796679022053</v>
      </c>
      <c r="N95" s="1052">
        <f t="shared" si="30"/>
        <v>124.25649271004843</v>
      </c>
      <c r="O95" s="1052">
        <f t="shared" si="30"/>
        <v>120.5384209101863</v>
      </c>
      <c r="P95" s="1052">
        <f t="shared" si="30"/>
        <v>116.82034911032416</v>
      </c>
      <c r="Q95" s="1052">
        <f t="shared" si="30"/>
        <v>113.10227731046203</v>
      </c>
      <c r="R95" s="1052">
        <f t="shared" si="30"/>
        <v>109.3842055105999</v>
      </c>
      <c r="S95" s="1052">
        <f t="shared" si="30"/>
        <v>105.66613371073777</v>
      </c>
      <c r="T95" s="1052">
        <f t="shared" si="30"/>
        <v>101.94806191087564</v>
      </c>
      <c r="U95" s="1052">
        <f t="shared" si="30"/>
        <v>98.229990111013493</v>
      </c>
      <c r="V95" s="1052">
        <f t="shared" si="30"/>
        <v>94.511918311151376</v>
      </c>
      <c r="W95" s="1052">
        <f t="shared" si="30"/>
        <v>90.793846511289232</v>
      </c>
      <c r="X95" s="1053"/>
      <c r="Y95" s="1053"/>
      <c r="Z95" s="1053"/>
      <c r="AA95" s="1035"/>
      <c r="AB95" s="1035"/>
      <c r="AC95" s="1036"/>
      <c r="AD95" s="1036"/>
      <c r="AE95" s="1036"/>
      <c r="AF95" s="1036"/>
      <c r="AG95" s="1036"/>
      <c r="AH95" s="1049">
        <v>1</v>
      </c>
      <c r="AI95" s="1036"/>
      <c r="AJ95" s="1036"/>
      <c r="AK95" s="1036"/>
      <c r="AM95" s="1036"/>
      <c r="AN95" s="1036"/>
      <c r="AO95" s="1036"/>
      <c r="AP95" s="1036"/>
      <c r="AQ95" s="1036"/>
      <c r="AR95" s="1036"/>
      <c r="AS95" s="1036"/>
      <c r="AT95" s="1036"/>
      <c r="AU95" s="1036"/>
      <c r="BT95" s="1040">
        <v>0.2</v>
      </c>
    </row>
    <row r="96" spans="1:72" s="1031" customFormat="1" ht="11.25" x14ac:dyDescent="0.2">
      <c r="B96" s="1054" t="s">
        <v>511</v>
      </c>
      <c r="C96" s="1055"/>
      <c r="D96" s="1055"/>
      <c r="E96" s="1055"/>
      <c r="F96" s="1055"/>
      <c r="G96" s="1055"/>
      <c r="H96" s="1055"/>
      <c r="I96" s="1138"/>
      <c r="J96" s="1057">
        <f>J95*0.05</f>
        <v>7.1165845960378649</v>
      </c>
      <c r="K96" s="1057">
        <f>K95*0.05</f>
        <v>6.822189177195586</v>
      </c>
      <c r="L96" s="1057">
        <f>L95*0.05</f>
        <v>6.5277937583533063</v>
      </c>
      <c r="M96" s="1057">
        <f>AD100*0.05</f>
        <v>6.2333983395110266</v>
      </c>
      <c r="N96" s="1058">
        <f>AE100*0.05</f>
        <v>6.2128246355024217</v>
      </c>
      <c r="O96" s="1058">
        <f>O95*0.05</f>
        <v>6.0269210455093152</v>
      </c>
      <c r="P96" s="1058">
        <f>P95*0.05</f>
        <v>5.8410174555162087</v>
      </c>
      <c r="Q96" s="1058">
        <f>Q95*0.05</f>
        <v>5.6551138655231021</v>
      </c>
      <c r="R96" s="1058">
        <f>AI100*0.05</f>
        <v>5.4692102755299956</v>
      </c>
      <c r="S96" s="1058">
        <f>AJ100*0.05</f>
        <v>5.2833066855368891</v>
      </c>
      <c r="T96" s="1058">
        <f>T95*0.05</f>
        <v>5.0974030955437826</v>
      </c>
      <c r="U96" s="1058">
        <f>U95*0.05</f>
        <v>4.9114995055506752</v>
      </c>
      <c r="V96" s="1058">
        <f>V95*0.05</f>
        <v>4.7255959155575686</v>
      </c>
      <c r="W96" s="1058">
        <f>AN100*0.05</f>
        <v>4.5396923255644621</v>
      </c>
      <c r="X96" s="1059"/>
      <c r="Y96" s="1059"/>
      <c r="Z96" s="1059"/>
      <c r="AA96" s="1035"/>
      <c r="AB96" s="1035"/>
      <c r="AC96" s="1036"/>
      <c r="AD96" s="1060" t="s">
        <v>211</v>
      </c>
      <c r="AE96" s="1061">
        <v>124.66770740616697</v>
      </c>
      <c r="AF96" s="1036"/>
      <c r="AG96" s="1036"/>
      <c r="AH96" s="1036"/>
      <c r="AI96" s="1036"/>
      <c r="AJ96" s="1036"/>
      <c r="AK96" s="1036"/>
      <c r="AL96" s="1036"/>
      <c r="AM96" s="1036"/>
      <c r="AN96" s="1036"/>
      <c r="AO96" s="1036"/>
      <c r="AP96" s="1036"/>
      <c r="AQ96" s="1036"/>
      <c r="AR96" s="1036"/>
      <c r="AS96" s="1036"/>
      <c r="AT96" s="1036"/>
      <c r="AU96" s="1036"/>
    </row>
    <row r="97" spans="2:50" s="1031" customFormat="1" ht="22.5" x14ac:dyDescent="0.2">
      <c r="B97" s="1062" t="s">
        <v>512</v>
      </c>
      <c r="C97" s="1063"/>
      <c r="D97" s="1063"/>
      <c r="E97" s="1063"/>
      <c r="F97" s="1063"/>
      <c r="G97" s="1063"/>
      <c r="H97" s="1063"/>
      <c r="I97" s="1138"/>
      <c r="J97" s="1064">
        <v>32.636369999999999</v>
      </c>
      <c r="K97" s="1064">
        <v>32.220582690494403</v>
      </c>
      <c r="L97" s="1064">
        <v>31.824955134482078</v>
      </c>
      <c r="M97" s="1064">
        <v>30.558808345894324</v>
      </c>
      <c r="N97" s="1065">
        <v>29.177485569186121</v>
      </c>
      <c r="O97" s="1139"/>
      <c r="P97" s="1139"/>
      <c r="Q97" s="1139"/>
      <c r="R97" s="1139"/>
      <c r="S97" s="1139"/>
      <c r="T97" s="1139"/>
      <c r="U97" s="1139"/>
      <c r="V97" s="1139"/>
      <c r="W97" s="1139"/>
      <c r="X97" s="1066"/>
      <c r="Y97" s="1066"/>
      <c r="Z97" s="1066"/>
      <c r="AA97" s="1035"/>
      <c r="AB97" s="1035"/>
      <c r="AC97" s="1036"/>
      <c r="AD97" s="1036"/>
      <c r="AE97" s="1036"/>
      <c r="AF97" s="1036"/>
      <c r="AG97" s="1036"/>
      <c r="AH97" s="1036"/>
      <c r="AI97" s="1036"/>
      <c r="AJ97" s="1036"/>
      <c r="AK97" s="1036"/>
      <c r="AL97" s="1036"/>
      <c r="AM97" s="1036"/>
      <c r="AN97" s="1036"/>
      <c r="AO97" s="1036"/>
      <c r="AP97" s="1036"/>
      <c r="AQ97" s="1036"/>
      <c r="AR97" s="1036"/>
      <c r="AS97" s="1036"/>
      <c r="AT97" s="1036"/>
      <c r="AU97" s="1036"/>
    </row>
    <row r="98" spans="2:50" s="1031" customFormat="1" ht="22.5" x14ac:dyDescent="0.2">
      <c r="B98" s="1062" t="s">
        <v>513</v>
      </c>
      <c r="C98" s="1063"/>
      <c r="D98" s="1063"/>
      <c r="E98" s="1063"/>
      <c r="F98" s="1063"/>
      <c r="G98" s="1063"/>
      <c r="H98" s="1063"/>
      <c r="I98" s="1138"/>
      <c r="J98" s="1064">
        <v>4.8301060254408619E-2</v>
      </c>
      <c r="K98" s="1064">
        <v>4.6093701800782143E-2</v>
      </c>
      <c r="L98" s="1064">
        <v>4.3886343347155674E-2</v>
      </c>
      <c r="M98" s="1064">
        <v>4.1678984893529204E-2</v>
      </c>
      <c r="N98" s="1065">
        <v>3.9471626439902728E-2</v>
      </c>
      <c r="O98" s="1139"/>
      <c r="P98" s="1139"/>
      <c r="Q98" s="1139"/>
      <c r="R98" s="1139"/>
      <c r="S98" s="1139"/>
      <c r="T98" s="1139"/>
      <c r="U98" s="1139"/>
      <c r="V98" s="1139"/>
      <c r="W98" s="1139"/>
      <c r="X98" s="1066"/>
      <c r="Y98" s="1066"/>
      <c r="Z98" s="1066"/>
      <c r="AA98" s="1035"/>
      <c r="AB98" s="1035"/>
      <c r="AC98" s="1036"/>
      <c r="AD98" s="1036"/>
      <c r="AE98" s="1036"/>
      <c r="AF98" s="1036"/>
      <c r="AG98" s="1036"/>
      <c r="AH98" s="1036"/>
      <c r="AI98" s="1036"/>
      <c r="AJ98" s="1036"/>
      <c r="AK98" s="1036"/>
      <c r="AL98" s="1036"/>
      <c r="AM98" s="1036"/>
      <c r="AN98" s="1036"/>
      <c r="AO98" s="1036"/>
      <c r="AP98" s="1036"/>
      <c r="AQ98" s="1036"/>
      <c r="AR98" s="1036"/>
      <c r="AS98" s="1036"/>
      <c r="AT98" s="1036"/>
      <c r="AU98" s="1036"/>
    </row>
    <row r="99" spans="2:50" s="1031" customFormat="1" ht="22.5" x14ac:dyDescent="0.2">
      <c r="B99" s="1062" t="s">
        <v>514</v>
      </c>
      <c r="C99" s="1063"/>
      <c r="D99" s="1063"/>
      <c r="E99" s="1063"/>
      <c r="F99" s="1063"/>
      <c r="G99" s="1063"/>
      <c r="H99" s="1063"/>
      <c r="I99" s="1138"/>
      <c r="J99" s="1064">
        <v>1.2399020000000001</v>
      </c>
      <c r="K99" s="1064">
        <v>1.0093417931126489</v>
      </c>
      <c r="L99" s="1064">
        <v>0.96888749981997291</v>
      </c>
      <c r="M99" s="1064">
        <v>0.92872219191778393</v>
      </c>
      <c r="N99" s="1065">
        <v>0.9577379061017518</v>
      </c>
      <c r="O99" s="1139"/>
      <c r="P99" s="1139"/>
      <c r="Q99" s="1139"/>
      <c r="R99" s="1139"/>
      <c r="S99" s="1139"/>
      <c r="T99" s="1139"/>
      <c r="U99" s="1139"/>
      <c r="V99" s="1139"/>
      <c r="W99" s="1139"/>
      <c r="X99" s="1066"/>
      <c r="Y99" s="1066"/>
      <c r="Z99" s="1066"/>
      <c r="AA99" s="1035"/>
      <c r="AB99" s="1035"/>
      <c r="AC99" s="1036"/>
      <c r="AD99" s="1043">
        <v>2020</v>
      </c>
      <c r="AE99" s="1043">
        <v>2021</v>
      </c>
      <c r="AF99" s="1043">
        <v>2022</v>
      </c>
      <c r="AG99" s="1043">
        <v>2023</v>
      </c>
      <c r="AH99" s="1043">
        <v>2024</v>
      </c>
      <c r="AI99" s="1043">
        <v>2025</v>
      </c>
      <c r="AJ99" s="1043">
        <v>2026</v>
      </c>
      <c r="AK99" s="1043">
        <v>2027</v>
      </c>
      <c r="AL99" s="1043">
        <v>2028</v>
      </c>
      <c r="AM99" s="1043">
        <v>2029</v>
      </c>
      <c r="AN99" s="1043">
        <v>2030</v>
      </c>
      <c r="AO99" s="1043">
        <v>2031</v>
      </c>
      <c r="AP99" s="1036"/>
      <c r="AQ99" s="1036"/>
      <c r="AR99" s="1036"/>
      <c r="AS99" s="1036"/>
      <c r="AT99" s="1036"/>
      <c r="AU99" s="1036"/>
    </row>
    <row r="100" spans="2:50" s="1031" customFormat="1" ht="11.25" x14ac:dyDescent="0.2">
      <c r="B100" s="1067" t="s">
        <v>504</v>
      </c>
      <c r="C100" s="922"/>
      <c r="D100" s="922"/>
      <c r="E100" s="922"/>
      <c r="F100" s="922"/>
      <c r="G100" s="922"/>
      <c r="H100" s="922"/>
      <c r="I100" s="1137"/>
      <c r="J100" s="1051">
        <f>J97+J98+J99</f>
        <v>33.92457306025441</v>
      </c>
      <c r="K100" s="1051">
        <f t="shared" ref="K100:W100" si="31">K97+K98+K99</f>
        <v>33.276018185407835</v>
      </c>
      <c r="L100" s="1051">
        <f t="shared" si="31"/>
        <v>32.837728977649206</v>
      </c>
      <c r="M100" s="1051">
        <f t="shared" si="31"/>
        <v>31.529209522705639</v>
      </c>
      <c r="N100" s="1052">
        <f t="shared" si="31"/>
        <v>30.174695101727774</v>
      </c>
      <c r="O100" s="1052">
        <f t="shared" si="31"/>
        <v>0</v>
      </c>
      <c r="P100" s="1052">
        <f t="shared" si="31"/>
        <v>0</v>
      </c>
      <c r="Q100" s="1052">
        <f t="shared" si="31"/>
        <v>0</v>
      </c>
      <c r="R100" s="1052">
        <f t="shared" si="31"/>
        <v>0</v>
      </c>
      <c r="S100" s="1052">
        <f t="shared" si="31"/>
        <v>0</v>
      </c>
      <c r="T100" s="1052">
        <f t="shared" si="31"/>
        <v>0</v>
      </c>
      <c r="U100" s="1052">
        <f t="shared" si="31"/>
        <v>0</v>
      </c>
      <c r="V100" s="1052">
        <f t="shared" si="31"/>
        <v>0</v>
      </c>
      <c r="W100" s="1052">
        <f t="shared" si="31"/>
        <v>0</v>
      </c>
      <c r="X100" s="1068"/>
      <c r="Y100" s="1068"/>
      <c r="Z100" s="1068"/>
      <c r="AA100" s="1035"/>
      <c r="AB100" s="1035"/>
      <c r="AC100" s="1036"/>
      <c r="AD100" s="1069">
        <f>M95</f>
        <v>124.66796679022053</v>
      </c>
      <c r="AE100" s="1069">
        <f t="shared" ref="AE100:AN100" si="32">N95</f>
        <v>124.25649271004843</v>
      </c>
      <c r="AF100" s="1069">
        <f t="shared" si="32"/>
        <v>120.5384209101863</v>
      </c>
      <c r="AG100" s="1069">
        <f t="shared" si="32"/>
        <v>116.82034911032416</v>
      </c>
      <c r="AH100" s="1069">
        <f t="shared" si="32"/>
        <v>113.10227731046203</v>
      </c>
      <c r="AI100" s="1069">
        <f t="shared" si="32"/>
        <v>109.3842055105999</v>
      </c>
      <c r="AJ100" s="1069">
        <f t="shared" si="32"/>
        <v>105.66613371073777</v>
      </c>
      <c r="AK100" s="1069">
        <f t="shared" si="32"/>
        <v>101.94806191087564</v>
      </c>
      <c r="AL100" s="1069">
        <f t="shared" si="32"/>
        <v>98.229990111013493</v>
      </c>
      <c r="AM100" s="1069">
        <f t="shared" si="32"/>
        <v>94.511918311151376</v>
      </c>
      <c r="AN100" s="1069">
        <f t="shared" si="32"/>
        <v>90.793846511289232</v>
      </c>
      <c r="AO100" s="1070">
        <f>AN100</f>
        <v>90.793846511289232</v>
      </c>
      <c r="AP100" s="1036"/>
      <c r="AQ100" s="1036"/>
      <c r="AR100" s="1036"/>
      <c r="AS100" s="1036"/>
      <c r="AT100" s="1036"/>
      <c r="AU100" s="1036"/>
    </row>
    <row r="101" spans="2:50" s="1031" customFormat="1" ht="11.25" x14ac:dyDescent="0.2">
      <c r="B101" s="1054"/>
      <c r="C101" s="1055"/>
      <c r="D101" s="1055"/>
      <c r="E101" s="1055"/>
      <c r="F101" s="1055"/>
      <c r="G101" s="1055"/>
      <c r="H101" s="1055"/>
      <c r="I101" s="1138"/>
      <c r="J101" s="1057"/>
      <c r="K101" s="1057"/>
      <c r="L101" s="1057"/>
      <c r="M101" s="1057"/>
      <c r="N101" s="1058"/>
      <c r="O101" s="1140"/>
      <c r="P101" s="1140"/>
      <c r="Q101" s="1140"/>
      <c r="R101" s="1140"/>
      <c r="S101" s="1140"/>
      <c r="T101" s="1140"/>
      <c r="U101" s="1140"/>
      <c r="V101" s="1140"/>
      <c r="W101" s="1140"/>
      <c r="X101" s="1035"/>
      <c r="Y101" s="1035"/>
      <c r="Z101" s="1035"/>
      <c r="AA101" s="1035"/>
      <c r="AB101" s="1035"/>
      <c r="AC101" s="1036"/>
      <c r="AD101" s="1036"/>
      <c r="AE101" s="1036"/>
      <c r="AF101" s="1036"/>
      <c r="AG101" s="1036"/>
      <c r="AH101" s="1036"/>
      <c r="AI101" s="1036"/>
      <c r="AJ101" s="1036"/>
      <c r="AK101" s="1036"/>
      <c r="AL101" s="1036"/>
      <c r="AM101" s="1036"/>
      <c r="AN101" s="1036"/>
      <c r="AO101" s="1036"/>
      <c r="AP101" s="1036"/>
      <c r="AQ101" s="1036"/>
      <c r="AR101" s="1036"/>
      <c r="AS101" s="1036"/>
      <c r="AT101" s="1036"/>
      <c r="AU101" s="1036"/>
    </row>
    <row r="102" spans="2:50" s="1031" customFormat="1" ht="11.25" x14ac:dyDescent="0.2">
      <c r="B102" s="1072" t="s">
        <v>215</v>
      </c>
      <c r="C102" s="1073"/>
      <c r="D102" s="1073"/>
      <c r="E102" s="1073"/>
      <c r="F102" s="1073"/>
      <c r="G102" s="1073"/>
      <c r="H102" s="1073"/>
      <c r="I102" s="1141"/>
      <c r="J102" s="1074">
        <f>IF($AF$94=0,0,AD100*0.1)</f>
        <v>12.466796679022053</v>
      </c>
      <c r="K102" s="1074">
        <f t="shared" ref="K102:W102" si="33">IF($AF$94=0,0,AE100*0.1)</f>
        <v>12.425649271004843</v>
      </c>
      <c r="L102" s="1074">
        <f t="shared" si="33"/>
        <v>12.05384209101863</v>
      </c>
      <c r="M102" s="1074">
        <f t="shared" si="33"/>
        <v>11.682034911032417</v>
      </c>
      <c r="N102" s="1075">
        <f t="shared" si="33"/>
        <v>11.310227731046204</v>
      </c>
      <c r="O102" s="1075">
        <f t="shared" si="33"/>
        <v>10.938420551059991</v>
      </c>
      <c r="P102" s="1075">
        <f t="shared" si="33"/>
        <v>10.566613371073778</v>
      </c>
      <c r="Q102" s="1075">
        <f t="shared" si="33"/>
        <v>10.194806191087565</v>
      </c>
      <c r="R102" s="1075">
        <f t="shared" si="33"/>
        <v>9.8229990111013503</v>
      </c>
      <c r="S102" s="1075">
        <f t="shared" si="33"/>
        <v>9.4511918311151373</v>
      </c>
      <c r="T102" s="1075">
        <f t="shared" si="33"/>
        <v>9.0793846511289242</v>
      </c>
      <c r="U102" s="1075">
        <f t="shared" si="33"/>
        <v>9.0793846511289242</v>
      </c>
      <c r="V102" s="1075">
        <f t="shared" si="33"/>
        <v>0</v>
      </c>
      <c r="W102" s="1075">
        <f t="shared" si="33"/>
        <v>0</v>
      </c>
      <c r="X102" s="1035"/>
      <c r="Y102" s="1035"/>
      <c r="Z102" s="1035"/>
      <c r="AA102" s="1035"/>
      <c r="AB102" s="1035"/>
      <c r="AC102" s="1036"/>
      <c r="AD102" s="1043">
        <v>2020</v>
      </c>
      <c r="AE102" s="1043">
        <v>2021</v>
      </c>
      <c r="AF102" s="1043">
        <v>2022</v>
      </c>
      <c r="AG102" s="1043">
        <v>2023</v>
      </c>
      <c r="AH102" s="1043">
        <v>2024</v>
      </c>
      <c r="AI102" s="1043">
        <v>2025</v>
      </c>
      <c r="AJ102" s="1043">
        <v>2026</v>
      </c>
      <c r="AK102" s="1043">
        <v>2027</v>
      </c>
      <c r="AL102" s="1043">
        <v>2028</v>
      </c>
      <c r="AM102" s="1043">
        <v>2029</v>
      </c>
      <c r="AN102" s="1043">
        <v>2030</v>
      </c>
      <c r="AO102" s="1043">
        <v>2031</v>
      </c>
      <c r="AP102" s="1036"/>
      <c r="AQ102" s="1036"/>
      <c r="AR102" s="1036"/>
      <c r="AS102" s="1036"/>
      <c r="AT102" s="1036"/>
      <c r="AU102" s="1036"/>
    </row>
    <row r="103" spans="2:50" s="1031" customFormat="1" ht="11.25" x14ac:dyDescent="0.2">
      <c r="B103" s="1076"/>
      <c r="C103" s="1055"/>
      <c r="D103" s="1055"/>
      <c r="E103" s="1055"/>
      <c r="F103" s="1055"/>
      <c r="G103" s="1055"/>
      <c r="H103" s="1055"/>
      <c r="I103" s="1142"/>
      <c r="J103" s="1077">
        <f>J100/(J95+J102)</f>
        <v>0.219153128477656</v>
      </c>
      <c r="K103" s="1077">
        <f t="shared" ref="K103:W103" si="34">K100/(K95+K102)</f>
        <v>0.22352485366676039</v>
      </c>
      <c r="L103" s="1077">
        <f t="shared" si="34"/>
        <v>0.2302629134185987</v>
      </c>
      <c r="M103" s="1077">
        <f t="shared" si="34"/>
        <v>0.23123732401402611</v>
      </c>
      <c r="N103" s="1078">
        <f t="shared" si="34"/>
        <v>0.22258187705321852</v>
      </c>
      <c r="O103" s="1078">
        <f t="shared" si="34"/>
        <v>0</v>
      </c>
      <c r="P103" s="1078">
        <f t="shared" si="34"/>
        <v>0</v>
      </c>
      <c r="Q103" s="1078">
        <f t="shared" si="34"/>
        <v>0</v>
      </c>
      <c r="R103" s="1078">
        <f t="shared" si="34"/>
        <v>0</v>
      </c>
      <c r="S103" s="1078">
        <f t="shared" si="34"/>
        <v>0</v>
      </c>
      <c r="T103" s="1078">
        <f t="shared" si="34"/>
        <v>0</v>
      </c>
      <c r="U103" s="1078">
        <f t="shared" si="34"/>
        <v>0</v>
      </c>
      <c r="V103" s="1078">
        <f t="shared" si="34"/>
        <v>0</v>
      </c>
      <c r="W103" s="1078">
        <f t="shared" si="34"/>
        <v>0</v>
      </c>
      <c r="X103" s="1035"/>
      <c r="Y103" s="1035"/>
      <c r="Z103" s="1035"/>
      <c r="AA103" s="1035"/>
      <c r="AB103" s="1035"/>
      <c r="AC103" s="1036"/>
      <c r="AD103" s="1079">
        <f>M94</f>
        <v>19.823987288030477</v>
      </c>
      <c r="AE103" s="1079">
        <f t="shared" ref="AE103:AN103" si="35">N94</f>
        <v>20.914146793507996</v>
      </c>
      <c r="AF103" s="1079">
        <f t="shared" si="35"/>
        <v>22.276871121840031</v>
      </c>
      <c r="AG103" s="1079">
        <f t="shared" si="35"/>
        <v>26.015425021990001</v>
      </c>
      <c r="AH103" s="1079">
        <f t="shared" si="35"/>
        <v>33.122947588190712</v>
      </c>
      <c r="AI103" s="1079">
        <f t="shared" si="35"/>
        <v>39.254679818464147</v>
      </c>
      <c r="AJ103" s="1079">
        <f t="shared" si="35"/>
        <v>46.231770390260444</v>
      </c>
      <c r="AK103" s="1079">
        <f t="shared" si="35"/>
        <v>54.142767837477656</v>
      </c>
      <c r="AL103" s="1079">
        <f t="shared" si="35"/>
        <v>58.615223418346439</v>
      </c>
      <c r="AM103" s="1079">
        <f t="shared" si="35"/>
        <v>63.049506895243077</v>
      </c>
      <c r="AN103" s="1079">
        <f t="shared" si="35"/>
        <v>67.604570726888241</v>
      </c>
      <c r="AO103" s="1080">
        <f>AN103</f>
        <v>67.604570726888241</v>
      </c>
      <c r="AP103" s="1036"/>
      <c r="AQ103" s="1036"/>
      <c r="AR103" s="1036"/>
      <c r="AS103" s="1036"/>
      <c r="AT103" s="1036"/>
      <c r="AU103" s="1036"/>
    </row>
    <row r="104" spans="2:50" s="1031" customFormat="1" ht="11.25" x14ac:dyDescent="0.2">
      <c r="B104" s="1076" t="s">
        <v>505</v>
      </c>
      <c r="C104" s="1055"/>
      <c r="D104" s="1055"/>
      <c r="E104" s="1055"/>
      <c r="F104" s="1055"/>
      <c r="G104" s="1055"/>
      <c r="H104" s="1055"/>
      <c r="I104" s="1142"/>
      <c r="J104" s="1142">
        <f>J102*J94</f>
        <v>221.6165638498407</v>
      </c>
      <c r="K104" s="1142">
        <f t="shared" ref="K104:W104" si="36">K102*K94</f>
        <v>226.89463331005985</v>
      </c>
      <c r="L104" s="1142">
        <f t="shared" si="36"/>
        <v>229.32248181782393</v>
      </c>
      <c r="M104" s="1142">
        <f t="shared" si="36"/>
        <v>231.58451157463489</v>
      </c>
      <c r="N104" s="1143">
        <f t="shared" si="36"/>
        <v>236.5437630351052</v>
      </c>
      <c r="O104" s="1143">
        <f t="shared" si="36"/>
        <v>243.67378489244985</v>
      </c>
      <c r="P104" s="1143">
        <f t="shared" si="36"/>
        <v>274.89493789152687</v>
      </c>
      <c r="Q104" s="1143">
        <f t="shared" si="36"/>
        <v>337.68203113915558</v>
      </c>
      <c r="R104" s="1143">
        <f t="shared" si="36"/>
        <v>385.59868103787346</v>
      </c>
      <c r="S104" s="1143">
        <f t="shared" si="36"/>
        <v>436.9453306504202</v>
      </c>
      <c r="T104" s="1143">
        <f t="shared" si="36"/>
        <v>491.58301527323141</v>
      </c>
      <c r="U104" s="1143">
        <f t="shared" si="36"/>
        <v>532.19015982702729</v>
      </c>
      <c r="V104" s="1143">
        <f t="shared" si="36"/>
        <v>0</v>
      </c>
      <c r="W104" s="1143">
        <f t="shared" si="36"/>
        <v>0</v>
      </c>
      <c r="X104" s="1035"/>
      <c r="Y104" s="1035"/>
      <c r="Z104" s="1035"/>
      <c r="AA104" s="1035"/>
      <c r="AB104" s="1035"/>
      <c r="AC104" s="1036"/>
      <c r="AD104" s="1079"/>
      <c r="AE104" s="1081"/>
      <c r="AF104" s="1082"/>
      <c r="AG104" s="1082"/>
      <c r="AH104" s="1082"/>
      <c r="AI104" s="1036"/>
      <c r="AJ104" s="1036"/>
      <c r="AK104" s="1036"/>
      <c r="AL104" s="1036"/>
      <c r="AM104" s="1036"/>
      <c r="AN104" s="1036"/>
      <c r="AO104" s="1036"/>
      <c r="AP104" s="1036"/>
      <c r="AQ104" s="1036"/>
      <c r="AR104" s="1036"/>
      <c r="AS104" s="1036"/>
      <c r="AT104" s="1036"/>
      <c r="AU104" s="1036"/>
    </row>
    <row r="105" spans="2:50" s="1031" customFormat="1" ht="11.25" x14ac:dyDescent="0.2">
      <c r="B105" s="1083" t="s">
        <v>506</v>
      </c>
      <c r="C105" s="1084"/>
      <c r="D105" s="1084"/>
      <c r="E105" s="1084"/>
      <c r="F105" s="1084"/>
      <c r="G105" s="1084"/>
      <c r="H105" s="1084"/>
      <c r="I105" s="1144">
        <f>J104/4</f>
        <v>55.404140962460176</v>
      </c>
      <c r="J105" s="1144">
        <f t="shared" ref="J105:W105" si="37">J104*0.75+K104*0.25</f>
        <v>222.93608121489547</v>
      </c>
      <c r="K105" s="1144">
        <f t="shared" si="37"/>
        <v>227.50159543700087</v>
      </c>
      <c r="L105" s="1144">
        <f t="shared" si="37"/>
        <v>229.88798925702667</v>
      </c>
      <c r="M105" s="1144">
        <f t="shared" si="37"/>
        <v>232.82432443975244</v>
      </c>
      <c r="N105" s="1145">
        <f t="shared" si="37"/>
        <v>238.32626849944134</v>
      </c>
      <c r="O105" s="1145">
        <f t="shared" si="37"/>
        <v>251.47907314221911</v>
      </c>
      <c r="P105" s="1145">
        <f t="shared" si="37"/>
        <v>290.59171120343404</v>
      </c>
      <c r="Q105" s="1145">
        <f t="shared" si="37"/>
        <v>349.66119361383505</v>
      </c>
      <c r="R105" s="1145">
        <f t="shared" si="37"/>
        <v>398.4353434410101</v>
      </c>
      <c r="S105" s="1145">
        <f t="shared" si="37"/>
        <v>450.60475180612303</v>
      </c>
      <c r="T105" s="1145">
        <f t="shared" si="37"/>
        <v>501.73480141168034</v>
      </c>
      <c r="U105" s="1145">
        <f t="shared" si="37"/>
        <v>399.14261987027044</v>
      </c>
      <c r="V105" s="1145">
        <f t="shared" si="37"/>
        <v>0</v>
      </c>
      <c r="W105" s="1145">
        <f t="shared" si="37"/>
        <v>0</v>
      </c>
      <c r="X105" s="1035"/>
      <c r="Y105" s="1035"/>
      <c r="Z105" s="1035"/>
      <c r="AA105" s="1035"/>
      <c r="AB105" s="1035"/>
      <c r="AC105" s="1036"/>
      <c r="AD105" s="1079"/>
      <c r="AE105" s="1081"/>
      <c r="AF105" s="1082"/>
      <c r="AG105" s="1082"/>
      <c r="AH105" s="1082"/>
      <c r="AI105" s="1036"/>
      <c r="AJ105" s="1036"/>
      <c r="AK105" s="1036"/>
      <c r="AL105" s="1036"/>
      <c r="AM105" s="1036"/>
      <c r="AN105" s="1036"/>
      <c r="AO105" s="1036"/>
      <c r="AP105" s="1036"/>
      <c r="AQ105" s="1036"/>
      <c r="AR105" s="1036"/>
      <c r="AS105" s="1036"/>
      <c r="AT105" s="1036"/>
      <c r="AU105" s="1036"/>
    </row>
    <row r="106" spans="2:50" s="1031" customFormat="1" ht="11.25" x14ac:dyDescent="0.2">
      <c r="B106" s="1083"/>
      <c r="C106" s="1084"/>
      <c r="D106" s="1084"/>
      <c r="E106" s="1084"/>
      <c r="F106" s="1084"/>
      <c r="G106" s="1084"/>
      <c r="H106" s="1084"/>
      <c r="I106" s="1085"/>
      <c r="J106" s="1085"/>
      <c r="K106" s="1085"/>
      <c r="L106" s="1085"/>
      <c r="M106" s="1085"/>
      <c r="N106" s="1086"/>
      <c r="O106" s="1087"/>
      <c r="P106" s="1071"/>
      <c r="Q106" s="1071"/>
      <c r="R106" s="1071"/>
      <c r="S106" s="1071"/>
      <c r="T106" s="1071"/>
      <c r="U106" s="1071"/>
      <c r="V106" s="1071"/>
      <c r="W106" s="1071"/>
      <c r="X106" s="1035"/>
      <c r="Y106" s="1035"/>
      <c r="Z106" s="1035"/>
      <c r="AA106" s="1035"/>
      <c r="AB106" s="1035"/>
      <c r="AC106" s="1036"/>
      <c r="AD106" s="1079"/>
      <c r="AE106" s="1081"/>
      <c r="AF106" s="1082"/>
      <c r="AG106" s="1082"/>
      <c r="AH106" s="1082"/>
      <c r="AI106" s="1036"/>
      <c r="AJ106" s="1036"/>
      <c r="AK106" s="1036"/>
      <c r="AL106" s="1036"/>
      <c r="AM106" s="1036"/>
      <c r="AN106" s="1036"/>
      <c r="AO106" s="1036"/>
      <c r="AP106" s="1036"/>
      <c r="AQ106" s="1036"/>
      <c r="AR106" s="1036"/>
      <c r="AS106" s="1036"/>
      <c r="AT106" s="1036"/>
      <c r="AU106" s="1036"/>
    </row>
    <row r="107" spans="2:50" s="1031" customFormat="1" ht="11.25" x14ac:dyDescent="0.2">
      <c r="B107" s="1088" t="s">
        <v>515</v>
      </c>
      <c r="C107" s="953"/>
      <c r="D107" s="953"/>
      <c r="E107" s="953"/>
      <c r="F107" s="953"/>
      <c r="G107" s="953"/>
      <c r="H107" s="953"/>
      <c r="I107" s="1050"/>
      <c r="J107" s="1051">
        <f>J95-J100+J102</f>
        <v>120.87391553952494</v>
      </c>
      <c r="K107" s="1051">
        <f t="shared" ref="K107:W107" si="38">K95-K100+K102</f>
        <v>115.59341462950871</v>
      </c>
      <c r="L107" s="1051">
        <f t="shared" si="38"/>
        <v>109.77198828043555</v>
      </c>
      <c r="M107" s="1051">
        <f t="shared" si="38"/>
        <v>104.82079217854731</v>
      </c>
      <c r="N107" s="1052">
        <f t="shared" si="38"/>
        <v>105.39202533936685</v>
      </c>
      <c r="O107" s="1052">
        <f t="shared" si="38"/>
        <v>131.47684146124629</v>
      </c>
      <c r="P107" s="1052">
        <f t="shared" si="38"/>
        <v>127.38696248139794</v>
      </c>
      <c r="Q107" s="1052">
        <f t="shared" si="38"/>
        <v>123.29708350154959</v>
      </c>
      <c r="R107" s="1052">
        <f t="shared" si="38"/>
        <v>119.20720452170124</v>
      </c>
      <c r="S107" s="1052">
        <f t="shared" si="38"/>
        <v>115.11732554185291</v>
      </c>
      <c r="T107" s="1052">
        <f t="shared" si="38"/>
        <v>111.02744656200456</v>
      </c>
      <c r="U107" s="1052">
        <f t="shared" si="38"/>
        <v>107.30937476214241</v>
      </c>
      <c r="V107" s="1052">
        <f t="shared" si="38"/>
        <v>94.511918311151376</v>
      </c>
      <c r="W107" s="1052">
        <f t="shared" si="38"/>
        <v>90.793846511289232</v>
      </c>
      <c r="X107" s="1035"/>
      <c r="Y107" s="1035"/>
      <c r="Z107" s="1035"/>
      <c r="AA107" s="1035"/>
      <c r="AB107" s="1035"/>
      <c r="AC107" s="1036"/>
      <c r="AD107" s="1036"/>
      <c r="AE107" s="1036"/>
      <c r="AF107" s="1036"/>
      <c r="AG107" s="1036"/>
      <c r="AH107" s="1036"/>
      <c r="AI107" s="1036"/>
      <c r="AJ107" s="1036"/>
      <c r="AK107" s="1036"/>
      <c r="AL107" s="1036"/>
      <c r="AM107" s="1036"/>
      <c r="AN107" s="1036"/>
      <c r="AO107" s="1036"/>
      <c r="AP107" s="1036"/>
      <c r="AQ107" s="1036"/>
      <c r="AR107" s="1036"/>
      <c r="AS107" s="1036"/>
      <c r="AT107" s="1036"/>
      <c r="AU107" s="1036"/>
    </row>
    <row r="108" spans="2:50" s="1031" customFormat="1" ht="11.25" x14ac:dyDescent="0.2">
      <c r="B108" s="1089" t="s">
        <v>516</v>
      </c>
      <c r="C108" s="1055"/>
      <c r="D108" s="1055"/>
      <c r="E108" s="1055"/>
      <c r="F108" s="1055"/>
      <c r="G108" s="1055"/>
      <c r="H108" s="1055"/>
      <c r="I108" s="1050"/>
      <c r="J108" s="1057">
        <v>7.5</v>
      </c>
      <c r="K108" s="1057">
        <v>7.5</v>
      </c>
      <c r="L108" s="1057">
        <v>7.5</v>
      </c>
      <c r="M108" s="1057">
        <v>7.5</v>
      </c>
      <c r="N108" s="1058">
        <v>7.5</v>
      </c>
      <c r="O108" s="1071"/>
      <c r="P108" s="1071"/>
      <c r="Q108" s="1071"/>
      <c r="R108" s="1071"/>
      <c r="S108" s="1071"/>
      <c r="T108" s="1071"/>
      <c r="U108" s="1071"/>
      <c r="V108" s="1071"/>
      <c r="W108" s="1071"/>
      <c r="X108" s="1035"/>
      <c r="Y108" s="1035"/>
      <c r="Z108" s="1035"/>
      <c r="AA108" s="1035"/>
      <c r="AB108" s="1090"/>
      <c r="AC108" s="1036"/>
      <c r="AD108" s="1036"/>
      <c r="AE108" s="1036"/>
      <c r="AF108" s="1036"/>
      <c r="AG108" s="1036"/>
      <c r="AH108" s="1036"/>
      <c r="AI108" s="1036"/>
      <c r="AJ108" s="1036"/>
      <c r="AK108" s="1036"/>
      <c r="AL108" s="1036"/>
      <c r="AM108" s="1036"/>
      <c r="AN108" s="1036"/>
      <c r="AO108" s="1036"/>
      <c r="AP108" s="1036"/>
      <c r="AQ108" s="1036"/>
      <c r="AR108" s="1036"/>
      <c r="AS108" s="1036"/>
      <c r="AT108" s="1036"/>
      <c r="AU108" s="1036"/>
    </row>
    <row r="109" spans="2:50" s="1031" customFormat="1" ht="11.25" x14ac:dyDescent="0.2">
      <c r="B109" s="1089" t="s">
        <v>517</v>
      </c>
      <c r="C109" s="1055"/>
      <c r="D109" s="1055"/>
      <c r="E109" s="1055"/>
      <c r="F109" s="1055"/>
      <c r="G109" s="1055"/>
      <c r="H109" s="1055"/>
      <c r="I109" s="1050"/>
      <c r="J109" s="1057">
        <f>J107-J108</f>
        <v>113.37391553952494</v>
      </c>
      <c r="K109" s="1057">
        <f>K107-K108</f>
        <v>108.09341462950871</v>
      </c>
      <c r="L109" s="1057">
        <f>L107-L108</f>
        <v>102.27198828043555</v>
      </c>
      <c r="M109" s="1057">
        <f>M107-M108</f>
        <v>97.320792178547308</v>
      </c>
      <c r="N109" s="1058">
        <f>N107-N108</f>
        <v>97.892025339366853</v>
      </c>
      <c r="O109" s="1071"/>
      <c r="P109" s="1071"/>
      <c r="Q109" s="1071"/>
      <c r="R109" s="1071"/>
      <c r="S109" s="1071"/>
      <c r="T109" s="1071"/>
      <c r="U109" s="1071"/>
      <c r="V109" s="1071"/>
      <c r="W109" s="1071"/>
      <c r="X109" s="1035"/>
      <c r="Y109" s="1035"/>
      <c r="Z109" s="1035"/>
      <c r="AA109" s="1035"/>
      <c r="AB109" s="1091"/>
      <c r="AC109" s="1036"/>
      <c r="AF109" s="1036"/>
      <c r="AG109" s="1036"/>
      <c r="AH109" s="1036"/>
      <c r="AI109" s="1036"/>
      <c r="AJ109" s="1036"/>
      <c r="AK109" s="1036"/>
      <c r="AL109" s="1036"/>
      <c r="AM109" s="1036"/>
      <c r="AN109" s="1036"/>
      <c r="AO109" s="1036"/>
      <c r="AP109" s="1036"/>
      <c r="AQ109" s="1036"/>
      <c r="AR109" s="1036"/>
      <c r="AS109" s="1036"/>
      <c r="AT109" s="1036"/>
      <c r="AU109" s="1036"/>
    </row>
    <row r="110" spans="2:50" s="1031" customFormat="1" ht="11.25" x14ac:dyDescent="0.2">
      <c r="B110" s="1092" t="s">
        <v>508</v>
      </c>
      <c r="C110" s="920"/>
      <c r="D110" s="920"/>
      <c r="E110" s="920"/>
      <c r="F110" s="920"/>
      <c r="G110" s="920"/>
      <c r="H110" s="920"/>
      <c r="I110" s="1134">
        <v>0</v>
      </c>
      <c r="J110" s="1134">
        <f>J107*J94</f>
        <v>2148.7205182403532</v>
      </c>
      <c r="K110" s="1134">
        <f>K107*K94</f>
        <v>2110.7569394077309</v>
      </c>
      <c r="L110" s="1134">
        <f>L107*L94</f>
        <v>2088.3951022805595</v>
      </c>
      <c r="M110" s="1134">
        <f>M107*M94</f>
        <v>2077.9660516688064</v>
      </c>
      <c r="N110" s="1135">
        <f>N107*N94</f>
        <v>2204.1842888126325</v>
      </c>
      <c r="O110" s="1135">
        <f t="shared" ref="O110:W110" si="39">O107*O94</f>
        <v>2928.8926527387775</v>
      </c>
      <c r="P110" s="1135">
        <f t="shared" si="39"/>
        <v>3314.0259712138618</v>
      </c>
      <c r="Q110" s="1135">
        <f t="shared" si="39"/>
        <v>4083.9628345986011</v>
      </c>
      <c r="R110" s="1135">
        <f t="shared" si="39"/>
        <v>4679.4406455535536</v>
      </c>
      <c r="S110" s="1135">
        <f t="shared" si="39"/>
        <v>5322.0777623918075</v>
      </c>
      <c r="T110" s="1135">
        <f t="shared" si="39"/>
        <v>6011.3332627945692</v>
      </c>
      <c r="U110" s="1135">
        <f t="shared" si="39"/>
        <v>6289.9629765660438</v>
      </c>
      <c r="V110" s="1135">
        <f t="shared" si="39"/>
        <v>5958.9298452415887</v>
      </c>
      <c r="W110" s="1135">
        <f t="shared" si="39"/>
        <v>6138.0790180386884</v>
      </c>
      <c r="X110" s="1035"/>
      <c r="Y110" s="1035"/>
      <c r="Z110" s="1035"/>
      <c r="AA110" s="1035"/>
      <c r="AB110" s="1035"/>
      <c r="AC110" s="1036"/>
      <c r="AD110" s="1036"/>
      <c r="AE110" s="1036"/>
      <c r="AF110" s="1036"/>
      <c r="AG110" s="1036"/>
      <c r="AH110" s="1036"/>
      <c r="AI110" s="1036"/>
      <c r="AJ110" s="1036"/>
      <c r="AK110" s="1036"/>
      <c r="AL110" s="1036"/>
      <c r="AM110" s="1036"/>
      <c r="AN110" s="1036"/>
      <c r="AO110" s="1036"/>
      <c r="AP110" s="1036"/>
      <c r="AQ110" s="1036"/>
      <c r="AR110" s="1036"/>
      <c r="AS110" s="1036"/>
      <c r="AT110" s="1036"/>
      <c r="AU110" s="1036"/>
      <c r="AV110" s="1036"/>
      <c r="AW110" s="1036"/>
      <c r="AX110" s="1036"/>
    </row>
    <row r="111" spans="2:50" s="1098" customFormat="1" ht="11.25" x14ac:dyDescent="0.2">
      <c r="B111" s="1093" t="s">
        <v>220</v>
      </c>
      <c r="C111" s="1094"/>
      <c r="D111" s="1094"/>
      <c r="E111" s="1094"/>
      <c r="F111" s="1094"/>
      <c r="G111" s="1094"/>
      <c r="H111" s="1094"/>
      <c r="I111" s="1095">
        <f t="shared" ref="I111:N111" si="40">I110/4</f>
        <v>0</v>
      </c>
      <c r="J111" s="1095">
        <f t="shared" si="40"/>
        <v>537.18012956008829</v>
      </c>
      <c r="K111" s="1095">
        <f t="shared" si="40"/>
        <v>527.68923485193272</v>
      </c>
      <c r="L111" s="1095">
        <f t="shared" si="40"/>
        <v>522.09877557013988</v>
      </c>
      <c r="M111" s="1095">
        <f t="shared" si="40"/>
        <v>519.49151291720159</v>
      </c>
      <c r="N111" s="1096">
        <f t="shared" si="40"/>
        <v>551.04607220315813</v>
      </c>
      <c r="O111" s="1096">
        <f t="shared" ref="O111:W111" si="41">O110/4</f>
        <v>732.22316318469439</v>
      </c>
      <c r="P111" s="1096">
        <f t="shared" si="41"/>
        <v>828.50649280346545</v>
      </c>
      <c r="Q111" s="1096">
        <f t="shared" si="41"/>
        <v>1020.9907086496503</v>
      </c>
      <c r="R111" s="1096">
        <f t="shared" si="41"/>
        <v>1169.8601613883884</v>
      </c>
      <c r="S111" s="1096">
        <f t="shared" si="41"/>
        <v>1330.5194405979519</v>
      </c>
      <c r="T111" s="1096">
        <f t="shared" si="41"/>
        <v>1502.8333156986423</v>
      </c>
      <c r="U111" s="1096">
        <f t="shared" si="41"/>
        <v>1572.490744141511</v>
      </c>
      <c r="V111" s="1096">
        <f t="shared" si="41"/>
        <v>1489.7324613103972</v>
      </c>
      <c r="W111" s="1096">
        <f t="shared" si="41"/>
        <v>1534.5197545096721</v>
      </c>
      <c r="X111" s="1097"/>
      <c r="Y111" s="1097"/>
      <c r="Z111" s="1097"/>
      <c r="AA111" s="1097"/>
      <c r="AB111" s="1097"/>
      <c r="AC111" s="1049"/>
      <c r="AD111" s="1049"/>
      <c r="AE111" s="1049"/>
      <c r="AF111" s="1049"/>
      <c r="AG111" s="1049"/>
      <c r="AH111" s="1049"/>
      <c r="AI111" s="1049"/>
      <c r="AJ111" s="1049"/>
      <c r="AK111" s="1049"/>
      <c r="AL111" s="1049"/>
      <c r="AM111" s="1049"/>
      <c r="AN111" s="1049"/>
      <c r="AO111" s="1049"/>
      <c r="AP111" s="1049"/>
      <c r="AQ111" s="1049"/>
      <c r="AR111" s="1049"/>
      <c r="AS111" s="1049"/>
      <c r="AT111" s="1049"/>
      <c r="AU111" s="1049"/>
      <c r="AV111" s="1049"/>
      <c r="AW111" s="1049"/>
      <c r="AX111" s="1049"/>
    </row>
    <row r="112" spans="2:50" s="1031" customFormat="1" ht="11.25" x14ac:dyDescent="0.2">
      <c r="B112" s="1041"/>
      <c r="C112" s="920"/>
      <c r="D112" s="920"/>
      <c r="E112" s="920"/>
      <c r="F112" s="920"/>
      <c r="G112" s="920"/>
      <c r="H112" s="920"/>
      <c r="I112" s="1056"/>
      <c r="J112" s="1056"/>
      <c r="K112" s="1056"/>
      <c r="L112" s="1056"/>
      <c r="M112" s="1056"/>
      <c r="N112" s="1099"/>
      <c r="O112" s="1071"/>
      <c r="P112" s="1071"/>
      <c r="Q112" s="1071"/>
      <c r="R112" s="1071"/>
      <c r="S112" s="1071"/>
      <c r="T112" s="1071"/>
      <c r="U112" s="1071"/>
      <c r="V112" s="1071"/>
      <c r="W112" s="1071"/>
      <c r="X112" s="1035"/>
      <c r="Y112" s="1035"/>
      <c r="Z112" s="1035"/>
      <c r="AA112" s="1035"/>
      <c r="AB112" s="1035"/>
      <c r="AC112" s="1036"/>
      <c r="AD112" s="1036"/>
      <c r="AE112" s="1036"/>
      <c r="AF112" s="1036"/>
      <c r="AG112" s="1036"/>
      <c r="AH112" s="1036"/>
      <c r="AI112" s="1036"/>
      <c r="AJ112" s="1036"/>
      <c r="AK112" s="1036"/>
      <c r="AL112" s="1036"/>
      <c r="AM112" s="1036"/>
      <c r="AN112" s="1036"/>
      <c r="AO112" s="1036"/>
      <c r="AP112" s="1036"/>
      <c r="AQ112" s="1036"/>
      <c r="AR112" s="1036"/>
      <c r="AS112" s="1036"/>
      <c r="AT112" s="1036"/>
      <c r="AU112" s="1036"/>
    </row>
    <row r="113" spans="2:49" s="1031" customFormat="1" ht="11.25" x14ac:dyDescent="0.2">
      <c r="B113" s="1100" t="s">
        <v>221</v>
      </c>
      <c r="C113" s="920"/>
      <c r="D113" s="920"/>
      <c r="E113" s="920"/>
      <c r="F113" s="920"/>
      <c r="G113" s="920"/>
      <c r="H113" s="920"/>
      <c r="I113" s="1101" t="s">
        <v>222</v>
      </c>
      <c r="J113" s="1101" t="s">
        <v>223</v>
      </c>
      <c r="K113" s="1101" t="s">
        <v>224</v>
      </c>
      <c r="L113" s="1101" t="s">
        <v>225</v>
      </c>
      <c r="M113" s="1101" t="s">
        <v>226</v>
      </c>
      <c r="N113" s="1102" t="s">
        <v>281</v>
      </c>
      <c r="O113" s="1102" t="s">
        <v>282</v>
      </c>
      <c r="P113" s="1102" t="s">
        <v>283</v>
      </c>
      <c r="Q113" s="1102" t="s">
        <v>284</v>
      </c>
      <c r="R113" s="1102" t="s">
        <v>285</v>
      </c>
      <c r="S113" s="1102" t="s">
        <v>286</v>
      </c>
      <c r="T113" s="1102" t="s">
        <v>287</v>
      </c>
      <c r="U113" s="1102" t="s">
        <v>288</v>
      </c>
      <c r="V113" s="1102" t="s">
        <v>289</v>
      </c>
      <c r="W113" s="1102" t="s">
        <v>507</v>
      </c>
      <c r="X113" s="1035"/>
      <c r="Y113" s="1035"/>
      <c r="Z113" s="1035"/>
      <c r="AA113" s="1035"/>
      <c r="AB113" s="1035"/>
      <c r="AC113" s="1036"/>
      <c r="AD113" s="1036"/>
      <c r="AE113" s="1036"/>
      <c r="AF113" s="1036"/>
      <c r="AG113" s="1036"/>
      <c r="AH113" s="1036"/>
      <c r="AI113" s="1036"/>
      <c r="AJ113" s="1036"/>
      <c r="AK113" s="1036"/>
      <c r="AL113" s="1036"/>
      <c r="AM113" s="1036"/>
      <c r="AN113" s="1036"/>
      <c r="AO113" s="1036"/>
      <c r="AP113" s="1036"/>
      <c r="AQ113" s="1036"/>
      <c r="AR113" s="1036"/>
      <c r="AS113" s="1036"/>
      <c r="AT113" s="1036"/>
      <c r="AU113" s="1036"/>
    </row>
    <row r="114" spans="2:49" s="1031" customFormat="1" ht="11.25" x14ac:dyDescent="0.2">
      <c r="B114" s="1103" t="s">
        <v>518</v>
      </c>
      <c r="C114" s="920"/>
      <c r="D114" s="920"/>
      <c r="E114" s="920"/>
      <c r="F114" s="920"/>
      <c r="G114" s="920"/>
      <c r="H114" s="920"/>
      <c r="I114" s="1133">
        <f>J110/4</f>
        <v>537.18012956008829</v>
      </c>
      <c r="J114" s="1134">
        <f>J110*0.75+K110/4</f>
        <v>2139.2296235321974</v>
      </c>
      <c r="K114" s="1134">
        <f t="shared" ref="K114:W114" si="42">K110*0.75+L110/4</f>
        <v>2105.1664801259381</v>
      </c>
      <c r="L114" s="1134">
        <f t="shared" si="42"/>
        <v>2085.787839627621</v>
      </c>
      <c r="M114" s="1134">
        <f t="shared" si="42"/>
        <v>2109.520610954763</v>
      </c>
      <c r="N114" s="1135">
        <f t="shared" si="42"/>
        <v>2385.3613797941689</v>
      </c>
      <c r="O114" s="1135">
        <f t="shared" si="42"/>
        <v>3025.1759823575485</v>
      </c>
      <c r="P114" s="1135">
        <f t="shared" si="42"/>
        <v>3506.5101870600465</v>
      </c>
      <c r="Q114" s="1135">
        <f t="shared" si="42"/>
        <v>4232.832287337339</v>
      </c>
      <c r="R114" s="1135">
        <f t="shared" si="42"/>
        <v>4840.0999247631171</v>
      </c>
      <c r="S114" s="1135">
        <f t="shared" si="42"/>
        <v>5494.3916374924975</v>
      </c>
      <c r="T114" s="1135">
        <f t="shared" si="42"/>
        <v>6080.9906912374372</v>
      </c>
      <c r="U114" s="1135">
        <f t="shared" si="42"/>
        <v>6207.2046937349305</v>
      </c>
      <c r="V114" s="1135">
        <f t="shared" si="42"/>
        <v>6003.717138440863</v>
      </c>
      <c r="W114" s="1135">
        <f t="shared" si="42"/>
        <v>4603.5592635290159</v>
      </c>
      <c r="X114" s="1035"/>
      <c r="Y114" s="1035"/>
      <c r="Z114" s="1035"/>
      <c r="AA114" s="1035"/>
      <c r="AB114" s="1035"/>
      <c r="AC114" s="1036"/>
      <c r="AD114" s="1036"/>
      <c r="AE114" s="1036"/>
      <c r="AF114" s="1036"/>
      <c r="AG114" s="1036"/>
      <c r="AH114" s="1036"/>
      <c r="AI114" s="1036"/>
      <c r="AJ114" s="1036"/>
      <c r="AK114" s="1036"/>
      <c r="AL114" s="1036"/>
      <c r="AM114" s="1036"/>
      <c r="AN114" s="1036"/>
      <c r="AO114" s="1036"/>
      <c r="AP114" s="1036"/>
      <c r="AQ114" s="1036"/>
      <c r="AR114" s="1036"/>
      <c r="AS114" s="1036"/>
      <c r="AT114" s="1036"/>
      <c r="AU114" s="1036"/>
    </row>
    <row r="115" spans="2:49" s="1031" customFormat="1" ht="12" thickBot="1" x14ac:dyDescent="0.25">
      <c r="B115" s="1104" t="s">
        <v>228</v>
      </c>
      <c r="C115" s="1105"/>
      <c r="D115" s="1105"/>
      <c r="E115" s="1105"/>
      <c r="F115" s="1105"/>
      <c r="G115" s="1105"/>
      <c r="H115" s="1105"/>
      <c r="I115" s="1106"/>
      <c r="J115" s="1106">
        <f>J114*0.85</f>
        <v>1818.3451800023677</v>
      </c>
      <c r="K115" s="1106">
        <f>K114*0.85</f>
        <v>1789.3915081070472</v>
      </c>
      <c r="L115" s="1106">
        <f>L114*0.85</f>
        <v>1772.9196636834779</v>
      </c>
      <c r="M115" s="1106">
        <f>M114*0.85</f>
        <v>1793.0925193115486</v>
      </c>
      <c r="N115" s="1107">
        <f t="shared" ref="N115:W115" si="43">N114*0.85</f>
        <v>2027.5571728250436</v>
      </c>
      <c r="O115" s="1107">
        <f t="shared" si="43"/>
        <v>2571.3995850039159</v>
      </c>
      <c r="P115" s="1107">
        <f t="shared" si="43"/>
        <v>2980.5336590010393</v>
      </c>
      <c r="Q115" s="1107">
        <f t="shared" si="43"/>
        <v>3597.9074442367382</v>
      </c>
      <c r="R115" s="1107">
        <f t="shared" si="43"/>
        <v>4114.0849360486491</v>
      </c>
      <c r="S115" s="1107">
        <f t="shared" si="43"/>
        <v>4670.2328918686226</v>
      </c>
      <c r="T115" s="1107">
        <f t="shared" si="43"/>
        <v>5168.8420875518214</v>
      </c>
      <c r="U115" s="1107">
        <f t="shared" si="43"/>
        <v>5276.1239896746911</v>
      </c>
      <c r="V115" s="1107">
        <f t="shared" si="43"/>
        <v>5103.1595676747338</v>
      </c>
      <c r="W115" s="1107">
        <f t="shared" si="43"/>
        <v>3913.0253739996633</v>
      </c>
      <c r="X115" s="1035"/>
      <c r="Y115" s="1035"/>
      <c r="Z115" s="1035"/>
      <c r="AA115" s="1035"/>
      <c r="AB115" s="1035"/>
      <c r="AC115" s="1036"/>
      <c r="AD115" s="1036"/>
      <c r="AE115" s="1036"/>
      <c r="AF115" s="1036"/>
      <c r="AG115" s="1036"/>
      <c r="AH115" s="1036"/>
      <c r="AI115" s="1036"/>
      <c r="AJ115" s="1036"/>
      <c r="AK115" s="1036"/>
      <c r="AL115" s="1036"/>
      <c r="AM115" s="1036"/>
      <c r="AN115" s="1036"/>
      <c r="AO115" s="1036"/>
      <c r="AP115" s="1036"/>
      <c r="AQ115" s="1036"/>
      <c r="AR115" s="1036"/>
      <c r="AS115" s="1036"/>
      <c r="AT115" s="1036"/>
      <c r="AU115" s="1036"/>
    </row>
    <row r="116" spans="2:49" s="1036" customFormat="1" ht="12" thickBot="1" x14ac:dyDescent="0.25">
      <c r="B116" s="1152" t="s">
        <v>519</v>
      </c>
      <c r="C116" s="1108"/>
      <c r="D116" s="1108"/>
      <c r="E116" s="1108"/>
      <c r="F116" s="1108"/>
      <c r="G116" s="1108"/>
      <c r="H116" s="1108"/>
      <c r="I116" s="1109"/>
      <c r="J116" s="1146">
        <f>J110/4+J114</f>
        <v>2676.4097530922854</v>
      </c>
      <c r="K116" s="1109"/>
      <c r="L116" s="1109"/>
      <c r="M116" s="1109"/>
      <c r="N116" s="1110"/>
      <c r="O116" s="1110"/>
      <c r="P116" s="1110"/>
      <c r="Q116" s="1110"/>
      <c r="R116" s="1110"/>
      <c r="S116" s="1110"/>
      <c r="T116" s="1110"/>
      <c r="U116" s="1110"/>
      <c r="V116" s="1110"/>
      <c r="W116" s="1110"/>
      <c r="X116" s="1035"/>
      <c r="Y116" s="1035"/>
      <c r="Z116" s="1035"/>
      <c r="AA116" s="1035"/>
      <c r="AB116" s="1035"/>
      <c r="AD116" s="1036" t="s">
        <v>229</v>
      </c>
      <c r="AW116" s="1031"/>
    </row>
    <row r="117" spans="2:49" s="1036" customFormat="1" ht="11.25" x14ac:dyDescent="0.2">
      <c r="B117" s="1111" t="s">
        <v>509</v>
      </c>
      <c r="C117" s="1112"/>
      <c r="D117" s="1112"/>
      <c r="E117" s="1112"/>
      <c r="F117" s="1112"/>
      <c r="G117" s="1112"/>
      <c r="H117" s="1112"/>
      <c r="I117" s="1130"/>
      <c r="J117" s="1131">
        <f>J100*J94</f>
        <v>603.06167696930936</v>
      </c>
      <c r="K117" s="1131">
        <f>K100*K94</f>
        <v>607.62619155968048</v>
      </c>
      <c r="L117" s="1131">
        <f>L100*L94</f>
        <v>624.73271588869954</v>
      </c>
      <c r="M117" s="1131">
        <f>M100*M94</f>
        <v>625.03464877976603</v>
      </c>
      <c r="N117" s="1132">
        <f t="shared" ref="N117:W117" si="44">N100*N94</f>
        <v>631.07800280688139</v>
      </c>
      <c r="O117" s="1132">
        <f t="shared" si="44"/>
        <v>0</v>
      </c>
      <c r="P117" s="1132">
        <f t="shared" si="44"/>
        <v>0</v>
      </c>
      <c r="Q117" s="1132">
        <f t="shared" si="44"/>
        <v>0</v>
      </c>
      <c r="R117" s="1132">
        <f t="shared" si="44"/>
        <v>0</v>
      </c>
      <c r="S117" s="1132">
        <f t="shared" si="44"/>
        <v>0</v>
      </c>
      <c r="T117" s="1132">
        <f t="shared" si="44"/>
        <v>0</v>
      </c>
      <c r="U117" s="1132">
        <f t="shared" si="44"/>
        <v>0</v>
      </c>
      <c r="V117" s="1132">
        <f t="shared" si="44"/>
        <v>0</v>
      </c>
      <c r="W117" s="1132">
        <f t="shared" si="44"/>
        <v>0</v>
      </c>
      <c r="X117" s="1113"/>
      <c r="Y117" s="1113"/>
      <c r="Z117" s="1113"/>
      <c r="AA117" s="1113"/>
      <c r="AB117" s="1113"/>
      <c r="AC117" s="1113"/>
      <c r="AD117" s="1114"/>
      <c r="AE117" s="1115"/>
      <c r="AF117" s="1115"/>
      <c r="AG117" s="1115"/>
      <c r="AH117" s="1115"/>
      <c r="AI117" s="1115"/>
    </row>
    <row r="118" spans="2:49" s="1049" customFormat="1" ht="11.25" x14ac:dyDescent="0.2">
      <c r="B118" s="1093" t="s">
        <v>232</v>
      </c>
      <c r="C118" s="1094"/>
      <c r="D118" s="1094"/>
      <c r="E118" s="1094"/>
      <c r="F118" s="1094"/>
      <c r="G118" s="1094"/>
      <c r="H118" s="1094"/>
      <c r="I118" s="1147"/>
      <c r="J118" s="1148">
        <f>J117/4</f>
        <v>150.76541924232734</v>
      </c>
      <c r="K118" s="1148">
        <f>K117/4</f>
        <v>151.90654788992012</v>
      </c>
      <c r="L118" s="1148">
        <f>L117/4</f>
        <v>156.18317897217489</v>
      </c>
      <c r="M118" s="1148">
        <f>M117/4</f>
        <v>156.25866219494151</v>
      </c>
      <c r="N118" s="1149">
        <f t="shared" ref="N118:W118" si="45">N117/4</f>
        <v>157.76950070172035</v>
      </c>
      <c r="O118" s="1149">
        <f t="shared" si="45"/>
        <v>0</v>
      </c>
      <c r="P118" s="1149">
        <f t="shared" si="45"/>
        <v>0</v>
      </c>
      <c r="Q118" s="1149">
        <f t="shared" si="45"/>
        <v>0</v>
      </c>
      <c r="R118" s="1149">
        <f t="shared" si="45"/>
        <v>0</v>
      </c>
      <c r="S118" s="1149">
        <f t="shared" si="45"/>
        <v>0</v>
      </c>
      <c r="T118" s="1149">
        <f t="shared" si="45"/>
        <v>0</v>
      </c>
      <c r="U118" s="1149">
        <f t="shared" si="45"/>
        <v>0</v>
      </c>
      <c r="V118" s="1149">
        <f t="shared" si="45"/>
        <v>0</v>
      </c>
      <c r="W118" s="1149">
        <f t="shared" si="45"/>
        <v>0</v>
      </c>
      <c r="X118" s="1150"/>
      <c r="Y118" s="1150"/>
      <c r="Z118" s="1150"/>
      <c r="AA118" s="1150"/>
      <c r="AB118" s="1150"/>
      <c r="AC118" s="1150"/>
      <c r="AD118" s="1151"/>
    </row>
    <row r="119" spans="2:49" s="1036" customFormat="1" ht="11.25" x14ac:dyDescent="0.2">
      <c r="B119" s="1041"/>
      <c r="C119" s="920"/>
      <c r="D119" s="920"/>
      <c r="E119" s="920"/>
      <c r="F119" s="920"/>
      <c r="G119" s="920"/>
      <c r="H119" s="920"/>
      <c r="I119" s="1116">
        <f>I118/4</f>
        <v>0</v>
      </c>
      <c r="J119" s="1117"/>
      <c r="K119" s="1117"/>
      <c r="L119" s="1117"/>
      <c r="M119" s="1117"/>
      <c r="N119" s="1118"/>
      <c r="O119" s="1118"/>
      <c r="P119" s="1118"/>
      <c r="Q119" s="1118"/>
      <c r="R119" s="1118"/>
      <c r="S119" s="1118"/>
      <c r="T119" s="1118"/>
      <c r="U119" s="1118"/>
      <c r="V119" s="1118"/>
      <c r="W119" s="1118"/>
      <c r="X119" s="1113"/>
      <c r="Y119" s="1113"/>
      <c r="Z119" s="1113"/>
      <c r="AA119" s="1113"/>
      <c r="AB119" s="1113"/>
      <c r="AC119" s="1113"/>
      <c r="AD119" s="1114"/>
      <c r="AE119" s="1115"/>
      <c r="AF119" s="1115"/>
      <c r="AG119" s="1115"/>
      <c r="AH119" s="1115"/>
      <c r="AI119" s="1115"/>
    </row>
    <row r="120" spans="2:49" s="1124" customFormat="1" ht="11.25" x14ac:dyDescent="0.2">
      <c r="B120" s="1042" t="s">
        <v>221</v>
      </c>
      <c r="C120" s="953"/>
      <c r="D120" s="953"/>
      <c r="E120" s="953"/>
      <c r="F120" s="953"/>
      <c r="G120" s="953"/>
      <c r="H120" s="953"/>
      <c r="I120" s="1119" t="s">
        <v>222</v>
      </c>
      <c r="J120" s="1119" t="s">
        <v>223</v>
      </c>
      <c r="K120" s="1119" t="s">
        <v>224</v>
      </c>
      <c r="L120" s="1119" t="s">
        <v>225</v>
      </c>
      <c r="M120" s="1119" t="s">
        <v>226</v>
      </c>
      <c r="N120" s="1120" t="s">
        <v>281</v>
      </c>
      <c r="O120" s="1120" t="s">
        <v>282</v>
      </c>
      <c r="P120" s="1120" t="s">
        <v>283</v>
      </c>
      <c r="Q120" s="1120" t="s">
        <v>284</v>
      </c>
      <c r="R120" s="1120" t="s">
        <v>285</v>
      </c>
      <c r="S120" s="1120" t="s">
        <v>286</v>
      </c>
      <c r="T120" s="1120" t="s">
        <v>287</v>
      </c>
      <c r="U120" s="1120" t="s">
        <v>288</v>
      </c>
      <c r="V120" s="1120" t="s">
        <v>289</v>
      </c>
      <c r="W120" s="1120" t="s">
        <v>507</v>
      </c>
      <c r="X120" s="1121"/>
      <c r="Y120" s="1121"/>
      <c r="Z120" s="1121"/>
      <c r="AA120" s="1121"/>
      <c r="AB120" s="1121"/>
      <c r="AC120" s="1121"/>
      <c r="AD120" s="1122"/>
      <c r="AE120" s="1123"/>
      <c r="AF120" s="1123"/>
      <c r="AG120" s="1123"/>
      <c r="AH120" s="1123"/>
      <c r="AI120" s="1123"/>
    </row>
    <row r="121" spans="2:49" s="1036" customFormat="1" ht="12" thickBot="1" x14ac:dyDescent="0.25">
      <c r="B121" s="1125" t="s">
        <v>227</v>
      </c>
      <c r="C121" s="1126"/>
      <c r="D121" s="1126"/>
      <c r="E121" s="1126"/>
      <c r="F121" s="1126"/>
      <c r="G121" s="1126"/>
      <c r="H121" s="1126"/>
      <c r="I121" s="1128">
        <f>(I118*3)+(J118*1)</f>
        <v>150.76541924232734</v>
      </c>
      <c r="J121" s="1128">
        <f>(J118*3)+(K118*1)</f>
        <v>604.2028056169022</v>
      </c>
      <c r="K121" s="1128">
        <f>(K118*3)+(L118*1)</f>
        <v>611.90282264193524</v>
      </c>
      <c r="L121" s="1128">
        <f>(L118*3)+(M118*1)</f>
        <v>624.80819911146614</v>
      </c>
      <c r="M121" s="1128">
        <f>(M118*3)+(N118*1)</f>
        <v>626.54548728654481</v>
      </c>
      <c r="N121" s="1129">
        <f t="shared" ref="N121:W121" si="46">(N118*3)+(O118*1)</f>
        <v>473.30850210516104</v>
      </c>
      <c r="O121" s="1129">
        <f t="shared" si="46"/>
        <v>0</v>
      </c>
      <c r="P121" s="1129">
        <f t="shared" si="46"/>
        <v>0</v>
      </c>
      <c r="Q121" s="1129">
        <f t="shared" si="46"/>
        <v>0</v>
      </c>
      <c r="R121" s="1129">
        <f t="shared" si="46"/>
        <v>0</v>
      </c>
      <c r="S121" s="1129">
        <f t="shared" si="46"/>
        <v>0</v>
      </c>
      <c r="T121" s="1129">
        <f t="shared" si="46"/>
        <v>0</v>
      </c>
      <c r="U121" s="1129">
        <f t="shared" si="46"/>
        <v>0</v>
      </c>
      <c r="V121" s="1129">
        <f t="shared" si="46"/>
        <v>0</v>
      </c>
      <c r="W121" s="1129">
        <f t="shared" si="46"/>
        <v>0</v>
      </c>
      <c r="X121" s="1127"/>
      <c r="Y121" s="1127"/>
      <c r="Z121" s="1127"/>
      <c r="AA121" s="1113"/>
      <c r="AB121" s="1113"/>
      <c r="AC121" s="1113"/>
      <c r="AD121" s="1113"/>
      <c r="AE121" s="1113"/>
      <c r="AF121" s="1114"/>
      <c r="AG121" s="1115"/>
      <c r="AH121" s="1115"/>
      <c r="AI121" s="1115"/>
      <c r="AJ121" s="1115"/>
      <c r="AK121" s="1115"/>
    </row>
    <row r="122" spans="2:49" s="371" customFormat="1" ht="12" x14ac:dyDescent="0.2">
      <c r="B122" s="1153" t="s">
        <v>520</v>
      </c>
      <c r="C122" s="469"/>
      <c r="D122" s="469"/>
      <c r="E122" s="469"/>
      <c r="F122" s="469"/>
      <c r="G122" s="469"/>
      <c r="H122" s="461"/>
      <c r="I122" s="381"/>
      <c r="J122" s="512">
        <f>J117/4+J121</f>
        <v>754.96822485922951</v>
      </c>
      <c r="K122" s="457"/>
      <c r="L122" s="458"/>
      <c r="M122" s="458"/>
      <c r="N122" s="458"/>
      <c r="O122" s="458"/>
      <c r="P122" s="458"/>
      <c r="Q122" s="457"/>
      <c r="R122" s="457"/>
      <c r="S122" s="457"/>
      <c r="T122" s="460"/>
      <c r="U122" s="460"/>
      <c r="V122" s="460"/>
      <c r="W122" s="460"/>
      <c r="X122" s="460"/>
      <c r="Y122" s="460"/>
      <c r="Z122" s="460"/>
      <c r="AA122" s="460"/>
      <c r="AB122" s="460"/>
      <c r="AC122" s="460"/>
      <c r="AD122" s="460"/>
      <c r="AE122" s="460"/>
    </row>
    <row r="123" spans="2:49" s="371" customFormat="1" ht="12" x14ac:dyDescent="0.2">
      <c r="B123" s="477"/>
      <c r="C123" s="478"/>
      <c r="D123" s="478"/>
      <c r="E123" s="478"/>
      <c r="F123" s="478"/>
      <c r="G123" s="478"/>
      <c r="H123" s="477"/>
      <c r="I123" s="381"/>
      <c r="K123" s="381"/>
      <c r="L123" s="381"/>
      <c r="M123" s="381"/>
      <c r="N123" s="381"/>
      <c r="O123" s="381"/>
      <c r="P123" s="381"/>
      <c r="Q123" s="381"/>
      <c r="R123" s="381"/>
      <c r="S123" s="381"/>
    </row>
    <row r="124" spans="2:49" s="371" customFormat="1" ht="12" x14ac:dyDescent="0.2">
      <c r="B124" s="477"/>
      <c r="C124" s="478"/>
      <c r="D124" s="478"/>
      <c r="E124" s="478"/>
      <c r="F124" s="478"/>
      <c r="G124" s="478"/>
      <c r="H124" s="477"/>
      <c r="I124" s="381"/>
      <c r="K124" s="381"/>
      <c r="L124" s="381"/>
      <c r="M124" s="381"/>
      <c r="N124" s="381"/>
      <c r="O124" s="381"/>
      <c r="P124" s="381"/>
      <c r="Q124" s="381"/>
      <c r="R124" s="381"/>
      <c r="S124" s="381"/>
    </row>
    <row r="125" spans="2:49" s="371" customFormat="1" ht="12" x14ac:dyDescent="0.2">
      <c r="B125" s="477"/>
      <c r="C125" s="478"/>
      <c r="D125" s="478"/>
      <c r="E125" s="478"/>
      <c r="F125" s="478"/>
      <c r="G125" s="478"/>
      <c r="H125" s="477"/>
      <c r="I125" s="381"/>
      <c r="K125" s="381"/>
      <c r="L125" s="381"/>
      <c r="M125" s="381"/>
      <c r="N125" s="381"/>
      <c r="O125" s="381"/>
      <c r="P125" s="381"/>
      <c r="Q125" s="381"/>
      <c r="R125" s="381"/>
      <c r="S125" s="381"/>
    </row>
    <row r="126" spans="2:49" s="371" customFormat="1" ht="12" x14ac:dyDescent="0.2">
      <c r="B126" s="477"/>
      <c r="C126" s="478"/>
      <c r="D126" s="478"/>
      <c r="E126" s="478"/>
      <c r="F126" s="478"/>
      <c r="G126" s="478"/>
      <c r="H126" s="477"/>
      <c r="I126" s="381"/>
      <c r="K126" s="381"/>
      <c r="L126" s="381"/>
      <c r="M126" s="381"/>
      <c r="N126" s="381"/>
      <c r="O126" s="381"/>
    </row>
    <row r="127" spans="2:49" s="371" customFormat="1" ht="12" x14ac:dyDescent="0.2">
      <c r="B127" s="477"/>
      <c r="C127" s="478"/>
      <c r="D127" s="478"/>
      <c r="E127" s="478"/>
      <c r="F127" s="478"/>
      <c r="G127" s="478"/>
      <c r="H127" s="477"/>
      <c r="I127" s="381"/>
      <c r="K127" s="381"/>
      <c r="L127" s="381"/>
      <c r="M127" s="381"/>
      <c r="N127" s="381"/>
      <c r="O127" s="381"/>
    </row>
    <row r="128" spans="2:49" s="371" customFormat="1" ht="12" x14ac:dyDescent="0.2">
      <c r="B128" s="477"/>
      <c r="C128" s="478"/>
      <c r="D128" s="478"/>
      <c r="E128" s="478"/>
      <c r="F128" s="478"/>
      <c r="G128" s="478"/>
      <c r="H128" s="477"/>
      <c r="I128" s="381"/>
      <c r="K128" s="381"/>
      <c r="L128" s="381"/>
      <c r="M128" s="381"/>
      <c r="N128" s="381"/>
      <c r="O128" s="381"/>
    </row>
    <row r="129" spans="2:15" s="371" customFormat="1" ht="12" x14ac:dyDescent="0.2">
      <c r="B129" s="477"/>
      <c r="C129" s="478"/>
      <c r="D129" s="478"/>
      <c r="E129" s="478"/>
      <c r="F129" s="478"/>
      <c r="G129" s="478"/>
      <c r="H129" s="477"/>
      <c r="I129" s="381"/>
      <c r="K129" s="381"/>
      <c r="L129" s="381"/>
      <c r="M129" s="381"/>
      <c r="N129" s="381"/>
      <c r="O129" s="381"/>
    </row>
    <row r="130" spans="2:15" s="371" customFormat="1" ht="12" x14ac:dyDescent="0.2">
      <c r="B130" s="477"/>
      <c r="C130" s="478"/>
      <c r="D130" s="478"/>
      <c r="E130" s="478"/>
      <c r="F130" s="478"/>
      <c r="G130" s="478"/>
      <c r="H130" s="477"/>
      <c r="I130" s="381"/>
      <c r="K130" s="381"/>
      <c r="L130" s="381"/>
      <c r="M130" s="381"/>
      <c r="N130" s="381"/>
      <c r="O130" s="381"/>
    </row>
    <row r="131" spans="2:15" s="371" customFormat="1" ht="12" x14ac:dyDescent="0.2">
      <c r="B131" s="477"/>
      <c r="C131" s="478"/>
      <c r="D131" s="478"/>
      <c r="E131" s="478"/>
      <c r="F131" s="478"/>
      <c r="G131" s="478"/>
      <c r="H131" s="477"/>
      <c r="I131" s="381"/>
      <c r="K131" s="381"/>
      <c r="L131" s="381"/>
      <c r="M131" s="381"/>
      <c r="N131" s="381"/>
      <c r="O131" s="381"/>
    </row>
    <row r="132" spans="2:15" s="371" customFormat="1" ht="12" x14ac:dyDescent="0.2">
      <c r="B132" s="477"/>
      <c r="C132" s="478"/>
      <c r="D132" s="478"/>
      <c r="E132" s="478"/>
      <c r="F132" s="478"/>
      <c r="G132" s="478"/>
      <c r="H132" s="477"/>
      <c r="I132" s="381"/>
      <c r="K132" s="381"/>
      <c r="L132" s="381"/>
      <c r="M132" s="381"/>
      <c r="N132" s="381"/>
      <c r="O132" s="381"/>
    </row>
    <row r="133" spans="2:15" s="371" customFormat="1" ht="12" x14ac:dyDescent="0.2">
      <c r="B133" s="477"/>
      <c r="C133" s="478"/>
      <c r="D133" s="478"/>
      <c r="E133" s="478"/>
      <c r="F133" s="478"/>
      <c r="G133" s="478"/>
      <c r="H133" s="477"/>
      <c r="I133" s="381"/>
      <c r="K133" s="381"/>
      <c r="L133" s="381"/>
      <c r="M133" s="381"/>
      <c r="N133" s="381"/>
      <c r="O133" s="381"/>
    </row>
    <row r="134" spans="2:15" s="371" customFormat="1" ht="12" x14ac:dyDescent="0.2">
      <c r="B134" s="477"/>
      <c r="C134" s="478"/>
      <c r="D134" s="478"/>
      <c r="E134" s="478"/>
      <c r="F134" s="478"/>
      <c r="G134" s="478"/>
      <c r="H134" s="477"/>
      <c r="I134" s="381"/>
      <c r="K134" s="381"/>
      <c r="L134" s="381"/>
      <c r="M134" s="381"/>
      <c r="N134" s="381"/>
      <c r="O134" s="381"/>
    </row>
    <row r="135" spans="2:15" s="371" customFormat="1" ht="12" x14ac:dyDescent="0.2">
      <c r="B135" s="477"/>
      <c r="C135" s="478"/>
      <c r="D135" s="478"/>
      <c r="E135" s="478"/>
      <c r="F135" s="478"/>
      <c r="G135" s="478"/>
      <c r="H135" s="477"/>
      <c r="I135" s="381"/>
      <c r="K135" s="381"/>
      <c r="L135" s="381"/>
      <c r="M135" s="381"/>
      <c r="N135" s="381"/>
      <c r="O135" s="381"/>
    </row>
    <row r="136" spans="2:15" s="371" customFormat="1" ht="12" x14ac:dyDescent="0.2">
      <c r="B136" s="477"/>
      <c r="C136" s="478"/>
      <c r="D136" s="478"/>
      <c r="E136" s="478"/>
      <c r="F136" s="478"/>
      <c r="G136" s="478"/>
      <c r="H136" s="477"/>
      <c r="I136" s="381"/>
      <c r="K136" s="381"/>
      <c r="L136" s="381"/>
      <c r="M136" s="381"/>
      <c r="N136" s="381"/>
      <c r="O136" s="381"/>
    </row>
    <row r="137" spans="2:15" s="371" customFormat="1" ht="12" x14ac:dyDescent="0.2">
      <c r="B137" s="477"/>
      <c r="C137" s="478"/>
      <c r="D137" s="478"/>
      <c r="E137" s="478"/>
      <c r="F137" s="478"/>
      <c r="G137" s="478"/>
      <c r="H137" s="477"/>
      <c r="I137" s="381"/>
      <c r="K137" s="381"/>
      <c r="L137" s="381"/>
      <c r="M137" s="381"/>
      <c r="N137" s="381"/>
      <c r="O137" s="381"/>
    </row>
    <row r="138" spans="2:15" s="371" customFormat="1" ht="12" x14ac:dyDescent="0.2">
      <c r="B138" s="477"/>
      <c r="C138" s="478"/>
      <c r="D138" s="478"/>
      <c r="E138" s="478"/>
      <c r="F138" s="478"/>
      <c r="G138" s="478"/>
      <c r="H138" s="477"/>
      <c r="I138" s="381"/>
      <c r="K138" s="381"/>
      <c r="L138" s="381"/>
      <c r="M138" s="381"/>
      <c r="N138" s="381"/>
      <c r="O138" s="381"/>
    </row>
    <row r="139" spans="2:15" s="371" customFormat="1" ht="12" x14ac:dyDescent="0.2">
      <c r="B139" s="477"/>
      <c r="C139" s="478"/>
      <c r="D139" s="478"/>
      <c r="E139" s="478"/>
      <c r="F139" s="478"/>
      <c r="G139" s="478"/>
      <c r="H139" s="477"/>
      <c r="I139" s="381"/>
      <c r="K139" s="381"/>
      <c r="L139" s="381"/>
      <c r="M139" s="381"/>
      <c r="N139" s="381"/>
      <c r="O139" s="381"/>
    </row>
    <row r="140" spans="2:15" s="371" customFormat="1" ht="12" x14ac:dyDescent="0.2">
      <c r="B140" s="477"/>
      <c r="C140" s="478"/>
      <c r="D140" s="478"/>
      <c r="E140" s="478"/>
      <c r="F140" s="478"/>
      <c r="G140" s="478"/>
      <c r="H140" s="477"/>
      <c r="I140" s="381"/>
      <c r="K140" s="381"/>
      <c r="L140" s="381"/>
      <c r="M140" s="381"/>
      <c r="N140" s="381"/>
      <c r="O140" s="381"/>
    </row>
    <row r="141" spans="2:15" s="371" customFormat="1" ht="12" x14ac:dyDescent="0.2">
      <c r="B141" s="477"/>
      <c r="C141" s="478"/>
      <c r="D141" s="478"/>
      <c r="E141" s="478"/>
      <c r="F141" s="478"/>
      <c r="G141" s="478"/>
      <c r="H141" s="477"/>
      <c r="I141" s="381"/>
      <c r="K141" s="381"/>
      <c r="L141" s="381"/>
      <c r="M141" s="381"/>
      <c r="N141" s="381"/>
      <c r="O141" s="381"/>
    </row>
    <row r="142" spans="2:15" s="371" customFormat="1" ht="12" x14ac:dyDescent="0.2">
      <c r="B142" s="477"/>
      <c r="C142" s="478"/>
      <c r="D142" s="478"/>
      <c r="E142" s="478"/>
      <c r="F142" s="478"/>
      <c r="G142" s="478"/>
      <c r="H142" s="477"/>
      <c r="I142" s="381"/>
      <c r="K142" s="381"/>
      <c r="L142" s="381"/>
      <c r="M142" s="381"/>
      <c r="N142" s="381"/>
      <c r="O142" s="381"/>
    </row>
    <row r="143" spans="2:15" s="371" customFormat="1" ht="12" x14ac:dyDescent="0.2">
      <c r="B143" s="477"/>
      <c r="C143" s="478"/>
      <c r="D143" s="478"/>
      <c r="E143" s="478"/>
      <c r="F143" s="478"/>
      <c r="G143" s="478"/>
      <c r="H143" s="477"/>
      <c r="I143" s="381"/>
      <c r="K143" s="381"/>
      <c r="L143" s="381"/>
      <c r="M143" s="381"/>
      <c r="N143" s="381"/>
      <c r="O143" s="381"/>
    </row>
    <row r="144" spans="2:15" s="371" customFormat="1" ht="12" x14ac:dyDescent="0.2">
      <c r="B144" s="477"/>
      <c r="C144" s="478"/>
      <c r="D144" s="478"/>
      <c r="E144" s="478"/>
      <c r="F144" s="478"/>
      <c r="G144" s="478"/>
      <c r="H144" s="477"/>
      <c r="I144" s="381"/>
      <c r="K144" s="381"/>
      <c r="L144" s="381"/>
      <c r="M144" s="381"/>
      <c r="N144" s="381"/>
      <c r="O144" s="381"/>
    </row>
    <row r="145" spans="2:15" s="371" customFormat="1" ht="12" x14ac:dyDescent="0.2">
      <c r="B145" s="477"/>
      <c r="C145" s="478"/>
      <c r="D145" s="478"/>
      <c r="E145" s="478"/>
      <c r="F145" s="478"/>
      <c r="G145" s="478"/>
      <c r="H145" s="477"/>
      <c r="I145" s="381"/>
      <c r="K145" s="381"/>
      <c r="L145" s="381"/>
      <c r="M145" s="381"/>
      <c r="N145" s="381"/>
      <c r="O145" s="381"/>
    </row>
    <row r="146" spans="2:15" s="371" customFormat="1" ht="12" x14ac:dyDescent="0.2">
      <c r="B146" s="477"/>
      <c r="C146" s="478"/>
      <c r="D146" s="478"/>
      <c r="E146" s="478"/>
      <c r="F146" s="478"/>
      <c r="G146" s="478"/>
      <c r="H146" s="477"/>
      <c r="I146" s="381"/>
      <c r="K146" s="381"/>
      <c r="L146" s="381"/>
      <c r="M146" s="381"/>
      <c r="N146" s="381"/>
      <c r="O146" s="381"/>
    </row>
    <row r="147" spans="2:15" s="371" customFormat="1" ht="12" x14ac:dyDescent="0.2">
      <c r="B147" s="477"/>
      <c r="C147" s="478"/>
      <c r="D147" s="478"/>
      <c r="E147" s="478"/>
      <c r="F147" s="478"/>
      <c r="G147" s="478"/>
      <c r="H147" s="477"/>
      <c r="I147" s="381"/>
      <c r="K147" s="381"/>
      <c r="L147" s="381"/>
      <c r="M147" s="381"/>
      <c r="N147" s="381"/>
      <c r="O147" s="381"/>
    </row>
    <row r="148" spans="2:15" s="371" customFormat="1" ht="12" x14ac:dyDescent="0.2">
      <c r="B148" s="477"/>
      <c r="C148" s="478"/>
      <c r="D148" s="478"/>
      <c r="E148" s="478"/>
      <c r="F148" s="478"/>
      <c r="G148" s="478"/>
      <c r="H148" s="477"/>
      <c r="I148" s="381"/>
      <c r="K148" s="381"/>
      <c r="L148" s="381"/>
      <c r="M148" s="381"/>
      <c r="N148" s="381"/>
      <c r="O148" s="381"/>
    </row>
    <row r="149" spans="2:15" s="371" customFormat="1" ht="12" x14ac:dyDescent="0.2">
      <c r="B149" s="477"/>
      <c r="C149" s="478"/>
      <c r="D149" s="478"/>
      <c r="E149" s="478"/>
      <c r="F149" s="478"/>
      <c r="G149" s="478"/>
      <c r="H149" s="477"/>
      <c r="I149" s="381"/>
      <c r="K149" s="381"/>
      <c r="L149" s="381"/>
      <c r="M149" s="381"/>
      <c r="N149" s="381"/>
      <c r="O149" s="381"/>
    </row>
    <row r="150" spans="2:15" s="371" customFormat="1" ht="12" x14ac:dyDescent="0.2">
      <c r="B150" s="477"/>
      <c r="C150" s="478"/>
      <c r="D150" s="478"/>
      <c r="E150" s="478"/>
      <c r="F150" s="478"/>
      <c r="G150" s="478"/>
      <c r="H150" s="477"/>
      <c r="I150" s="381"/>
      <c r="K150" s="381"/>
      <c r="L150" s="381"/>
      <c r="M150" s="381"/>
      <c r="N150" s="381"/>
      <c r="O150" s="381"/>
    </row>
    <row r="151" spans="2:15" s="371" customFormat="1" ht="12" x14ac:dyDescent="0.2">
      <c r="B151" s="477"/>
      <c r="C151" s="478"/>
      <c r="D151" s="478"/>
      <c r="E151" s="478"/>
      <c r="F151" s="478"/>
      <c r="G151" s="478"/>
      <c r="H151" s="477"/>
      <c r="I151" s="381"/>
      <c r="K151" s="381"/>
      <c r="L151" s="381"/>
      <c r="M151" s="381"/>
      <c r="N151" s="381"/>
      <c r="O151" s="381"/>
    </row>
    <row r="152" spans="2:15" s="371" customFormat="1" ht="12" x14ac:dyDescent="0.2">
      <c r="B152" s="477"/>
      <c r="C152" s="478"/>
      <c r="D152" s="478"/>
      <c r="E152" s="478"/>
      <c r="F152" s="478"/>
      <c r="G152" s="478"/>
      <c r="H152" s="477"/>
      <c r="I152" s="381"/>
      <c r="K152" s="381"/>
      <c r="L152" s="381"/>
      <c r="M152" s="381"/>
      <c r="N152" s="381"/>
      <c r="O152" s="381"/>
    </row>
    <row r="153" spans="2:15" s="371" customFormat="1" ht="12" x14ac:dyDescent="0.2">
      <c r="B153" s="477"/>
      <c r="C153" s="478"/>
      <c r="D153" s="478"/>
      <c r="E153" s="478"/>
      <c r="F153" s="478"/>
      <c r="G153" s="478"/>
      <c r="H153" s="477"/>
      <c r="I153" s="381"/>
      <c r="K153" s="381"/>
      <c r="L153" s="381"/>
      <c r="M153" s="381"/>
      <c r="N153" s="381"/>
      <c r="O153" s="381"/>
    </row>
    <row r="154" spans="2:15" s="371" customFormat="1" ht="12" x14ac:dyDescent="0.2">
      <c r="B154" s="477"/>
      <c r="C154" s="478"/>
      <c r="D154" s="478"/>
      <c r="E154" s="478"/>
      <c r="F154" s="478"/>
      <c r="G154" s="478"/>
      <c r="H154" s="477"/>
      <c r="I154" s="381"/>
      <c r="K154" s="381"/>
      <c r="L154" s="381"/>
      <c r="M154" s="381"/>
      <c r="N154" s="381"/>
      <c r="O154" s="381"/>
    </row>
    <row r="155" spans="2:15" s="371" customFormat="1" ht="12" x14ac:dyDescent="0.2">
      <c r="B155" s="477"/>
      <c r="C155" s="478"/>
      <c r="D155" s="478"/>
      <c r="E155" s="478"/>
      <c r="F155" s="478"/>
      <c r="G155" s="478"/>
      <c r="H155" s="477"/>
      <c r="I155" s="381"/>
      <c r="K155" s="381"/>
      <c r="L155" s="381"/>
      <c r="M155" s="381"/>
      <c r="N155" s="381"/>
      <c r="O155" s="381"/>
    </row>
    <row r="156" spans="2:15" s="371" customFormat="1" ht="12" x14ac:dyDescent="0.2">
      <c r="B156" s="477"/>
      <c r="C156" s="478"/>
      <c r="D156" s="478"/>
      <c r="E156" s="478"/>
      <c r="F156" s="478"/>
      <c r="G156" s="478"/>
      <c r="H156" s="477"/>
      <c r="I156" s="381"/>
      <c r="K156" s="381"/>
      <c r="L156" s="381"/>
      <c r="M156" s="381"/>
      <c r="N156" s="381"/>
      <c r="O156" s="381"/>
    </row>
    <row r="157" spans="2:15" s="371" customFormat="1" ht="12" x14ac:dyDescent="0.2">
      <c r="B157" s="477"/>
      <c r="C157" s="478"/>
      <c r="D157" s="478"/>
      <c r="E157" s="478"/>
      <c r="F157" s="478"/>
      <c r="G157" s="478"/>
      <c r="H157" s="477"/>
      <c r="I157" s="381"/>
      <c r="K157" s="381"/>
      <c r="L157" s="381"/>
      <c r="M157" s="381"/>
      <c r="N157" s="381"/>
      <c r="O157" s="381"/>
    </row>
    <row r="158" spans="2:15" s="371" customFormat="1" ht="12" x14ac:dyDescent="0.2">
      <c r="B158" s="477"/>
      <c r="C158" s="478"/>
      <c r="D158" s="478"/>
      <c r="E158" s="478"/>
      <c r="F158" s="478"/>
      <c r="G158" s="478"/>
      <c r="H158" s="477"/>
      <c r="I158" s="381"/>
      <c r="K158" s="381"/>
      <c r="L158" s="381"/>
      <c r="M158" s="381"/>
      <c r="N158" s="381"/>
      <c r="O158" s="381"/>
    </row>
    <row r="159" spans="2:15" s="371" customFormat="1" ht="12" x14ac:dyDescent="0.2">
      <c r="B159" s="477"/>
      <c r="C159" s="478"/>
      <c r="D159" s="478"/>
      <c r="E159" s="478"/>
      <c r="F159" s="478"/>
      <c r="G159" s="478"/>
      <c r="H159" s="477"/>
      <c r="I159" s="381"/>
      <c r="K159" s="381"/>
      <c r="L159" s="381"/>
      <c r="M159" s="381"/>
      <c r="N159" s="381"/>
      <c r="O159" s="381"/>
    </row>
    <row r="160" spans="2:15" s="371" customFormat="1" ht="12" x14ac:dyDescent="0.2">
      <c r="B160" s="477"/>
      <c r="C160" s="478"/>
      <c r="D160" s="478"/>
      <c r="E160" s="478"/>
      <c r="F160" s="478"/>
      <c r="G160" s="478"/>
      <c r="H160" s="477"/>
      <c r="I160" s="381"/>
      <c r="K160" s="381"/>
      <c r="L160" s="381"/>
      <c r="M160" s="381"/>
      <c r="N160" s="381"/>
      <c r="O160" s="381"/>
    </row>
    <row r="161" spans="2:15" s="371" customFormat="1" ht="12" x14ac:dyDescent="0.2">
      <c r="B161" s="477"/>
      <c r="C161" s="478"/>
      <c r="D161" s="478"/>
      <c r="E161" s="478"/>
      <c r="F161" s="478"/>
      <c r="G161" s="478"/>
      <c r="H161" s="477"/>
      <c r="I161" s="381"/>
      <c r="K161" s="381"/>
      <c r="L161" s="381"/>
      <c r="M161" s="381"/>
      <c r="N161" s="381"/>
      <c r="O161" s="381"/>
    </row>
    <row r="162" spans="2:15" s="371" customFormat="1" ht="12" x14ac:dyDescent="0.2">
      <c r="B162" s="477"/>
      <c r="C162" s="478"/>
      <c r="D162" s="478"/>
      <c r="E162" s="478"/>
      <c r="F162" s="478"/>
      <c r="G162" s="478"/>
      <c r="H162" s="477"/>
      <c r="I162" s="381"/>
      <c r="K162" s="381"/>
      <c r="L162" s="381"/>
      <c r="M162" s="381"/>
      <c r="N162" s="381"/>
      <c r="O162" s="381"/>
    </row>
    <row r="163" spans="2:15" s="371" customFormat="1" ht="12" x14ac:dyDescent="0.2">
      <c r="B163" s="477"/>
      <c r="C163" s="478"/>
      <c r="D163" s="478"/>
      <c r="E163" s="478"/>
      <c r="F163" s="478"/>
      <c r="G163" s="478"/>
      <c r="H163" s="477"/>
      <c r="I163" s="381"/>
      <c r="K163" s="381"/>
      <c r="L163" s="381"/>
      <c r="M163" s="381"/>
      <c r="N163" s="381"/>
      <c r="O163" s="381"/>
    </row>
    <row r="164" spans="2:15" s="371" customFormat="1" ht="12" x14ac:dyDescent="0.2">
      <c r="B164" s="477"/>
      <c r="C164" s="478"/>
      <c r="D164" s="478"/>
      <c r="E164" s="478"/>
      <c r="F164" s="478"/>
      <c r="G164" s="478"/>
      <c r="H164" s="477"/>
      <c r="I164" s="381"/>
      <c r="K164" s="381"/>
      <c r="L164" s="381"/>
      <c r="M164" s="381"/>
      <c r="N164" s="381"/>
      <c r="O164" s="381"/>
    </row>
    <row r="165" spans="2:15" s="371" customFormat="1" ht="12" x14ac:dyDescent="0.2">
      <c r="B165" s="477"/>
      <c r="C165" s="478"/>
      <c r="D165" s="478"/>
      <c r="E165" s="478"/>
      <c r="F165" s="478"/>
      <c r="G165" s="478"/>
      <c r="H165" s="477"/>
      <c r="I165" s="381"/>
      <c r="K165" s="381"/>
      <c r="L165" s="381"/>
      <c r="M165" s="381"/>
      <c r="N165" s="381"/>
      <c r="O165" s="381"/>
    </row>
    <row r="166" spans="2:15" s="371" customFormat="1" ht="12" x14ac:dyDescent="0.2">
      <c r="B166" s="477"/>
      <c r="C166" s="478"/>
      <c r="D166" s="478"/>
      <c r="E166" s="478"/>
      <c r="F166" s="478"/>
      <c r="G166" s="478"/>
      <c r="H166" s="477"/>
      <c r="I166" s="381"/>
      <c r="K166" s="381"/>
      <c r="L166" s="381"/>
      <c r="M166" s="381"/>
      <c r="N166" s="381"/>
      <c r="O166" s="381"/>
    </row>
    <row r="167" spans="2:15" s="371" customFormat="1" ht="12" x14ac:dyDescent="0.2">
      <c r="B167" s="477"/>
      <c r="C167" s="478"/>
      <c r="D167" s="478"/>
      <c r="E167" s="478"/>
      <c r="F167" s="478"/>
      <c r="G167" s="478"/>
      <c r="H167" s="477"/>
      <c r="I167" s="381"/>
      <c r="K167" s="381"/>
      <c r="L167" s="381"/>
      <c r="M167" s="381"/>
      <c r="N167" s="381"/>
      <c r="O167" s="381"/>
    </row>
    <row r="168" spans="2:15" s="371" customFormat="1" ht="12" x14ac:dyDescent="0.2">
      <c r="B168" s="477"/>
      <c r="C168" s="478"/>
      <c r="D168" s="478"/>
      <c r="E168" s="478"/>
      <c r="F168" s="478"/>
      <c r="G168" s="478"/>
      <c r="H168" s="477"/>
      <c r="I168" s="381"/>
      <c r="K168" s="381"/>
      <c r="L168" s="381"/>
      <c r="M168" s="381"/>
      <c r="N168" s="381"/>
      <c r="O168" s="381"/>
    </row>
    <row r="169" spans="2:15" s="371" customFormat="1" ht="12" x14ac:dyDescent="0.2">
      <c r="B169" s="477"/>
      <c r="C169" s="478"/>
      <c r="D169" s="478"/>
      <c r="E169" s="478"/>
      <c r="F169" s="478"/>
      <c r="G169" s="478"/>
      <c r="H169" s="477"/>
      <c r="I169" s="381"/>
      <c r="K169" s="381"/>
      <c r="L169" s="381"/>
      <c r="M169" s="381"/>
      <c r="N169" s="381"/>
      <c r="O169" s="381"/>
    </row>
    <row r="170" spans="2:15" s="371" customFormat="1" ht="12" x14ac:dyDescent="0.2">
      <c r="B170" s="477"/>
      <c r="C170" s="478"/>
      <c r="D170" s="478"/>
      <c r="E170" s="478"/>
      <c r="F170" s="478"/>
      <c r="G170" s="478"/>
      <c r="H170" s="477"/>
      <c r="I170" s="381"/>
      <c r="K170" s="381"/>
      <c r="L170" s="381"/>
      <c r="M170" s="381"/>
      <c r="N170" s="381"/>
      <c r="O170" s="381"/>
    </row>
    <row r="171" spans="2:15" s="371" customFormat="1" ht="12" x14ac:dyDescent="0.2">
      <c r="B171" s="477"/>
      <c r="C171" s="478"/>
      <c r="D171" s="478"/>
      <c r="E171" s="478"/>
      <c r="F171" s="478"/>
      <c r="G171" s="478"/>
      <c r="H171" s="477"/>
      <c r="I171" s="381"/>
      <c r="K171" s="381"/>
      <c r="L171" s="381"/>
      <c r="M171" s="381"/>
      <c r="N171" s="381"/>
      <c r="O171" s="381"/>
    </row>
  </sheetData>
  <mergeCells count="11">
    <mergeCell ref="C28:F28"/>
    <mergeCell ref="G28:W28"/>
    <mergeCell ref="C32:W32"/>
    <mergeCell ref="N26:W26"/>
    <mergeCell ref="O80:P80"/>
    <mergeCell ref="Q80:R80"/>
    <mergeCell ref="N11:W11"/>
    <mergeCell ref="J67:M67"/>
    <mergeCell ref="N67:W67"/>
    <mergeCell ref="J68:M68"/>
    <mergeCell ref="N68:W68"/>
  </mergeCells>
  <dataValidations disablePrompts="1" count="5">
    <dataValidation type="list" allowBlank="1" showInputMessage="1" showErrorMessage="1" sqref="Z58">
      <formula1>$AC$57:$AC$58</formula1>
    </dataValidation>
    <dataValidation type="list" allowBlank="1" showInputMessage="1" showErrorMessage="1" sqref="Z10">
      <formula1>$AC$9:$AC$10</formula1>
    </dataValidation>
    <dataValidation type="list" allowBlank="1" showInputMessage="1" showErrorMessage="1" sqref="AH91">
      <formula1>#REF!</formula1>
    </dataValidation>
    <dataValidation type="list" allowBlank="1" showInputMessage="1" showErrorMessage="1" sqref="AE91">
      <formula1>#REF!</formula1>
    </dataValidation>
    <dataValidation type="list" allowBlank="1" showInputMessage="1" showErrorMessage="1" sqref="AF94">
      <formula1>$AH$94:$AH$95</formula1>
    </dataValidation>
  </dataValidation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S37"/>
  <sheetViews>
    <sheetView topLeftCell="A5" workbookViewId="0">
      <selection activeCell="I46" sqref="I46"/>
    </sheetView>
  </sheetViews>
  <sheetFormatPr defaultRowHeight="15" x14ac:dyDescent="0.25"/>
  <cols>
    <col min="5" max="5" width="39" customWidth="1"/>
    <col min="6" max="6" width="13.5703125" customWidth="1"/>
    <col min="7" max="7" width="12.5703125" customWidth="1"/>
    <col min="8" max="8" width="11.85546875" customWidth="1"/>
    <col min="9" max="9" width="25.7109375" customWidth="1"/>
    <col min="10" max="10" width="35.5703125" customWidth="1"/>
    <col min="11" max="11" width="17" customWidth="1"/>
    <col min="14" max="14" width="36.28515625" customWidth="1"/>
    <col min="15" max="15" width="8.5703125" customWidth="1"/>
    <col min="16" max="16" width="12.28515625" customWidth="1"/>
    <col min="17" max="17" width="14" customWidth="1"/>
    <col min="18" max="18" width="14.140625" customWidth="1"/>
    <col min="19" max="19" width="17.140625" customWidth="1"/>
  </cols>
  <sheetData>
    <row r="1" spans="5:19" ht="15.75" thickBot="1" x14ac:dyDescent="0.3"/>
    <row r="2" spans="5:19" ht="15.75" thickBot="1" x14ac:dyDescent="0.3">
      <c r="E2" s="1192"/>
      <c r="F2" s="1193" t="s">
        <v>524</v>
      </c>
      <c r="G2" s="1193" t="s">
        <v>525</v>
      </c>
      <c r="H2" s="1194" t="s">
        <v>526</v>
      </c>
      <c r="I2" s="1194" t="s">
        <v>560</v>
      </c>
    </row>
    <row r="3" spans="5:19" ht="15.75" thickBot="1" x14ac:dyDescent="0.3">
      <c r="E3" s="1195" t="s">
        <v>96</v>
      </c>
      <c r="F3" s="1196">
        <v>29.2</v>
      </c>
      <c r="G3" s="1196">
        <v>35.200000000000003</v>
      </c>
      <c r="H3" s="1191">
        <v>6</v>
      </c>
      <c r="I3" s="1663" t="s">
        <v>561</v>
      </c>
    </row>
    <row r="4" spans="5:19" ht="15.75" thickBot="1" x14ac:dyDescent="0.3">
      <c r="E4" s="1195" t="s">
        <v>528</v>
      </c>
      <c r="F4" s="1196">
        <v>43.3</v>
      </c>
      <c r="G4" s="1196">
        <v>35.700000000000003</v>
      </c>
      <c r="H4" s="1197">
        <v>-7.6</v>
      </c>
      <c r="I4" s="1664"/>
    </row>
    <row r="5" spans="5:19" ht="39" thickBot="1" x14ac:dyDescent="0.3">
      <c r="E5" s="1198" t="s">
        <v>562</v>
      </c>
      <c r="F5" s="1199">
        <v>72.5</v>
      </c>
      <c r="G5" s="1199">
        <v>70.900000000000006</v>
      </c>
      <c r="H5" s="1197">
        <v>-1.6</v>
      </c>
      <c r="I5" s="1200" t="s">
        <v>527</v>
      </c>
    </row>
    <row r="10" spans="5:19" ht="51" x14ac:dyDescent="0.25">
      <c r="E10" s="1207" t="s">
        <v>105</v>
      </c>
      <c r="F10" s="1208" t="s">
        <v>564</v>
      </c>
      <c r="G10" s="1208" t="s">
        <v>565</v>
      </c>
      <c r="H10" s="1208" t="s">
        <v>566</v>
      </c>
      <c r="I10" s="1208" t="s">
        <v>563</v>
      </c>
      <c r="J10" s="1207" t="s">
        <v>533</v>
      </c>
      <c r="K10" s="173"/>
      <c r="N10" s="1218" t="s">
        <v>105</v>
      </c>
      <c r="O10" s="1244" t="s">
        <v>580</v>
      </c>
      <c r="P10" s="1244" t="s">
        <v>581</v>
      </c>
      <c r="Q10" s="1244" t="s">
        <v>582</v>
      </c>
      <c r="R10" s="1244" t="s">
        <v>583</v>
      </c>
      <c r="S10" s="1244" t="s">
        <v>533</v>
      </c>
    </row>
    <row r="11" spans="5:19" ht="23.25" x14ac:dyDescent="0.25">
      <c r="E11" s="1202" t="s">
        <v>567</v>
      </c>
      <c r="F11" s="1209">
        <v>29.5</v>
      </c>
      <c r="G11" s="937">
        <v>29.2</v>
      </c>
      <c r="H11" s="937">
        <v>35.200000000000003</v>
      </c>
      <c r="I11" s="1211">
        <f>H11-G11</f>
        <v>6.0000000000000036</v>
      </c>
      <c r="J11" s="1201" t="s">
        <v>576</v>
      </c>
      <c r="N11" s="1219" t="s">
        <v>584</v>
      </c>
      <c r="O11" s="1220">
        <v>29.2</v>
      </c>
      <c r="P11" s="1232">
        <v>29.5</v>
      </c>
      <c r="Q11" s="1232">
        <v>32.529285000000023</v>
      </c>
      <c r="R11" s="1232">
        <v>3.0292850000000229</v>
      </c>
      <c r="S11" s="1221" t="s">
        <v>585</v>
      </c>
    </row>
    <row r="12" spans="5:19" x14ac:dyDescent="0.25">
      <c r="E12" s="1202" t="s">
        <v>568</v>
      </c>
      <c r="F12" s="1209"/>
      <c r="G12" s="937"/>
      <c r="H12" s="937"/>
      <c r="I12" s="937"/>
      <c r="J12" s="1201"/>
      <c r="N12" s="1219" t="s">
        <v>540</v>
      </c>
      <c r="O12" s="1220"/>
      <c r="P12" s="1230"/>
      <c r="Q12" s="1234">
        <v>5.0439999999999999E-2</v>
      </c>
      <c r="R12" s="1234">
        <v>5.0439999999999999E-2</v>
      </c>
      <c r="S12" s="1221"/>
    </row>
    <row r="13" spans="5:19" x14ac:dyDescent="0.25">
      <c r="E13" s="1204" t="s">
        <v>528</v>
      </c>
      <c r="F13" s="1209">
        <v>43.9</v>
      </c>
      <c r="G13" s="937">
        <v>43.3</v>
      </c>
      <c r="H13" s="937">
        <v>35.700000000000003</v>
      </c>
      <c r="I13" s="1206" t="s">
        <v>575</v>
      </c>
      <c r="J13" s="1201" t="s">
        <v>578</v>
      </c>
      <c r="N13" s="1219" t="s">
        <v>66</v>
      </c>
      <c r="O13" s="1220">
        <v>60.4</v>
      </c>
      <c r="P13" s="1228">
        <v>61.5</v>
      </c>
      <c r="Q13" s="1228">
        <v>59.061383999999997</v>
      </c>
      <c r="R13" s="1236">
        <v>-2.4386160000000032</v>
      </c>
      <c r="S13" s="1241" t="s">
        <v>543</v>
      </c>
    </row>
    <row r="14" spans="5:19" x14ac:dyDescent="0.25">
      <c r="E14" s="1212" t="s">
        <v>569</v>
      </c>
      <c r="F14" s="1213">
        <v>6.4</v>
      </c>
      <c r="G14" s="1213">
        <v>7.4</v>
      </c>
      <c r="H14" s="1213">
        <v>0.9</v>
      </c>
      <c r="I14" s="1214" t="s">
        <v>574</v>
      </c>
      <c r="J14" s="1215" t="s">
        <v>579</v>
      </c>
      <c r="N14" s="1219" t="s">
        <v>586</v>
      </c>
      <c r="O14" s="1220"/>
      <c r="P14" s="1229"/>
      <c r="Q14" s="1235">
        <v>1.557677</v>
      </c>
      <c r="R14" s="1238"/>
      <c r="S14" s="1241"/>
    </row>
    <row r="15" spans="5:19" x14ac:dyDescent="0.25">
      <c r="E15" s="1204" t="s">
        <v>570</v>
      </c>
      <c r="F15" s="1209">
        <v>1.01</v>
      </c>
      <c r="G15" s="937">
        <v>0.3</v>
      </c>
      <c r="H15" s="937">
        <v>0.2</v>
      </c>
      <c r="I15" s="1206" t="s">
        <v>573</v>
      </c>
      <c r="J15" s="1201"/>
      <c r="N15" s="1219" t="s">
        <v>110</v>
      </c>
      <c r="O15" s="1220">
        <v>7.4</v>
      </c>
      <c r="P15" s="1229">
        <v>6.5</v>
      </c>
      <c r="Q15" s="1235">
        <v>0.85397900000000004</v>
      </c>
      <c r="R15" s="1239">
        <v>-12.279243000000001</v>
      </c>
      <c r="S15" s="1243"/>
    </row>
    <row r="16" spans="5:19" ht="33" x14ac:dyDescent="0.25">
      <c r="E16" s="1204" t="s">
        <v>540</v>
      </c>
      <c r="F16" s="1209"/>
      <c r="G16" s="1203"/>
      <c r="H16" s="937">
        <v>0.1</v>
      </c>
      <c r="I16" s="937">
        <v>0.1</v>
      </c>
      <c r="J16" s="1201"/>
      <c r="N16" s="1219" t="s">
        <v>67</v>
      </c>
      <c r="O16" s="1220">
        <v>43.3</v>
      </c>
      <c r="P16" s="1229">
        <v>43.9</v>
      </c>
      <c r="Q16" s="1235">
        <v>35.709100999999997</v>
      </c>
      <c r="R16" s="1240"/>
      <c r="S16" s="1242" t="s">
        <v>587</v>
      </c>
    </row>
    <row r="17" spans="5:19" x14ac:dyDescent="0.25">
      <c r="E17" s="1202" t="s">
        <v>39</v>
      </c>
      <c r="F17" s="1209">
        <v>61.5</v>
      </c>
      <c r="G17" s="937">
        <v>60.4</v>
      </c>
      <c r="H17" s="937">
        <v>58</v>
      </c>
      <c r="I17" s="1206" t="s">
        <v>572</v>
      </c>
      <c r="J17" s="1201" t="s">
        <v>577</v>
      </c>
      <c r="N17" s="1219" t="s">
        <v>588</v>
      </c>
      <c r="O17" s="1220">
        <v>0.3</v>
      </c>
      <c r="P17" s="1230">
        <v>1.01</v>
      </c>
      <c r="Q17" s="1230">
        <v>0.1703680436337868</v>
      </c>
      <c r="R17" s="1237">
        <v>-0.83963195636621324</v>
      </c>
      <c r="S17" s="1242"/>
    </row>
    <row r="18" spans="5:19" ht="22.5" x14ac:dyDescent="0.25">
      <c r="E18" s="1205" t="s">
        <v>81</v>
      </c>
      <c r="F18" s="1210">
        <f>SUM(F11:F17)</f>
        <v>142.31</v>
      </c>
      <c r="G18" s="937">
        <f>SUM(G11:G17)</f>
        <v>140.6</v>
      </c>
      <c r="H18" s="937">
        <f>SUM(H11:H17)</f>
        <v>130.10000000000002</v>
      </c>
      <c r="I18" s="1206" t="s">
        <v>571</v>
      </c>
      <c r="J18" s="1201"/>
      <c r="N18" s="1222" t="s">
        <v>68</v>
      </c>
      <c r="O18" s="1223">
        <v>140.60000000000002</v>
      </c>
      <c r="P18" s="1231">
        <v>142.41</v>
      </c>
      <c r="Q18" s="1231">
        <v>129.93223404363383</v>
      </c>
      <c r="R18" s="1231">
        <v>-12.47776595636617</v>
      </c>
      <c r="S18" s="1221" t="s">
        <v>589</v>
      </c>
    </row>
    <row r="19" spans="5:19" x14ac:dyDescent="0.25">
      <c r="N19" s="1224" t="s">
        <v>106</v>
      </c>
      <c r="O19" s="1225">
        <v>30.5</v>
      </c>
      <c r="P19" s="1225">
        <v>31.1</v>
      </c>
      <c r="Q19" s="1232" t="s">
        <v>559</v>
      </c>
      <c r="R19" s="1232"/>
      <c r="S19" s="1221"/>
    </row>
    <row r="20" spans="5:19" x14ac:dyDescent="0.25">
      <c r="N20" s="1226" t="s">
        <v>107</v>
      </c>
      <c r="O20" s="1227">
        <v>0.82</v>
      </c>
      <c r="P20" s="1227">
        <v>0.81899999999999995</v>
      </c>
      <c r="Q20" s="1233"/>
      <c r="R20" s="1233"/>
      <c r="S20" s="1221"/>
    </row>
    <row r="22" spans="5:19" ht="15.75" thickBot="1" x14ac:dyDescent="0.3"/>
    <row r="23" spans="5:19" x14ac:dyDescent="0.25">
      <c r="E23" s="1665" t="s">
        <v>105</v>
      </c>
      <c r="F23" s="1159" t="s">
        <v>529</v>
      </c>
      <c r="G23" s="1159" t="s">
        <v>529</v>
      </c>
      <c r="H23" s="1667" t="s">
        <v>530</v>
      </c>
      <c r="I23" s="1161" t="s">
        <v>531</v>
      </c>
      <c r="J23" s="1669" t="s">
        <v>533</v>
      </c>
      <c r="K23" s="1671" t="s">
        <v>534</v>
      </c>
    </row>
    <row r="24" spans="5:19" ht="15.75" thickBot="1" x14ac:dyDescent="0.3">
      <c r="E24" s="1666"/>
      <c r="F24" s="1160">
        <v>2016</v>
      </c>
      <c r="G24" s="1160">
        <v>2017</v>
      </c>
      <c r="H24" s="1668"/>
      <c r="I24" s="1162" t="s">
        <v>532</v>
      </c>
      <c r="J24" s="1670"/>
      <c r="K24" s="1672"/>
    </row>
    <row r="25" spans="5:19" ht="51.75" customHeight="1" thickBot="1" x14ac:dyDescent="0.3">
      <c r="E25" s="1163" t="s">
        <v>535</v>
      </c>
      <c r="F25" s="1164">
        <v>29.2</v>
      </c>
      <c r="G25" s="1165">
        <v>29.5</v>
      </c>
      <c r="H25" s="1166">
        <v>35.200000000000003</v>
      </c>
      <c r="I25" s="1167" t="s">
        <v>536</v>
      </c>
      <c r="J25" s="1168" t="s">
        <v>537</v>
      </c>
      <c r="K25" s="1648" t="s">
        <v>538</v>
      </c>
    </row>
    <row r="26" spans="5:19" ht="15.75" thickBot="1" x14ac:dyDescent="0.3">
      <c r="E26" s="1163" t="s">
        <v>539</v>
      </c>
      <c r="F26" s="1164"/>
      <c r="G26" s="1165"/>
      <c r="H26" s="1166"/>
      <c r="I26" s="1167"/>
      <c r="J26" s="1170"/>
      <c r="K26" s="1649"/>
    </row>
    <row r="27" spans="5:19" ht="15.75" thickBot="1" x14ac:dyDescent="0.3">
      <c r="E27" s="1163" t="s">
        <v>540</v>
      </c>
      <c r="F27" s="1164"/>
      <c r="G27" s="1165"/>
      <c r="H27" s="1166">
        <v>0.1</v>
      </c>
      <c r="I27" s="1167" t="s">
        <v>541</v>
      </c>
      <c r="J27" s="1170"/>
      <c r="K27" s="1170"/>
    </row>
    <row r="28" spans="5:19" ht="15.75" thickBot="1" x14ac:dyDescent="0.3">
      <c r="E28" s="1163" t="s">
        <v>66</v>
      </c>
      <c r="F28" s="1164">
        <v>60.4</v>
      </c>
      <c r="G28" s="1165">
        <v>61.5</v>
      </c>
      <c r="H28" s="1166">
        <v>58</v>
      </c>
      <c r="I28" s="1167" t="s">
        <v>542</v>
      </c>
      <c r="J28" s="1170" t="s">
        <v>543</v>
      </c>
      <c r="K28" s="1170" t="s">
        <v>544</v>
      </c>
    </row>
    <row r="29" spans="5:19" ht="33.75" x14ac:dyDescent="0.25">
      <c r="E29" s="1650" t="s">
        <v>528</v>
      </c>
      <c r="F29" s="1650">
        <v>43.3</v>
      </c>
      <c r="G29" s="1653">
        <v>43.9</v>
      </c>
      <c r="H29" s="1656">
        <v>35.700000000000003</v>
      </c>
      <c r="I29" s="1659" t="s">
        <v>545</v>
      </c>
      <c r="J29" s="1648" t="s">
        <v>546</v>
      </c>
      <c r="K29" s="1169" t="s">
        <v>547</v>
      </c>
    </row>
    <row r="30" spans="5:19" x14ac:dyDescent="0.25">
      <c r="E30" s="1651"/>
      <c r="F30" s="1651"/>
      <c r="G30" s="1654"/>
      <c r="H30" s="1657"/>
      <c r="I30" s="1660"/>
      <c r="J30" s="1662"/>
      <c r="K30" s="1169"/>
    </row>
    <row r="31" spans="5:19" ht="23.25" thickBot="1" x14ac:dyDescent="0.3">
      <c r="E31" s="1652"/>
      <c r="F31" s="1652"/>
      <c r="G31" s="1655"/>
      <c r="H31" s="1658"/>
      <c r="I31" s="1661"/>
      <c r="J31" s="1649"/>
      <c r="K31" s="1170" t="s">
        <v>548</v>
      </c>
    </row>
    <row r="32" spans="5:19" ht="23.25" thickBot="1" x14ac:dyDescent="0.3">
      <c r="E32" s="1171" t="s">
        <v>110</v>
      </c>
      <c r="F32" s="1172">
        <v>7.4</v>
      </c>
      <c r="G32" s="1173">
        <v>6.5</v>
      </c>
      <c r="H32" s="1174">
        <v>0.9</v>
      </c>
      <c r="I32" s="1175" t="s">
        <v>549</v>
      </c>
      <c r="J32" s="1176" t="s">
        <v>550</v>
      </c>
      <c r="K32" s="1170"/>
    </row>
    <row r="33" spans="5:11" ht="45.75" thickBot="1" x14ac:dyDescent="0.3">
      <c r="E33" s="1163" t="s">
        <v>551</v>
      </c>
      <c r="F33" s="1164">
        <v>50.7</v>
      </c>
      <c r="G33" s="1165">
        <v>50.4</v>
      </c>
      <c r="H33" s="1166">
        <v>36.6</v>
      </c>
      <c r="I33" s="1167" t="s">
        <v>552</v>
      </c>
      <c r="J33" s="1170"/>
      <c r="K33" s="1170" t="s">
        <v>553</v>
      </c>
    </row>
    <row r="34" spans="5:11" ht="15.75" thickBot="1" x14ac:dyDescent="0.3">
      <c r="E34" s="1163" t="s">
        <v>554</v>
      </c>
      <c r="F34" s="1177" t="s">
        <v>555</v>
      </c>
      <c r="G34" s="1178" t="s">
        <v>556</v>
      </c>
      <c r="H34" s="1166">
        <v>0.2</v>
      </c>
      <c r="I34" s="1167" t="s">
        <v>541</v>
      </c>
      <c r="J34" s="1170"/>
      <c r="K34" s="1170"/>
    </row>
    <row r="35" spans="5:11" ht="23.25" thickBot="1" x14ac:dyDescent="0.3">
      <c r="E35" s="1179" t="s">
        <v>68</v>
      </c>
      <c r="F35" s="1180">
        <v>140.30000000000001</v>
      </c>
      <c r="G35" s="1181">
        <v>142.30000000000001</v>
      </c>
      <c r="H35" s="1182">
        <v>129.9</v>
      </c>
      <c r="I35" s="1183" t="s">
        <v>557</v>
      </c>
      <c r="J35" s="1170" t="s">
        <v>558</v>
      </c>
      <c r="K35" s="1170"/>
    </row>
    <row r="36" spans="5:11" ht="15.75" thickBot="1" x14ac:dyDescent="0.3">
      <c r="E36" s="1184" t="s">
        <v>106</v>
      </c>
      <c r="F36" s="1185">
        <v>30.5</v>
      </c>
      <c r="G36" s="1186">
        <v>31.1</v>
      </c>
      <c r="H36" s="1166" t="s">
        <v>559</v>
      </c>
      <c r="I36" s="1167"/>
      <c r="J36" s="1170"/>
      <c r="K36" s="1170"/>
    </row>
    <row r="37" spans="5:11" ht="15.75" thickBot="1" x14ac:dyDescent="0.3">
      <c r="E37" s="1187" t="s">
        <v>107</v>
      </c>
      <c r="F37" s="1188">
        <v>0.82</v>
      </c>
      <c r="G37" s="1189">
        <v>0.81899999999999995</v>
      </c>
      <c r="H37" s="1190"/>
      <c r="I37" s="1167"/>
      <c r="J37" s="1170"/>
      <c r="K37" s="1170"/>
    </row>
  </sheetData>
  <mergeCells count="12">
    <mergeCell ref="I3:I4"/>
    <mergeCell ref="E23:E24"/>
    <mergeCell ref="H23:H24"/>
    <mergeCell ref="J23:J24"/>
    <mergeCell ref="K23:K24"/>
    <mergeCell ref="K25:K26"/>
    <mergeCell ref="E29:E31"/>
    <mergeCell ref="F29:F31"/>
    <mergeCell ref="G29:G31"/>
    <mergeCell ref="H29:H31"/>
    <mergeCell ref="I29:I31"/>
    <mergeCell ref="J29:J3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14"/>
  <sheetViews>
    <sheetView workbookViewId="0">
      <selection activeCell="V23" sqref="V23"/>
    </sheetView>
  </sheetViews>
  <sheetFormatPr defaultRowHeight="15" x14ac:dyDescent="0.25"/>
  <cols>
    <col min="6" max="6" width="0" hidden="1" customWidth="1"/>
    <col min="7" max="7" width="16.5703125" customWidth="1"/>
    <col min="8" max="8" width="13.85546875" hidden="1" customWidth="1"/>
    <col min="9" max="9" width="17.85546875" hidden="1" customWidth="1"/>
    <col min="10" max="10" width="38.7109375" customWidth="1"/>
  </cols>
  <sheetData>
    <row r="4" spans="2:10" ht="15.75" thickBot="1" x14ac:dyDescent="0.3"/>
    <row r="5" spans="2:10" ht="15" customHeight="1" x14ac:dyDescent="0.25">
      <c r="B5" s="1678" t="s">
        <v>161</v>
      </c>
      <c r="C5" s="1680" t="s">
        <v>263</v>
      </c>
      <c r="D5" s="1681"/>
      <c r="E5" s="1681"/>
      <c r="F5" s="1681"/>
      <c r="G5" s="1681"/>
      <c r="H5" s="1681"/>
      <c r="I5" s="1681"/>
      <c r="J5" s="1682"/>
    </row>
    <row r="6" spans="2:10" ht="15" customHeight="1" x14ac:dyDescent="0.25">
      <c r="B6" s="1679"/>
      <c r="C6" s="1683" t="s">
        <v>174</v>
      </c>
      <c r="D6" s="1683" t="s">
        <v>268</v>
      </c>
      <c r="E6" s="1683"/>
      <c r="F6" s="1683"/>
      <c r="G6" s="1683"/>
      <c r="H6" s="1684" t="s">
        <v>267</v>
      </c>
      <c r="I6" s="1684"/>
      <c r="J6" s="1685"/>
    </row>
    <row r="7" spans="2:10" ht="33.75" x14ac:dyDescent="0.25">
      <c r="B7" s="1679"/>
      <c r="C7" s="1683"/>
      <c r="D7" s="518" t="s">
        <v>58</v>
      </c>
      <c r="E7" s="518" t="s">
        <v>59</v>
      </c>
      <c r="F7" s="518" t="s">
        <v>173</v>
      </c>
      <c r="G7" s="518" t="s">
        <v>177</v>
      </c>
      <c r="H7" s="518" t="s">
        <v>175</v>
      </c>
      <c r="I7" s="518" t="s">
        <v>176</v>
      </c>
      <c r="J7" s="519" t="s">
        <v>266</v>
      </c>
    </row>
    <row r="8" spans="2:10" x14ac:dyDescent="0.25">
      <c r="B8" s="520">
        <v>1</v>
      </c>
      <c r="C8" s="1686">
        <v>3.2800000000000003E-2</v>
      </c>
      <c r="D8" s="525">
        <v>3.2800000000000003E-2</v>
      </c>
      <c r="E8" s="524">
        <v>0</v>
      </c>
      <c r="F8" s="320"/>
      <c r="G8" s="522">
        <v>1.9E-2</v>
      </c>
      <c r="H8" s="322"/>
      <c r="I8" s="320"/>
      <c r="J8" s="523">
        <v>3.6700000000000003E-2</v>
      </c>
    </row>
    <row r="9" spans="2:10" x14ac:dyDescent="0.25">
      <c r="B9" s="520">
        <v>2</v>
      </c>
      <c r="C9" s="1687"/>
      <c r="D9" s="321">
        <v>3.4130000000000001E-2</v>
      </c>
      <c r="E9" s="322">
        <v>0.02</v>
      </c>
      <c r="F9" s="322"/>
      <c r="G9" s="330">
        <v>2.8199999999999999E-2</v>
      </c>
      <c r="H9" s="323"/>
      <c r="I9" s="321"/>
      <c r="J9" s="521">
        <v>3.4130000000000001E-2</v>
      </c>
    </row>
    <row r="10" spans="2:10" x14ac:dyDescent="0.25">
      <c r="B10" s="520">
        <v>2</v>
      </c>
      <c r="C10" s="1687"/>
      <c r="D10" s="527">
        <v>4.2099999999999999E-2</v>
      </c>
      <c r="E10" s="524">
        <v>0.02</v>
      </c>
      <c r="F10" s="320"/>
      <c r="G10" s="526">
        <v>3.2800000000000003E-2</v>
      </c>
      <c r="H10" s="323"/>
      <c r="I10" s="321"/>
      <c r="J10" s="521">
        <v>3.2800000000000003E-2</v>
      </c>
    </row>
    <row r="11" spans="2:10" x14ac:dyDescent="0.25">
      <c r="B11" s="528">
        <v>4</v>
      </c>
      <c r="C11" s="1688"/>
      <c r="D11" s="529">
        <v>3.6200000000000003E-2</v>
      </c>
      <c r="E11" s="530">
        <v>0</v>
      </c>
      <c r="F11" s="531"/>
      <c r="G11" s="532">
        <v>2.1000000000000001E-2</v>
      </c>
      <c r="H11" s="533"/>
      <c r="I11" s="534"/>
      <c r="J11" s="535">
        <v>3.6200000000000003E-2</v>
      </c>
    </row>
    <row r="12" spans="2:10" ht="15" customHeight="1" thickBot="1" x14ac:dyDescent="0.3">
      <c r="B12" s="1673" t="s">
        <v>265</v>
      </c>
      <c r="C12" s="1674"/>
      <c r="D12" s="1674"/>
      <c r="E12" s="1674"/>
      <c r="F12" s="1674"/>
      <c r="G12" s="1674"/>
      <c r="H12" s="1674"/>
      <c r="I12" s="1674"/>
      <c r="J12" s="1675"/>
    </row>
    <row r="13" spans="2:10" hidden="1" x14ac:dyDescent="0.25">
      <c r="B13" s="1676" t="s">
        <v>264</v>
      </c>
      <c r="C13" s="1676"/>
      <c r="D13" s="1676"/>
      <c r="E13" s="1676"/>
      <c r="F13" s="1676"/>
      <c r="G13" s="1676"/>
      <c r="H13" s="1676"/>
      <c r="I13" s="1676"/>
      <c r="J13" s="1676"/>
    </row>
    <row r="14" spans="2:10" hidden="1" x14ac:dyDescent="0.25">
      <c r="B14" s="1677"/>
      <c r="C14" s="1677"/>
      <c r="D14" s="1677"/>
      <c r="E14" s="1677"/>
      <c r="F14" s="1677"/>
      <c r="G14" s="1677"/>
      <c r="H14" s="1677"/>
      <c r="I14" s="1677"/>
      <c r="J14" s="1677"/>
    </row>
  </sheetData>
  <mergeCells count="9">
    <mergeCell ref="B12:J12"/>
    <mergeCell ref="B13:J13"/>
    <mergeCell ref="B14:J14"/>
    <mergeCell ref="B5:B7"/>
    <mergeCell ref="C5:J5"/>
    <mergeCell ref="C6:C7"/>
    <mergeCell ref="D6:G6"/>
    <mergeCell ref="H6:J6"/>
    <mergeCell ref="C8:C11"/>
  </mergeCells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5"/>
  <sheetViews>
    <sheetView topLeftCell="A16" workbookViewId="0">
      <selection activeCell="N37" sqref="N37"/>
    </sheetView>
  </sheetViews>
  <sheetFormatPr defaultColWidth="9.140625" defaultRowHeight="12" x14ac:dyDescent="0.2"/>
  <cols>
    <col min="1" max="1" width="1.140625" style="371" customWidth="1"/>
    <col min="2" max="2" width="54.7109375" style="385" customWidth="1"/>
    <col min="3" max="7" width="13.28515625" style="385" customWidth="1"/>
    <col min="8" max="8" width="14.5703125" style="385" customWidth="1"/>
    <col min="9" max="9" width="1.7109375" style="385" customWidth="1"/>
    <col min="10" max="10" width="0.7109375" style="371" customWidth="1"/>
    <col min="11" max="11" width="9.7109375" style="385" customWidth="1"/>
    <col min="12" max="12" width="8.28515625" style="385" customWidth="1"/>
    <col min="13" max="13" width="10.5703125" style="385" customWidth="1"/>
    <col min="14" max="15" width="8.28515625" style="385" customWidth="1"/>
    <col min="16" max="16" width="9.140625" style="371"/>
    <col min="17" max="17" width="16" style="371" customWidth="1"/>
    <col min="18" max="34" width="9.140625" style="371"/>
    <col min="35" max="16384" width="9.140625" style="385"/>
  </cols>
  <sheetData>
    <row r="1" spans="2:59" s="371" customFormat="1" x14ac:dyDescent="0.2">
      <c r="E1" s="372"/>
      <c r="F1" s="372"/>
      <c r="G1" s="372"/>
      <c r="BG1" s="373">
        <v>0.14000000000000001</v>
      </c>
    </row>
    <row r="2" spans="2:59" s="371" customFormat="1" ht="12.75" thickBot="1" x14ac:dyDescent="0.25">
      <c r="B2" s="665">
        <v>42644</v>
      </c>
      <c r="T2" s="375" t="s">
        <v>202</v>
      </c>
      <c r="BG2" s="373">
        <v>0.15</v>
      </c>
    </row>
    <row r="3" spans="2:59" s="385" customFormat="1" x14ac:dyDescent="0.2">
      <c r="B3" s="376" t="s">
        <v>203</v>
      </c>
      <c r="C3" s="377"/>
      <c r="D3" s="377"/>
      <c r="E3" s="377"/>
      <c r="F3" s="377"/>
      <c r="G3" s="377"/>
      <c r="H3" s="537">
        <v>42644</v>
      </c>
      <c r="I3" s="378"/>
      <c r="J3" s="371"/>
      <c r="K3" s="379"/>
      <c r="L3" s="380"/>
      <c r="M3" s="378"/>
      <c r="N3" s="381"/>
      <c r="O3" s="381"/>
      <c r="P3" s="371"/>
      <c r="Q3" s="382" t="s">
        <v>204</v>
      </c>
      <c r="R3" s="383">
        <v>1</v>
      </c>
      <c r="S3" s="371"/>
      <c r="T3" s="371" t="s">
        <v>205</v>
      </c>
      <c r="U3" s="384">
        <v>0.05</v>
      </c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L3" s="371">
        <v>0</v>
      </c>
      <c r="BG3" s="386">
        <v>0.16</v>
      </c>
    </row>
    <row r="4" spans="2:59" s="385" customFormat="1" x14ac:dyDescent="0.2">
      <c r="B4" s="387"/>
      <c r="C4" s="388"/>
      <c r="D4" s="388"/>
      <c r="E4" s="388"/>
      <c r="F4" s="388"/>
      <c r="G4" s="388"/>
      <c r="H4" s="388"/>
      <c r="I4" s="389"/>
      <c r="J4" s="371"/>
      <c r="K4" s="390"/>
      <c r="L4" s="381"/>
      <c r="M4" s="389"/>
      <c r="N4" s="381"/>
      <c r="O4" s="381"/>
      <c r="P4" s="371"/>
      <c r="Q4" s="371"/>
      <c r="R4" s="371"/>
      <c r="S4" s="371"/>
      <c r="T4" s="371"/>
      <c r="V4" s="371"/>
      <c r="W4" s="371"/>
      <c r="X4" s="371"/>
      <c r="Y4" s="371"/>
      <c r="Z4" s="371"/>
      <c r="AA4" s="371"/>
      <c r="AB4" s="371"/>
      <c r="AC4" s="371"/>
      <c r="AD4" s="371"/>
      <c r="AE4" s="371"/>
      <c r="AF4" s="371"/>
      <c r="AG4" s="371"/>
      <c r="AH4" s="371"/>
      <c r="AI4" s="385">
        <v>-1</v>
      </c>
      <c r="AJ4" s="385">
        <v>0.01</v>
      </c>
      <c r="AL4" s="371">
        <v>1</v>
      </c>
      <c r="BG4" s="386">
        <v>0.17</v>
      </c>
    </row>
    <row r="5" spans="2:59" s="385" customFormat="1" x14ac:dyDescent="0.2">
      <c r="B5" s="391" t="s">
        <v>206</v>
      </c>
      <c r="C5" s="392">
        <v>2016</v>
      </c>
      <c r="D5" s="392">
        <v>2017</v>
      </c>
      <c r="E5" s="392">
        <v>2018</v>
      </c>
      <c r="F5" s="392">
        <v>2019</v>
      </c>
      <c r="G5" s="392">
        <v>2020</v>
      </c>
      <c r="H5" s="392">
        <v>2021</v>
      </c>
      <c r="I5" s="393"/>
      <c r="J5" s="394"/>
      <c r="K5" s="395">
        <v>2022</v>
      </c>
      <c r="L5" s="392">
        <v>2023</v>
      </c>
      <c r="M5" s="396">
        <v>2024</v>
      </c>
      <c r="N5" s="381"/>
      <c r="O5" s="38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J5" s="385">
        <v>0.02</v>
      </c>
      <c r="BG5" s="386">
        <v>0.18</v>
      </c>
    </row>
    <row r="6" spans="2:59" s="385" customFormat="1" ht="15" x14ac:dyDescent="0.25">
      <c r="B6" s="391" t="s">
        <v>207</v>
      </c>
      <c r="C6" s="397"/>
      <c r="D6" s="398">
        <v>17.692101331601169</v>
      </c>
      <c r="E6" s="398">
        <v>18.088308300000001</v>
      </c>
      <c r="F6" s="398">
        <v>18.76265024156098</v>
      </c>
      <c r="G6" s="398">
        <v>19.457915859459053</v>
      </c>
      <c r="H6" s="398">
        <v>20.434735028802116</v>
      </c>
      <c r="I6" s="389"/>
      <c r="J6" s="371"/>
      <c r="K6" s="399">
        <v>21.67820930707304</v>
      </c>
      <c r="L6" s="400">
        <v>27.192653556604036</v>
      </c>
      <c r="M6" s="401">
        <v>34.686543566680307</v>
      </c>
      <c r="N6" s="381"/>
      <c r="O6" s="381"/>
      <c r="P6" s="371"/>
      <c r="Q6" s="371" t="s">
        <v>208</v>
      </c>
      <c r="R6" s="371"/>
      <c r="S6" s="383">
        <v>1</v>
      </c>
      <c r="T6" s="371"/>
      <c r="U6" s="371"/>
      <c r="V6" s="371"/>
      <c r="W6" s="371"/>
      <c r="X6" s="371"/>
      <c r="Y6" s="371"/>
      <c r="Z6" s="371"/>
      <c r="AA6" s="371"/>
      <c r="AB6" s="371"/>
      <c r="AC6" s="371"/>
      <c r="AD6" s="371"/>
      <c r="AE6" s="371"/>
      <c r="AF6" s="371"/>
      <c r="AG6" s="371"/>
      <c r="AH6" s="371"/>
      <c r="AJ6" s="385">
        <v>0.03</v>
      </c>
      <c r="BG6" s="386">
        <v>0.19</v>
      </c>
    </row>
    <row r="7" spans="2:59" s="385" customFormat="1" ht="16.149999999999999" customHeight="1" x14ac:dyDescent="0.2">
      <c r="B7" s="391" t="s">
        <v>209</v>
      </c>
      <c r="C7" s="402"/>
      <c r="D7" s="403">
        <v>142.33169192075729</v>
      </c>
      <c r="E7" s="403">
        <v>136.4436970825605</v>
      </c>
      <c r="F7" s="403">
        <v>130.55570224436374</v>
      </c>
      <c r="G7" s="403">
        <v>124.66770740616697</v>
      </c>
      <c r="H7" s="403">
        <v>119.60897135241669</v>
      </c>
      <c r="I7" s="404"/>
      <c r="J7" s="405"/>
      <c r="K7" s="406">
        <v>115.56931231209361</v>
      </c>
      <c r="L7" s="407">
        <v>111.52965327177054</v>
      </c>
      <c r="M7" s="408">
        <v>107.48999423144748</v>
      </c>
      <c r="N7" s="381"/>
      <c r="O7" s="381"/>
      <c r="P7" s="371"/>
      <c r="Q7" s="371"/>
      <c r="R7" s="371"/>
      <c r="S7" s="371"/>
      <c r="T7" s="371"/>
      <c r="U7" s="371"/>
      <c r="V7" s="371"/>
      <c r="W7" s="371"/>
      <c r="X7" s="371"/>
      <c r="Y7" s="371"/>
      <c r="Z7" s="371"/>
      <c r="AA7" s="371"/>
      <c r="AB7" s="371"/>
      <c r="AC7" s="371"/>
      <c r="AD7" s="371"/>
      <c r="AE7" s="371"/>
      <c r="AF7" s="371"/>
      <c r="AG7" s="371"/>
      <c r="AH7" s="371"/>
      <c r="AJ7" s="385">
        <v>0.04</v>
      </c>
      <c r="BG7" s="386">
        <v>0.2</v>
      </c>
    </row>
    <row r="8" spans="2:59" s="385" customFormat="1" x14ac:dyDescent="0.2">
      <c r="B8" s="409" t="s">
        <v>210</v>
      </c>
      <c r="C8" s="388"/>
      <c r="D8" s="410">
        <f>D7*0.05</f>
        <v>7.1165845960378649</v>
      </c>
      <c r="E8" s="410">
        <f>E7*0.05</f>
        <v>6.8221848541280252</v>
      </c>
      <c r="F8" s="410">
        <f>F7*0.05</f>
        <v>6.5277851122181874</v>
      </c>
      <c r="G8" s="410">
        <f>Q11*0.05</f>
        <v>6.2333853703083486</v>
      </c>
      <c r="H8" s="410">
        <f>R11*0.05</f>
        <v>5.9804485676208348</v>
      </c>
      <c r="I8" s="389"/>
      <c r="J8" s="371"/>
      <c r="K8" s="411">
        <f>S11*0.05</f>
        <v>5.7784656156046807</v>
      </c>
      <c r="L8" s="412">
        <f>T11*0.05</f>
        <v>5.5764826635885276</v>
      </c>
      <c r="M8" s="413">
        <f>U11*0.05</f>
        <v>5.3744997115723745</v>
      </c>
      <c r="N8" s="381"/>
      <c r="O8" s="381"/>
      <c r="P8" s="371"/>
      <c r="Q8" s="414" t="s">
        <v>211</v>
      </c>
      <c r="R8" s="415">
        <v>124.66770740616697</v>
      </c>
      <c r="S8" s="371"/>
      <c r="T8" s="371"/>
      <c r="U8" s="371"/>
      <c r="V8" s="371"/>
      <c r="W8" s="371"/>
      <c r="X8" s="371"/>
      <c r="Y8" s="371"/>
      <c r="Z8" s="371"/>
      <c r="AA8" s="371"/>
      <c r="AB8" s="371"/>
      <c r="AC8" s="371"/>
      <c r="AD8" s="371"/>
      <c r="AE8" s="371"/>
      <c r="AF8" s="371"/>
      <c r="AG8" s="371"/>
      <c r="AH8" s="371"/>
      <c r="AJ8" s="385">
        <v>0.05</v>
      </c>
    </row>
    <row r="9" spans="2:59" s="385" customFormat="1" x14ac:dyDescent="0.2">
      <c r="B9" s="416" t="s">
        <v>212</v>
      </c>
      <c r="C9" s="417"/>
      <c r="D9" s="418">
        <v>29.502350481872782</v>
      </c>
      <c r="E9" s="418">
        <v>28.720874520898647</v>
      </c>
      <c r="F9" s="418">
        <v>27.939398559924509</v>
      </c>
      <c r="G9" s="418">
        <v>27.157922598950375</v>
      </c>
      <c r="H9" s="418">
        <v>26.643317986791903</v>
      </c>
      <c r="I9" s="389"/>
      <c r="J9" s="371"/>
      <c r="K9" s="419">
        <v>28.023518475083989</v>
      </c>
      <c r="L9" s="420">
        <v>27.077069643164172</v>
      </c>
      <c r="M9" s="421">
        <v>26.130620811244363</v>
      </c>
      <c r="N9" s="381"/>
      <c r="O9" s="381"/>
      <c r="P9" s="371"/>
      <c r="Q9" s="371"/>
      <c r="R9" s="371"/>
      <c r="S9" s="371"/>
      <c r="T9" s="371"/>
      <c r="U9" s="371"/>
      <c r="V9" s="371"/>
      <c r="W9" s="371"/>
      <c r="X9" s="371"/>
      <c r="Y9" s="371"/>
      <c r="Z9" s="371"/>
      <c r="AA9" s="371"/>
      <c r="AB9" s="371"/>
      <c r="AC9" s="371"/>
      <c r="AD9" s="371"/>
      <c r="AE9" s="371"/>
      <c r="AF9" s="371"/>
      <c r="AG9" s="371"/>
      <c r="AH9" s="371"/>
      <c r="AJ9" s="385">
        <v>0.06</v>
      </c>
    </row>
    <row r="10" spans="2:59" s="385" customFormat="1" x14ac:dyDescent="0.2">
      <c r="B10" s="422" t="s">
        <v>213</v>
      </c>
      <c r="C10" s="417"/>
      <c r="D10" s="423">
        <v>6.4345356020187872</v>
      </c>
      <c r="E10" s="423">
        <v>6.0839331538070285</v>
      </c>
      <c r="F10" s="423">
        <v>5.4134920979397192</v>
      </c>
      <c r="G10" s="423">
        <v>4.8815453391491532</v>
      </c>
      <c r="H10" s="423">
        <v>4.3494205337699174</v>
      </c>
      <c r="I10" s="389"/>
      <c r="J10" s="371"/>
      <c r="K10" s="419">
        <v>2.9692200454778308</v>
      </c>
      <c r="L10" s="420">
        <v>2.8689394598599334</v>
      </c>
      <c r="M10" s="421">
        <v>2.7686588742420355</v>
      </c>
      <c r="N10" s="381"/>
      <c r="O10" s="381"/>
      <c r="P10" s="371"/>
      <c r="Q10" s="392">
        <v>2020</v>
      </c>
      <c r="R10" s="392">
        <v>2021</v>
      </c>
      <c r="S10" s="392">
        <v>2022</v>
      </c>
      <c r="T10" s="392">
        <v>2023</v>
      </c>
      <c r="U10" s="392">
        <v>2024</v>
      </c>
      <c r="V10" s="371"/>
      <c r="W10" s="371"/>
      <c r="X10" s="371"/>
      <c r="Y10" s="371"/>
      <c r="Z10" s="371"/>
      <c r="AA10" s="371"/>
      <c r="AB10" s="371"/>
      <c r="AC10" s="371"/>
      <c r="AD10" s="371"/>
      <c r="AE10" s="371"/>
      <c r="AF10" s="371"/>
      <c r="AG10" s="371"/>
      <c r="AH10" s="371"/>
      <c r="AJ10" s="385">
        <v>7.0000000000000007E-2</v>
      </c>
    </row>
    <row r="11" spans="2:59" s="385" customFormat="1" x14ac:dyDescent="0.2">
      <c r="B11" s="424" t="s">
        <v>214</v>
      </c>
      <c r="C11" s="402"/>
      <c r="D11" s="403">
        <f>D9+D10</f>
        <v>35.936886083891565</v>
      </c>
      <c r="E11" s="403">
        <f>E9+E10</f>
        <v>34.804807674705678</v>
      </c>
      <c r="F11" s="403">
        <f>F9+F10</f>
        <v>33.352890657864229</v>
      </c>
      <c r="G11" s="403">
        <f>G9+G10</f>
        <v>32.039467938099527</v>
      </c>
      <c r="H11" s="403">
        <f>H9+H10</f>
        <v>30.992738520561822</v>
      </c>
      <c r="I11" s="389"/>
      <c r="J11" s="371"/>
      <c r="K11" s="406">
        <f>K9+K10</f>
        <v>30.992738520561819</v>
      </c>
      <c r="L11" s="407">
        <f>L9+L10</f>
        <v>29.946009103024107</v>
      </c>
      <c r="M11" s="408">
        <f>M9+M10</f>
        <v>28.899279685486398</v>
      </c>
      <c r="N11" s="381"/>
      <c r="O11" s="381"/>
      <c r="P11" s="371"/>
      <c r="Q11" s="410">
        <v>124.66770740616697</v>
      </c>
      <c r="R11" s="410">
        <v>119.60897135241669</v>
      </c>
      <c r="S11" s="410">
        <v>115.56931231209361</v>
      </c>
      <c r="T11" s="410">
        <v>111.52965327177054</v>
      </c>
      <c r="U11" s="410">
        <v>107.48999423144748</v>
      </c>
      <c r="V11" s="371"/>
      <c r="W11" s="371"/>
      <c r="X11" s="371"/>
      <c r="Y11" s="371"/>
      <c r="Z11" s="371"/>
      <c r="AA11" s="371"/>
      <c r="AB11" s="371"/>
      <c r="AC11" s="371"/>
      <c r="AD11" s="371"/>
      <c r="AE11" s="371"/>
      <c r="AF11" s="371"/>
      <c r="AG11" s="371"/>
      <c r="AH11" s="371"/>
      <c r="AJ11" s="385">
        <v>0.08</v>
      </c>
    </row>
    <row r="12" spans="2:59" s="385" customFormat="1" x14ac:dyDescent="0.2">
      <c r="B12" s="409"/>
      <c r="C12" s="388"/>
      <c r="D12" s="410"/>
      <c r="E12" s="410"/>
      <c r="F12" s="410"/>
      <c r="G12" s="410"/>
      <c r="H12" s="410"/>
      <c r="I12" s="389"/>
      <c r="J12" s="371"/>
      <c r="K12" s="390"/>
      <c r="L12" s="381"/>
      <c r="M12" s="389"/>
      <c r="N12" s="381"/>
      <c r="O12" s="381"/>
      <c r="P12" s="371"/>
      <c r="Q12" s="371"/>
      <c r="R12" s="371"/>
      <c r="S12" s="371"/>
      <c r="T12" s="371"/>
      <c r="U12" s="371"/>
      <c r="V12" s="371"/>
      <c r="W12" s="371"/>
      <c r="X12" s="371"/>
      <c r="Y12" s="371"/>
      <c r="Z12" s="371"/>
      <c r="AA12" s="371"/>
      <c r="AB12" s="371"/>
      <c r="AC12" s="371"/>
      <c r="AD12" s="371"/>
      <c r="AE12" s="371"/>
      <c r="AF12" s="371"/>
      <c r="AG12" s="371"/>
      <c r="AH12" s="371"/>
      <c r="AJ12" s="385">
        <v>0.09</v>
      </c>
    </row>
    <row r="13" spans="2:59" s="385" customFormat="1" x14ac:dyDescent="0.2">
      <c r="B13" s="425" t="s">
        <v>215</v>
      </c>
      <c r="C13" s="426"/>
      <c r="D13" s="427">
        <f>IF($S$6=0,0,Q11*0.1)</f>
        <v>12.466770740616697</v>
      </c>
      <c r="E13" s="427">
        <f>IF($S$6=0,0,R11*0.1)</f>
        <v>11.96089713524167</v>
      </c>
      <c r="F13" s="427">
        <f>IF($S$6=0,0,S11*0.1)</f>
        <v>11.556931231209361</v>
      </c>
      <c r="G13" s="427">
        <f>IF($S$6=0,0,T11*0.1-Q11*0.1)</f>
        <v>-1.313805413439642</v>
      </c>
      <c r="H13" s="427">
        <f>IF($S$6=0,0,U11*0.1-R11*0.1)</f>
        <v>-1.2118977120969205</v>
      </c>
      <c r="I13" s="389"/>
      <c r="J13" s="371"/>
      <c r="K13" s="390"/>
      <c r="L13" s="381"/>
      <c r="M13" s="389"/>
      <c r="N13" s="381"/>
      <c r="O13" s="381"/>
      <c r="P13" s="371"/>
      <c r="Q13" s="392">
        <v>2020</v>
      </c>
      <c r="R13" s="392">
        <v>2021</v>
      </c>
      <c r="S13" s="392">
        <v>2022</v>
      </c>
      <c r="T13" s="392">
        <v>2023</v>
      </c>
      <c r="U13" s="392">
        <v>2024</v>
      </c>
      <c r="V13" s="371"/>
      <c r="W13" s="371"/>
      <c r="X13" s="371"/>
      <c r="Y13" s="371"/>
      <c r="Z13" s="371"/>
      <c r="AA13" s="371"/>
      <c r="AB13" s="371"/>
      <c r="AC13" s="371"/>
      <c r="AD13" s="371"/>
      <c r="AE13" s="371"/>
      <c r="AF13" s="371"/>
      <c r="AG13" s="371"/>
      <c r="AH13" s="371"/>
      <c r="AJ13" s="385">
        <v>0.1</v>
      </c>
    </row>
    <row r="14" spans="2:59" s="385" customFormat="1" x14ac:dyDescent="0.2">
      <c r="B14" s="409"/>
      <c r="C14" s="388"/>
      <c r="D14" s="428">
        <f>(D9+D10)/(D7+D13)</f>
        <v>0.2321527324370431</v>
      </c>
      <c r="E14" s="428">
        <f>(E9+E10)/(E7+E13)</f>
        <v>0.23452648388785927</v>
      </c>
      <c r="F14" s="428">
        <f>(F9+F10)/(F7+F13)</f>
        <v>0.23469335443422815</v>
      </c>
      <c r="G14" s="428">
        <f>(G9+G10)/(G7+G13)</f>
        <v>0.25973615281329732</v>
      </c>
      <c r="H14" s="428">
        <f>(H9+H10)/(H7+H13)</f>
        <v>0.26176946412303331</v>
      </c>
      <c r="I14" s="389"/>
      <c r="J14" s="371"/>
      <c r="K14" s="390"/>
      <c r="L14" s="381"/>
      <c r="M14" s="389"/>
      <c r="N14" s="381"/>
      <c r="O14" s="381"/>
      <c r="P14" s="371"/>
      <c r="Q14" s="398">
        <v>18.09</v>
      </c>
      <c r="R14" s="398">
        <v>18.100000000000001</v>
      </c>
      <c r="S14" s="398">
        <v>18.82</v>
      </c>
      <c r="T14" s="398">
        <v>19.86</v>
      </c>
      <c r="U14" s="398">
        <v>20.88</v>
      </c>
      <c r="V14" s="371"/>
      <c r="W14" s="371"/>
      <c r="X14" s="371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J14" s="385">
        <v>0</v>
      </c>
    </row>
    <row r="15" spans="2:59" s="385" customFormat="1" x14ac:dyDescent="0.2">
      <c r="B15" s="429" t="s">
        <v>216</v>
      </c>
      <c r="C15" s="430"/>
      <c r="D15" s="431">
        <f>D7-D8-D9-D10+D13</f>
        <v>111.74499198144457</v>
      </c>
      <c r="E15" s="431">
        <f>E7-E8-E9-E10+E13</f>
        <v>106.77760168896849</v>
      </c>
      <c r="F15" s="431">
        <f>F7-F8-F9-F10+F13</f>
        <v>102.23195770549069</v>
      </c>
      <c r="G15" s="431">
        <f>G7-G8-G9-G10+G13</f>
        <v>85.081048684319441</v>
      </c>
      <c r="H15" s="431">
        <f>H7-H8-H9-H10+H13</f>
        <v>81.423886552137105</v>
      </c>
      <c r="I15" s="389"/>
      <c r="J15" s="371"/>
      <c r="K15" s="390"/>
      <c r="L15" s="381"/>
      <c r="M15" s="389"/>
      <c r="N15" s="381"/>
      <c r="O15" s="381"/>
      <c r="P15" s="371"/>
      <c r="Q15" s="371"/>
      <c r="R15" s="371"/>
      <c r="S15" s="371"/>
      <c r="T15" s="371"/>
      <c r="U15" s="371"/>
      <c r="V15" s="371"/>
      <c r="W15" s="371"/>
      <c r="X15" s="371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J15" s="385">
        <f>AJ4*$AI$4</f>
        <v>-0.01</v>
      </c>
    </row>
    <row r="16" spans="2:59" s="385" customFormat="1" x14ac:dyDescent="0.2">
      <c r="B16" s="432" t="s">
        <v>217</v>
      </c>
      <c r="C16" s="430"/>
      <c r="D16" s="433">
        <v>7.5</v>
      </c>
      <c r="E16" s="433">
        <v>7.5</v>
      </c>
      <c r="F16" s="433">
        <v>7.5</v>
      </c>
      <c r="G16" s="433">
        <v>7.5</v>
      </c>
      <c r="H16" s="433">
        <v>7.5</v>
      </c>
      <c r="I16" s="389"/>
      <c r="J16" s="371"/>
      <c r="K16" s="390"/>
      <c r="L16" s="381"/>
      <c r="M16" s="389"/>
      <c r="N16" s="381"/>
      <c r="O16" s="434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371"/>
      <c r="AB16" s="371"/>
      <c r="AC16" s="371"/>
      <c r="AD16" s="371"/>
      <c r="AE16" s="371"/>
      <c r="AF16" s="371"/>
      <c r="AG16" s="371"/>
      <c r="AH16" s="371"/>
      <c r="AJ16" s="385">
        <f t="shared" ref="AJ16:AJ24" si="0">AJ5*$AI$4</f>
        <v>-0.02</v>
      </c>
    </row>
    <row r="17" spans="2:36" s="385" customFormat="1" x14ac:dyDescent="0.2">
      <c r="B17" s="432" t="s">
        <v>218</v>
      </c>
      <c r="C17" s="430"/>
      <c r="D17" s="433">
        <f>D15-D16</f>
        <v>104.24499198144457</v>
      </c>
      <c r="E17" s="433">
        <f>E15-E16</f>
        <v>99.277601688968488</v>
      </c>
      <c r="F17" s="433">
        <f>F15-F16</f>
        <v>94.731957705490686</v>
      </c>
      <c r="G17" s="433">
        <f>G15-G16</f>
        <v>77.581048684319441</v>
      </c>
      <c r="H17" s="433">
        <f>H15-H16</f>
        <v>73.923886552137105</v>
      </c>
      <c r="I17" s="389"/>
      <c r="J17" s="371"/>
      <c r="K17" s="390"/>
      <c r="L17" s="381"/>
      <c r="M17" s="389"/>
      <c r="N17" s="381"/>
      <c r="O17" s="435"/>
      <c r="P17" s="371"/>
      <c r="S17" s="371"/>
      <c r="T17" s="371"/>
      <c r="U17" s="371"/>
      <c r="V17" s="371"/>
      <c r="W17" s="371"/>
      <c r="X17" s="371"/>
      <c r="Y17" s="371"/>
      <c r="Z17" s="371"/>
      <c r="AA17" s="371"/>
      <c r="AB17" s="371"/>
      <c r="AC17" s="371"/>
      <c r="AD17" s="371"/>
      <c r="AE17" s="371"/>
      <c r="AF17" s="371"/>
      <c r="AG17" s="371"/>
      <c r="AH17" s="371"/>
      <c r="AJ17" s="385">
        <f t="shared" si="0"/>
        <v>-0.03</v>
      </c>
    </row>
    <row r="18" spans="2:36" s="385" customFormat="1" x14ac:dyDescent="0.2">
      <c r="B18" s="436" t="s">
        <v>219</v>
      </c>
      <c r="C18" s="437">
        <v>0</v>
      </c>
      <c r="D18" s="438">
        <f>D15*D6</f>
        <v>1977.0037214346773</v>
      </c>
      <c r="E18" s="438">
        <f>E15*E6</f>
        <v>1931.4261788846629</v>
      </c>
      <c r="F18" s="438">
        <f>F15*F6</f>
        <v>1918.1424659381767</v>
      </c>
      <c r="G18" s="438">
        <f>G15*G6</f>
        <v>1655.4998865340272</v>
      </c>
      <c r="H18" s="438">
        <f>H15*H6</f>
        <v>1663.8755467081658</v>
      </c>
      <c r="I18" s="389"/>
      <c r="J18" s="371"/>
      <c r="K18" s="390"/>
      <c r="L18" s="381"/>
      <c r="M18" s="389"/>
      <c r="N18" s="381"/>
      <c r="O18" s="38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371"/>
      <c r="AB18" s="371"/>
      <c r="AC18" s="371"/>
      <c r="AD18" s="371"/>
      <c r="AE18" s="371"/>
      <c r="AF18" s="371"/>
      <c r="AG18" s="371"/>
      <c r="AH18" s="371"/>
      <c r="AJ18" s="385">
        <f t="shared" si="0"/>
        <v>-0.04</v>
      </c>
    </row>
    <row r="19" spans="2:36" s="385" customFormat="1" x14ac:dyDescent="0.2">
      <c r="B19" s="387" t="s">
        <v>220</v>
      </c>
      <c r="C19" s="439">
        <f t="shared" ref="C19:H19" si="1">C18/4</f>
        <v>0</v>
      </c>
      <c r="D19" s="439">
        <f t="shared" si="1"/>
        <v>494.25093035866934</v>
      </c>
      <c r="E19" s="439">
        <f t="shared" si="1"/>
        <v>482.85654472116573</v>
      </c>
      <c r="F19" s="439">
        <f t="shared" si="1"/>
        <v>479.53561648454416</v>
      </c>
      <c r="G19" s="439">
        <f t="shared" si="1"/>
        <v>413.87497163350679</v>
      </c>
      <c r="H19" s="440">
        <f t="shared" si="1"/>
        <v>415.96888667704144</v>
      </c>
      <c r="I19" s="389"/>
      <c r="J19" s="371"/>
      <c r="K19" s="390"/>
      <c r="L19" s="381"/>
      <c r="M19" s="389"/>
      <c r="N19" s="381"/>
      <c r="O19" s="381"/>
      <c r="P19" s="371"/>
      <c r="Q19" s="371"/>
      <c r="R19" s="371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/>
      <c r="AE19" s="371"/>
      <c r="AF19" s="371"/>
      <c r="AG19" s="371"/>
      <c r="AH19" s="371"/>
      <c r="AJ19" s="385">
        <f t="shared" si="0"/>
        <v>-0.05</v>
      </c>
    </row>
    <row r="20" spans="2:36" s="385" customFormat="1" x14ac:dyDescent="0.2">
      <c r="B20" s="387"/>
      <c r="C20" s="388"/>
      <c r="D20" s="388"/>
      <c r="E20" s="388"/>
      <c r="F20" s="388"/>
      <c r="G20" s="388"/>
      <c r="H20" s="388"/>
      <c r="I20" s="389"/>
      <c r="J20" s="371"/>
      <c r="K20" s="390"/>
      <c r="L20" s="381"/>
      <c r="M20" s="389"/>
      <c r="N20" s="381"/>
      <c r="O20" s="381"/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/>
      <c r="AE20" s="371"/>
      <c r="AF20" s="371"/>
      <c r="AG20" s="371"/>
      <c r="AH20" s="371"/>
      <c r="AJ20" s="385">
        <f t="shared" si="0"/>
        <v>-0.06</v>
      </c>
    </row>
    <row r="21" spans="2:36" s="385" customFormat="1" x14ac:dyDescent="0.2">
      <c r="B21" s="441" t="s">
        <v>221</v>
      </c>
      <c r="C21" s="442" t="s">
        <v>222</v>
      </c>
      <c r="D21" s="442" t="s">
        <v>223</v>
      </c>
      <c r="E21" s="442" t="s">
        <v>224</v>
      </c>
      <c r="F21" s="442" t="s">
        <v>225</v>
      </c>
      <c r="G21" s="442" t="s">
        <v>226</v>
      </c>
      <c r="H21" s="388"/>
      <c r="I21" s="389"/>
      <c r="J21" s="371"/>
      <c r="K21" s="390"/>
      <c r="L21" s="381"/>
      <c r="M21" s="389"/>
      <c r="N21" s="381"/>
      <c r="O21" s="381"/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/>
      <c r="AE21" s="371"/>
      <c r="AF21" s="371"/>
      <c r="AG21" s="371"/>
      <c r="AH21" s="371"/>
      <c r="AJ21" s="385">
        <f t="shared" si="0"/>
        <v>-7.0000000000000007E-2</v>
      </c>
    </row>
    <row r="22" spans="2:36" s="385" customFormat="1" x14ac:dyDescent="0.2">
      <c r="B22" s="441" t="s">
        <v>269</v>
      </c>
      <c r="C22" s="443">
        <f>(C19*3)+(D19*1)</f>
        <v>494.25093035866934</v>
      </c>
      <c r="D22" s="444">
        <f>(D19*3)+(E19*1)</f>
        <v>1965.6093357971736</v>
      </c>
      <c r="E22" s="444">
        <f>(E19*3)+(F19*1)</f>
        <v>1928.1052506480412</v>
      </c>
      <c r="F22" s="444">
        <f>(F19*3)+(G19*1)</f>
        <v>1852.4818210871395</v>
      </c>
      <c r="G22" s="444">
        <f>(G19*3)+(H19*1)</f>
        <v>1657.5938015775616</v>
      </c>
      <c r="H22" s="388"/>
      <c r="I22" s="389"/>
      <c r="J22" s="371"/>
      <c r="K22" s="390"/>
      <c r="L22" s="381"/>
      <c r="M22" s="389"/>
      <c r="N22" s="381"/>
      <c r="O22" s="381"/>
      <c r="P22" s="371"/>
      <c r="Q22" s="371"/>
      <c r="R22" s="371"/>
      <c r="S22" s="371"/>
      <c r="T22" s="371"/>
      <c r="U22" s="371"/>
      <c r="V22" s="371"/>
      <c r="W22" s="371"/>
      <c r="X22" s="371"/>
      <c r="Y22" s="371"/>
      <c r="Z22" s="371"/>
      <c r="AA22" s="371"/>
      <c r="AB22" s="371"/>
      <c r="AC22" s="371"/>
      <c r="AD22" s="371"/>
      <c r="AE22" s="371"/>
      <c r="AF22" s="371"/>
      <c r="AG22" s="371"/>
      <c r="AH22" s="371"/>
      <c r="AJ22" s="385">
        <f t="shared" si="0"/>
        <v>-0.08</v>
      </c>
    </row>
    <row r="23" spans="2:36" s="385" customFormat="1" ht="12.75" thickBot="1" x14ac:dyDescent="0.25">
      <c r="B23" s="445" t="s">
        <v>228</v>
      </c>
      <c r="C23" s="446"/>
      <c r="D23" s="446">
        <f>D22*0.85</f>
        <v>1670.7679354275974</v>
      </c>
      <c r="E23" s="446">
        <f>E22*0.85</f>
        <v>1638.889463050835</v>
      </c>
      <c r="F23" s="446">
        <f>F22*0.85</f>
        <v>1574.6095479240685</v>
      </c>
      <c r="G23" s="446">
        <f>G22*0.85</f>
        <v>1408.9547313409273</v>
      </c>
      <c r="H23" s="447"/>
      <c r="I23" s="448"/>
      <c r="J23" s="371"/>
      <c r="K23" s="449"/>
      <c r="L23" s="450"/>
      <c r="M23" s="448"/>
      <c r="N23" s="381"/>
      <c r="O23" s="381"/>
      <c r="P23" s="371"/>
      <c r="Q23" s="371"/>
      <c r="R23" s="371"/>
      <c r="S23" s="371"/>
      <c r="T23" s="371"/>
      <c r="U23" s="371"/>
      <c r="V23" s="371"/>
      <c r="W23" s="371"/>
      <c r="X23" s="371"/>
      <c r="Y23" s="371"/>
      <c r="Z23" s="371"/>
      <c r="AA23" s="371"/>
      <c r="AB23" s="371"/>
      <c r="AC23" s="371"/>
      <c r="AD23" s="371"/>
      <c r="AE23" s="371"/>
      <c r="AF23" s="371"/>
      <c r="AG23" s="371"/>
      <c r="AH23" s="371"/>
      <c r="AJ23" s="385">
        <f t="shared" si="0"/>
        <v>-0.09</v>
      </c>
    </row>
    <row r="24" spans="2:36" s="371" customFormat="1" ht="12.75" thickBot="1" x14ac:dyDescent="0.25">
      <c r="B24" s="451"/>
      <c r="I24" s="452"/>
      <c r="K24" s="381"/>
      <c r="L24" s="381"/>
      <c r="M24" s="381"/>
      <c r="N24" s="381"/>
      <c r="O24" s="381"/>
      <c r="Q24" s="371" t="s">
        <v>229</v>
      </c>
      <c r="AJ24" s="385">
        <f t="shared" si="0"/>
        <v>-0.1</v>
      </c>
    </row>
    <row r="25" spans="2:36" s="371" customFormat="1" x14ac:dyDescent="0.2">
      <c r="B25" s="453" t="s">
        <v>230</v>
      </c>
      <c r="C25" s="454"/>
      <c r="D25" s="455">
        <f>D11*D6</f>
        <v>635.79903013841749</v>
      </c>
      <c r="E25" s="455">
        <f>E11*E6</f>
        <v>629.56009154228252</v>
      </c>
      <c r="F25" s="455">
        <f>F11*F6</f>
        <v>625.78862195853321</v>
      </c>
      <c r="G25" s="455">
        <f>G11*G6</f>
        <v>623.42127132137659</v>
      </c>
      <c r="H25" s="455">
        <f>H11*H6</f>
        <v>633.32839948462936</v>
      </c>
      <c r="I25" s="456"/>
      <c r="K25" s="457"/>
      <c r="L25" s="458">
        <v>478.08594282177398</v>
      </c>
      <c r="M25" s="458">
        <v>1890.8332140919124</v>
      </c>
      <c r="N25" s="458">
        <v>1821.8226367620723</v>
      </c>
      <c r="O25" s="458">
        <v>1809.4767628511495</v>
      </c>
      <c r="P25" s="458">
        <v>1813.6247386583286</v>
      </c>
      <c r="Q25" s="459">
        <f>AVERAGE(L25:P25)</f>
        <v>1562.7686590370474</v>
      </c>
      <c r="R25" s="460" t="s">
        <v>231</v>
      </c>
      <c r="S25" s="460"/>
      <c r="T25" s="460"/>
      <c r="U25" s="460"/>
      <c r="V25" s="460"/>
    </row>
    <row r="26" spans="2:36" s="371" customFormat="1" x14ac:dyDescent="0.2">
      <c r="B26" s="387" t="s">
        <v>232</v>
      </c>
      <c r="C26" s="461"/>
      <c r="D26" s="462">
        <f>D25/4</f>
        <v>158.94975753460437</v>
      </c>
      <c r="E26" s="462">
        <f>E25/4</f>
        <v>157.39002288557063</v>
      </c>
      <c r="F26" s="462">
        <f>F25/4</f>
        <v>156.4471554896333</v>
      </c>
      <c r="G26" s="462">
        <f>G25/4</f>
        <v>155.85531783034415</v>
      </c>
      <c r="H26" s="462">
        <f>H25/4</f>
        <v>158.33209987115734</v>
      </c>
      <c r="I26" s="463"/>
      <c r="K26" s="457"/>
      <c r="L26" s="458">
        <f>L25-C35</f>
        <v>29.100187260129928</v>
      </c>
      <c r="M26" s="458">
        <f>M25-D35</f>
        <v>114.70054726962712</v>
      </c>
      <c r="N26" s="458">
        <f>N25-E35</f>
        <v>107.40048513798502</v>
      </c>
      <c r="O26" s="458">
        <f>O25-F35</f>
        <v>99.411154705270746</v>
      </c>
      <c r="P26" s="458">
        <f>P25-G35</f>
        <v>93.698108231433025</v>
      </c>
      <c r="Q26" s="459">
        <f>AVERAGE(L26:P26)</f>
        <v>88.862096520889168</v>
      </c>
      <c r="R26" s="460" t="s">
        <v>233</v>
      </c>
      <c r="S26" s="460"/>
      <c r="T26" s="460"/>
      <c r="U26" s="460"/>
      <c r="V26" s="460"/>
    </row>
    <row r="27" spans="2:36" s="371" customFormat="1" x14ac:dyDescent="0.2">
      <c r="B27" s="387"/>
      <c r="C27" s="464">
        <f>C26/4</f>
        <v>0</v>
      </c>
      <c r="D27" s="462"/>
      <c r="E27" s="462"/>
      <c r="F27" s="462"/>
      <c r="G27" s="462"/>
      <c r="H27" s="462"/>
      <c r="I27" s="463"/>
      <c r="K27" s="457"/>
      <c r="L27" s="458">
        <v>534.46691349621301</v>
      </c>
      <c r="M27" s="458">
        <v>2114.0991856521982</v>
      </c>
      <c r="N27" s="458">
        <v>2038.5671768158179</v>
      </c>
      <c r="O27" s="458">
        <v>1966.0798033019419</v>
      </c>
      <c r="P27" s="458">
        <v>1787.7295009679995</v>
      </c>
      <c r="Q27" s="459">
        <f>AVERAGE(L27:P27)</f>
        <v>1688.1885160468341</v>
      </c>
      <c r="R27" s="460" t="s">
        <v>234</v>
      </c>
      <c r="S27" s="460"/>
      <c r="T27" s="460"/>
      <c r="U27" s="460"/>
      <c r="V27" s="460"/>
    </row>
    <row r="28" spans="2:36" s="371" customFormat="1" x14ac:dyDescent="0.2">
      <c r="B28" s="387" t="s">
        <v>221</v>
      </c>
      <c r="C28" s="461"/>
      <c r="D28" s="461"/>
      <c r="E28" s="461"/>
      <c r="F28" s="461"/>
      <c r="G28" s="461"/>
      <c r="H28" s="461"/>
      <c r="I28" s="389"/>
      <c r="K28" s="457"/>
      <c r="L28" s="458">
        <f>L25-L27</f>
        <v>-56.380970674439027</v>
      </c>
      <c r="M28" s="458">
        <f>M25-M27</f>
        <v>-223.26597156028583</v>
      </c>
      <c r="N28" s="458">
        <f>N25-N27</f>
        <v>-216.7445400537456</v>
      </c>
      <c r="O28" s="458">
        <f>O25-O27</f>
        <v>-156.60304045079238</v>
      </c>
      <c r="P28" s="458">
        <f>P25-P27</f>
        <v>25.895237690329168</v>
      </c>
      <c r="Q28" s="459">
        <f>AVERAGE(L28:P28)</f>
        <v>-125.41985700978674</v>
      </c>
      <c r="R28" s="460" t="s">
        <v>235</v>
      </c>
      <c r="S28" s="460"/>
      <c r="T28" s="460"/>
      <c r="U28" s="460"/>
      <c r="V28" s="460"/>
    </row>
    <row r="29" spans="2:36" s="371" customFormat="1" ht="12.75" thickBot="1" x14ac:dyDescent="0.25">
      <c r="B29" s="465" t="s">
        <v>227</v>
      </c>
      <c r="C29" s="466">
        <f>(C26*3)+(D26*1)</f>
        <v>158.94975753460437</v>
      </c>
      <c r="D29" s="466">
        <f>(D26*3)+(E26*1)</f>
        <v>634.23929548938372</v>
      </c>
      <c r="E29" s="466">
        <f>(E26*3)+(F26*1)</f>
        <v>628.61722414634528</v>
      </c>
      <c r="F29" s="466">
        <f>(F26*3)+(G26*1)</f>
        <v>625.19678429924409</v>
      </c>
      <c r="G29" s="466">
        <f>(G26*3)+(H26*1)</f>
        <v>625.89805336218978</v>
      </c>
      <c r="H29" s="467"/>
      <c r="I29" s="468"/>
      <c r="K29" s="457"/>
      <c r="L29" s="458">
        <f>L26+L28</f>
        <v>-27.280783414309099</v>
      </c>
      <c r="M29" s="458">
        <f>M26+M28</f>
        <v>-108.56542429065871</v>
      </c>
      <c r="N29" s="458">
        <f>N26+N28</f>
        <v>-109.34405491576058</v>
      </c>
      <c r="O29" s="458">
        <f>O26+O28</f>
        <v>-57.191885745521631</v>
      </c>
      <c r="P29" s="458">
        <f>P26+P28</f>
        <v>119.59334592176219</v>
      </c>
      <c r="Q29" s="459">
        <f>AVERAGE(L29:P29)</f>
        <v>-36.557760488897564</v>
      </c>
      <c r="R29" s="460" t="s">
        <v>236</v>
      </c>
      <c r="S29" s="460"/>
      <c r="T29" s="460"/>
      <c r="U29" s="460"/>
      <c r="V29" s="460"/>
    </row>
    <row r="30" spans="2:36" s="371" customFormat="1" x14ac:dyDescent="0.2">
      <c r="B30" s="402"/>
      <c r="C30" s="469"/>
      <c r="D30" s="469"/>
      <c r="E30" s="469"/>
      <c r="F30" s="469"/>
      <c r="G30" s="469"/>
      <c r="H30" s="461"/>
      <c r="I30" s="381"/>
      <c r="K30" s="457"/>
      <c r="L30" s="458"/>
      <c r="M30" s="458"/>
      <c r="N30" s="458"/>
      <c r="O30" s="458"/>
      <c r="P30" s="458"/>
      <c r="Q30" s="460"/>
      <c r="R30" s="460"/>
      <c r="S30" s="460"/>
      <c r="T30" s="460"/>
      <c r="U30" s="460"/>
      <c r="V30" s="460"/>
    </row>
    <row r="31" spans="2:36" s="371" customFormat="1" x14ac:dyDescent="0.2">
      <c r="B31" s="402" t="s">
        <v>237</v>
      </c>
      <c r="C31" s="462"/>
      <c r="D31" s="462"/>
      <c r="E31" s="462"/>
      <c r="F31" s="462"/>
      <c r="G31" s="462"/>
      <c r="H31" s="461"/>
      <c r="I31" s="381"/>
      <c r="K31" s="457"/>
      <c r="L31" s="470">
        <f>D10*D$6</f>
        <v>113.84045589271172</v>
      </c>
      <c r="M31" s="470">
        <f>E10*E$6</f>
        <v>110.04805856265286</v>
      </c>
      <c r="N31" s="470">
        <f>F10*F$6</f>
        <v>101.57145881909713</v>
      </c>
      <c r="O31" s="470">
        <f>G10*G$6</f>
        <v>94.984698473298735</v>
      </c>
      <c r="P31" s="470">
        <f>H10*H$6</f>
        <v>88.879256136419329</v>
      </c>
      <c r="Q31" s="460"/>
      <c r="R31" s="460"/>
      <c r="S31" s="460"/>
      <c r="T31" s="460"/>
      <c r="U31" s="460"/>
      <c r="V31" s="460"/>
    </row>
    <row r="32" spans="2:36" s="371" customFormat="1" x14ac:dyDescent="0.2">
      <c r="B32" s="1689"/>
      <c r="C32" s="1690" t="s">
        <v>238</v>
      </c>
      <c r="D32" s="1690"/>
      <c r="E32" s="1690"/>
      <c r="F32" s="1690"/>
      <c r="G32" s="1690"/>
      <c r="H32" s="538"/>
      <c r="I32" s="381"/>
      <c r="K32" s="457"/>
      <c r="L32" s="470">
        <f>D13*D6</f>
        <v>220.56337122083116</v>
      </c>
      <c r="M32" s="470">
        <f>E13*E6</f>
        <v>216.35239492683812</v>
      </c>
      <c r="N32" s="470">
        <f>F13*F6</f>
        <v>216.83865855695396</v>
      </c>
      <c r="O32" s="470">
        <f>G13*G6</f>
        <v>-25.563915190410366</v>
      </c>
      <c r="P32" s="470">
        <f>H13*H6</f>
        <v>-24.764808628712085</v>
      </c>
      <c r="Q32" s="460"/>
      <c r="R32" s="460"/>
      <c r="S32" s="460"/>
      <c r="T32" s="460"/>
      <c r="U32" s="460"/>
      <c r="V32" s="460"/>
    </row>
    <row r="33" spans="2:22" s="371" customFormat="1" x14ac:dyDescent="0.2">
      <c r="B33" s="1689"/>
      <c r="C33" s="632" t="s">
        <v>239</v>
      </c>
      <c r="D33" s="632" t="s">
        <v>240</v>
      </c>
      <c r="E33" s="632" t="s">
        <v>241</v>
      </c>
      <c r="F33" s="632" t="s">
        <v>242</v>
      </c>
      <c r="G33" s="632" t="s">
        <v>243</v>
      </c>
      <c r="H33" s="540" t="s">
        <v>244</v>
      </c>
      <c r="I33" s="381"/>
      <c r="K33" s="457"/>
      <c r="L33" s="470">
        <f>L32-L31</f>
        <v>106.72291532811944</v>
      </c>
      <c r="M33" s="470">
        <f>M32-M31</f>
        <v>106.30433636418526</v>
      </c>
      <c r="N33" s="470">
        <f>N32-N31</f>
        <v>115.26719973785683</v>
      </c>
      <c r="O33" s="470">
        <f>O32-O31</f>
        <v>-120.54861366370911</v>
      </c>
      <c r="P33" s="470">
        <f>P32-P31</f>
        <v>-113.64406476513142</v>
      </c>
      <c r="Q33" s="460"/>
      <c r="R33" s="460"/>
      <c r="S33" s="460"/>
      <c r="T33" s="460"/>
      <c r="U33" s="460"/>
      <c r="V33" s="460"/>
    </row>
    <row r="34" spans="2:22" s="371" customFormat="1" x14ac:dyDescent="0.2">
      <c r="B34" s="541" t="s">
        <v>245</v>
      </c>
      <c r="C34" s="542">
        <v>478</v>
      </c>
      <c r="D34" s="542">
        <v>1891</v>
      </c>
      <c r="E34" s="542">
        <v>1822</v>
      </c>
      <c r="F34" s="542">
        <v>1809</v>
      </c>
      <c r="G34" s="543">
        <v>1819</v>
      </c>
      <c r="H34" s="544">
        <f>SUM(C34:G34)</f>
        <v>7819</v>
      </c>
      <c r="I34" s="381"/>
      <c r="K34" s="471">
        <f>AVERAGE(C34:G34)</f>
        <v>1563.8</v>
      </c>
      <c r="L34" s="457"/>
      <c r="M34" s="457"/>
      <c r="N34" s="457"/>
      <c r="O34" s="457"/>
      <c r="P34" s="460"/>
      <c r="Q34" s="460"/>
      <c r="R34" s="460"/>
      <c r="S34" s="460"/>
      <c r="T34" s="460"/>
      <c r="U34" s="460"/>
      <c r="V34" s="460"/>
    </row>
    <row r="35" spans="2:22" s="371" customFormat="1" x14ac:dyDescent="0.2">
      <c r="B35" s="541" t="s">
        <v>246</v>
      </c>
      <c r="C35" s="545">
        <v>448.98575556164405</v>
      </c>
      <c r="D35" s="545">
        <v>1776.1326668222853</v>
      </c>
      <c r="E35" s="545">
        <v>1714.4221516240873</v>
      </c>
      <c r="F35" s="545">
        <v>1710.0656081458787</v>
      </c>
      <c r="G35" s="545">
        <v>1719.9266304268956</v>
      </c>
      <c r="H35" s="544">
        <f>SUM(C35:G35)</f>
        <v>7369.532812580791</v>
      </c>
      <c r="I35" s="381"/>
      <c r="K35" s="471">
        <f>AVERAGE(C35:G35)</f>
        <v>1473.9065625161581</v>
      </c>
      <c r="L35" s="457"/>
      <c r="M35" s="457"/>
      <c r="N35" s="457"/>
      <c r="O35" s="457"/>
      <c r="P35" s="460"/>
      <c r="Q35" s="460"/>
      <c r="R35" s="460"/>
      <c r="S35" s="460"/>
      <c r="T35" s="460"/>
      <c r="U35" s="460"/>
      <c r="V35" s="460"/>
    </row>
    <row r="36" spans="2:22" s="371" customFormat="1" ht="24" x14ac:dyDescent="0.2">
      <c r="B36" s="541" t="s">
        <v>271</v>
      </c>
      <c r="C36" s="545">
        <f>'[2]Proceeds Update June 2016'!C22</f>
        <v>505.36672623608308</v>
      </c>
      <c r="D36" s="545">
        <f>'[2]Proceeds Update June 2016'!D22</f>
        <v>1999.2688263508317</v>
      </c>
      <c r="E36" s="545">
        <f>'[2]Proceeds Update June 2016'!E22</f>
        <v>1930.507303932081</v>
      </c>
      <c r="F36" s="545">
        <f>'[2]Proceeds Update June 2016'!F22</f>
        <v>1865.4314897306472</v>
      </c>
      <c r="G36" s="545">
        <f>'[2]Proceeds Update June 2016'!G22</f>
        <v>1692.3149079550935</v>
      </c>
      <c r="H36" s="544">
        <f>SUM(C36:G36)</f>
        <v>7992.8892542047361</v>
      </c>
      <c r="I36" s="381"/>
      <c r="K36" s="471">
        <f>AVERAGE(C36:G36)</f>
        <v>1598.5778508409471</v>
      </c>
      <c r="L36" s="457"/>
      <c r="M36" s="457"/>
      <c r="N36" s="457"/>
      <c r="O36" s="457"/>
      <c r="P36" s="460"/>
      <c r="Q36" s="460"/>
      <c r="R36" s="460"/>
      <c r="S36" s="460"/>
      <c r="T36" s="460"/>
      <c r="U36" s="460"/>
      <c r="V36" s="460"/>
    </row>
    <row r="37" spans="2:22" s="371" customFormat="1" ht="24" x14ac:dyDescent="0.2">
      <c r="B37" s="541" t="s">
        <v>272</v>
      </c>
      <c r="C37" s="545">
        <f>C22</f>
        <v>494.25093035866934</v>
      </c>
      <c r="D37" s="545">
        <f>D22</f>
        <v>1965.6093357971736</v>
      </c>
      <c r="E37" s="545">
        <f>E22</f>
        <v>1928.1052506480412</v>
      </c>
      <c r="F37" s="545">
        <f>F22</f>
        <v>1852.4818210871395</v>
      </c>
      <c r="G37" s="545">
        <f>G22</f>
        <v>1657.5938015775616</v>
      </c>
      <c r="H37" s="544">
        <f>SUM(C37:G37)</f>
        <v>7898.0411394685862</v>
      </c>
      <c r="I37" s="381"/>
      <c r="K37" s="471"/>
      <c r="L37" s="457"/>
      <c r="M37" s="457"/>
      <c r="N37" s="457"/>
      <c r="O37" s="457"/>
      <c r="P37" s="460"/>
      <c r="Q37" s="460"/>
      <c r="R37" s="460"/>
      <c r="S37" s="460"/>
      <c r="T37" s="460"/>
      <c r="U37" s="460"/>
      <c r="V37" s="460"/>
    </row>
    <row r="38" spans="2:22" s="371" customFormat="1" x14ac:dyDescent="0.2">
      <c r="B38" s="541" t="s">
        <v>273</v>
      </c>
      <c r="C38" s="546">
        <f t="shared" ref="C38:H38" si="2">(C37-C36)/C36</f>
        <v>-2.1995504057425775E-2</v>
      </c>
      <c r="D38" s="546">
        <f t="shared" si="2"/>
        <v>-1.6835900260144167E-2</v>
      </c>
      <c r="E38" s="546">
        <f t="shared" si="2"/>
        <v>-1.2442601378131204E-3</v>
      </c>
      <c r="F38" s="546">
        <f t="shared" si="2"/>
        <v>-6.9419159667866151E-3</v>
      </c>
      <c r="G38" s="546">
        <f t="shared" si="2"/>
        <v>-2.0516929924990792E-2</v>
      </c>
      <c r="H38" s="547">
        <f t="shared" si="2"/>
        <v>-1.186656185512068E-2</v>
      </c>
      <c r="I38" s="381"/>
      <c r="K38" s="457"/>
      <c r="L38" s="471">
        <f>K34-K35</f>
        <v>89.893437483841808</v>
      </c>
      <c r="M38" s="457"/>
      <c r="N38" s="457"/>
      <c r="O38" s="457"/>
      <c r="P38" s="460"/>
      <c r="Q38" s="460"/>
      <c r="R38" s="460"/>
      <c r="S38" s="460"/>
      <c r="T38" s="460"/>
      <c r="U38" s="460"/>
      <c r="V38" s="460"/>
    </row>
    <row r="39" spans="2:22" s="371" customFormat="1" x14ac:dyDescent="0.2">
      <c r="B39" s="472"/>
      <c r="C39" s="473"/>
      <c r="D39" s="473"/>
      <c r="E39" s="473"/>
      <c r="F39" s="473"/>
      <c r="G39" s="473"/>
      <c r="H39" s="473"/>
      <c r="I39" s="381"/>
      <c r="K39" s="474"/>
      <c r="L39" s="474">
        <f>K34-K36</f>
        <v>-34.777850840947167</v>
      </c>
      <c r="M39" s="474"/>
      <c r="N39" s="474"/>
      <c r="O39" s="474"/>
      <c r="P39" s="474"/>
      <c r="Q39" s="460"/>
      <c r="R39" s="460"/>
      <c r="S39" s="460"/>
      <c r="T39" s="460"/>
      <c r="U39" s="460"/>
      <c r="V39" s="460"/>
    </row>
    <row r="40" spans="2:22" s="371" customFormat="1" x14ac:dyDescent="0.2">
      <c r="B40" s="1689"/>
      <c r="C40" s="1690" t="s">
        <v>249</v>
      </c>
      <c r="D40" s="1690"/>
      <c r="E40" s="1690"/>
      <c r="F40" s="1690"/>
      <c r="G40" s="1690"/>
      <c r="H40" s="538"/>
      <c r="I40" s="381"/>
      <c r="K40" s="381"/>
      <c r="L40" s="381"/>
      <c r="M40" s="381"/>
      <c r="N40" s="381"/>
      <c r="O40" s="381"/>
    </row>
    <row r="41" spans="2:22" s="371" customFormat="1" x14ac:dyDescent="0.2">
      <c r="B41" s="1689"/>
      <c r="C41" s="632" t="s">
        <v>239</v>
      </c>
      <c r="D41" s="632" t="s">
        <v>240</v>
      </c>
      <c r="E41" s="632" t="s">
        <v>241</v>
      </c>
      <c r="F41" s="632" t="s">
        <v>242</v>
      </c>
      <c r="G41" s="632" t="s">
        <v>243</v>
      </c>
      <c r="H41" s="540" t="s">
        <v>244</v>
      </c>
      <c r="I41" s="381"/>
      <c r="K41" s="381"/>
      <c r="L41" s="381"/>
      <c r="M41" s="381"/>
      <c r="N41" s="381"/>
      <c r="O41" s="381"/>
    </row>
    <row r="42" spans="2:22" s="371" customFormat="1" x14ac:dyDescent="0.2">
      <c r="B42" s="541" t="s">
        <v>245</v>
      </c>
      <c r="C42" s="548">
        <f>C167</f>
        <v>133.42438005426965</v>
      </c>
      <c r="D42" s="548">
        <f>D167</f>
        <v>530.23509736987535</v>
      </c>
      <c r="E42" s="548">
        <f>E167</f>
        <v>521.34074184564395</v>
      </c>
      <c r="F42" s="548">
        <f>F167</f>
        <v>529.20369637712315</v>
      </c>
      <c r="G42" s="548">
        <f>G167</f>
        <v>543.59537700241958</v>
      </c>
      <c r="H42" s="544">
        <f>SUM(C42:G42)</f>
        <v>2257.7992926493316</v>
      </c>
      <c r="I42" s="381"/>
      <c r="K42" s="381"/>
      <c r="L42" s="381"/>
      <c r="M42" s="381"/>
      <c r="N42" s="381"/>
      <c r="O42" s="381"/>
    </row>
    <row r="43" spans="2:22" s="371" customFormat="1" x14ac:dyDescent="0.2">
      <c r="B43" s="541" t="s">
        <v>246</v>
      </c>
      <c r="C43" s="545">
        <v>162.5245673143996</v>
      </c>
      <c r="D43" s="545">
        <v>645.06545667124203</v>
      </c>
      <c r="E43" s="545">
        <v>629.40061472938078</v>
      </c>
      <c r="F43" s="545">
        <v>629.85200994841773</v>
      </c>
      <c r="G43" s="545">
        <v>639.00997001532505</v>
      </c>
      <c r="H43" s="544">
        <f>SUM(C43:G43)</f>
        <v>2705.8526186787653</v>
      </c>
      <c r="I43" s="381"/>
      <c r="K43" s="381"/>
      <c r="L43" s="381"/>
      <c r="M43" s="381"/>
      <c r="N43" s="381"/>
      <c r="O43" s="381"/>
    </row>
    <row r="44" spans="2:22" s="371" customFormat="1" ht="24" x14ac:dyDescent="0.2">
      <c r="B44" s="541" t="s">
        <v>271</v>
      </c>
      <c r="C44" s="545">
        <f>'[2]Proceeds Update June 2016'!C29</f>
        <v>162.5245673143996</v>
      </c>
      <c r="D44" s="545">
        <f>'[2]Proceeds Update June 2016'!D29</f>
        <v>645.06545667124203</v>
      </c>
      <c r="E44" s="545">
        <f>'[2]Proceeds Update June 2016'!E29</f>
        <v>629.40061472938078</v>
      </c>
      <c r="F44" s="545">
        <f>'[2]Proceeds Update June 2016'!F29</f>
        <v>629.85200994841773</v>
      </c>
      <c r="G44" s="545">
        <f>'[2]Proceeds Update June 2016'!G29</f>
        <v>639.00997001532505</v>
      </c>
      <c r="H44" s="544">
        <f>SUM(C44:G44)</f>
        <v>2705.8526186787653</v>
      </c>
      <c r="I44" s="381"/>
      <c r="K44" s="475"/>
      <c r="L44" s="381"/>
      <c r="M44" s="476"/>
      <c r="N44" s="381"/>
      <c r="O44" s="381"/>
    </row>
    <row r="45" spans="2:22" s="371" customFormat="1" ht="24" x14ac:dyDescent="0.2">
      <c r="B45" s="541" t="s">
        <v>272</v>
      </c>
      <c r="C45" s="545">
        <f>C29</f>
        <v>158.94975753460437</v>
      </c>
      <c r="D45" s="545">
        <f>D29</f>
        <v>634.23929548938372</v>
      </c>
      <c r="E45" s="545">
        <f>E29</f>
        <v>628.61722414634528</v>
      </c>
      <c r="F45" s="545">
        <f>F29</f>
        <v>625.19678429924409</v>
      </c>
      <c r="G45" s="545">
        <f>G29</f>
        <v>625.89805336218978</v>
      </c>
      <c r="H45" s="544">
        <f>SUM(C45:G45)</f>
        <v>2672.9011148317672</v>
      </c>
      <c r="I45" s="381"/>
      <c r="K45" s="475"/>
      <c r="L45" s="381"/>
      <c r="M45" s="476"/>
      <c r="N45" s="381"/>
      <c r="O45" s="381"/>
    </row>
    <row r="46" spans="2:22" s="371" customFormat="1" x14ac:dyDescent="0.2">
      <c r="B46" s="541" t="s">
        <v>273</v>
      </c>
      <c r="C46" s="546">
        <f t="shared" ref="C46:H46" si="3">(C45-C44)/C44</f>
        <v>-2.1995504057425692E-2</v>
      </c>
      <c r="D46" s="546">
        <f t="shared" si="3"/>
        <v>-1.6783042821305296E-2</v>
      </c>
      <c r="E46" s="546">
        <f t="shared" si="3"/>
        <v>-1.2446612931452682E-3</v>
      </c>
      <c r="F46" s="546">
        <f t="shared" si="3"/>
        <v>-7.3909832399437578E-3</v>
      </c>
      <c r="G46" s="546">
        <f t="shared" si="3"/>
        <v>-2.0519111232052939E-2</v>
      </c>
      <c r="H46" s="547">
        <f t="shared" si="3"/>
        <v>-1.2177863502073482E-2</v>
      </c>
      <c r="I46" s="381"/>
      <c r="K46" s="381"/>
      <c r="L46" s="381"/>
      <c r="M46" s="381"/>
      <c r="N46" s="381"/>
      <c r="O46" s="381"/>
    </row>
    <row r="47" spans="2:22" s="371" customFormat="1" x14ac:dyDescent="0.2">
      <c r="B47" s="477"/>
      <c r="C47" s="478"/>
      <c r="D47" s="478"/>
      <c r="E47" s="478"/>
      <c r="F47" s="478"/>
      <c r="G47" s="478"/>
      <c r="H47" s="477"/>
      <c r="I47" s="381"/>
      <c r="K47" s="381"/>
      <c r="L47" s="381"/>
      <c r="M47" s="381"/>
      <c r="N47" s="381"/>
      <c r="O47" s="381"/>
    </row>
    <row r="48" spans="2:22" s="371" customFormat="1" ht="12.75" thickBot="1" x14ac:dyDescent="0.25">
      <c r="B48" s="479" t="s">
        <v>250</v>
      </c>
      <c r="C48" s="478"/>
      <c r="D48" s="478"/>
      <c r="E48" s="478"/>
      <c r="F48" s="478"/>
      <c r="G48" s="478"/>
      <c r="H48" s="477"/>
      <c r="I48" s="381"/>
      <c r="K48" s="381"/>
      <c r="L48" s="381"/>
      <c r="M48" s="381"/>
      <c r="N48" s="381"/>
      <c r="O48" s="381"/>
    </row>
    <row r="49" spans="2:15" s="371" customFormat="1" ht="12.75" thickBot="1" x14ac:dyDescent="0.25">
      <c r="B49" s="1691"/>
      <c r="C49" s="1693" t="s">
        <v>238</v>
      </c>
      <c r="D49" s="1694"/>
      <c r="E49" s="1694"/>
      <c r="F49" s="1694"/>
      <c r="G49" s="1695"/>
      <c r="H49" s="480"/>
      <c r="I49" s="381"/>
      <c r="K49" s="381"/>
      <c r="L49" s="381"/>
      <c r="M49" s="381"/>
      <c r="N49" s="381"/>
      <c r="O49" s="381"/>
    </row>
    <row r="50" spans="2:15" s="371" customFormat="1" ht="12.75" thickBot="1" x14ac:dyDescent="0.25">
      <c r="B50" s="1692"/>
      <c r="C50" s="633" t="s">
        <v>239</v>
      </c>
      <c r="D50" s="633" t="s">
        <v>240</v>
      </c>
      <c r="E50" s="633" t="s">
        <v>241</v>
      </c>
      <c r="F50" s="633" t="s">
        <v>242</v>
      </c>
      <c r="G50" s="481" t="s">
        <v>243</v>
      </c>
      <c r="H50" s="482" t="s">
        <v>244</v>
      </c>
      <c r="I50" s="381"/>
      <c r="K50" s="381"/>
      <c r="L50" s="381"/>
      <c r="M50" s="381"/>
      <c r="N50" s="381"/>
      <c r="O50" s="381"/>
    </row>
    <row r="51" spans="2:15" s="371" customFormat="1" x14ac:dyDescent="0.2">
      <c r="B51" s="483" t="s">
        <v>247</v>
      </c>
      <c r="C51" s="484">
        <v>505.36672623608308</v>
      </c>
      <c r="D51" s="484">
        <v>1999.2688263508317</v>
      </c>
      <c r="E51" s="484">
        <v>1930.507303932081</v>
      </c>
      <c r="F51" s="484">
        <v>1865.4314897306472</v>
      </c>
      <c r="G51" s="484">
        <v>1692.3149079550938</v>
      </c>
      <c r="H51" s="484">
        <v>7992.889254204737</v>
      </c>
      <c r="I51" s="381"/>
      <c r="K51" s="381"/>
      <c r="L51" s="381"/>
      <c r="M51" s="381"/>
      <c r="N51" s="381"/>
      <c r="O51" s="381"/>
    </row>
    <row r="52" spans="2:15" s="371" customFormat="1" x14ac:dyDescent="0.2">
      <c r="B52" s="485" t="s">
        <v>202</v>
      </c>
      <c r="C52" s="486">
        <v>480.09838992427888</v>
      </c>
      <c r="D52" s="486">
        <v>1899.3053850332901</v>
      </c>
      <c r="E52" s="486">
        <v>1833.9819387354769</v>
      </c>
      <c r="F52" s="486">
        <v>1772.1599152441145</v>
      </c>
      <c r="G52" s="487">
        <v>1607.6991625573389</v>
      </c>
      <c r="H52" s="487">
        <v>7593.2447914944987</v>
      </c>
      <c r="I52" s="381"/>
      <c r="K52" s="381"/>
      <c r="L52" s="381"/>
      <c r="M52" s="381"/>
      <c r="N52" s="381"/>
      <c r="O52" s="381"/>
    </row>
    <row r="53" spans="2:15" s="371" customFormat="1" ht="12.75" thickBot="1" x14ac:dyDescent="0.25">
      <c r="B53" s="488" t="s">
        <v>247</v>
      </c>
      <c r="C53" s="489">
        <f>C38</f>
        <v>-2.1995504057425775E-2</v>
      </c>
      <c r="D53" s="489">
        <f>D38</f>
        <v>-1.6835900260144167E-2</v>
      </c>
      <c r="E53" s="489">
        <f>E38</f>
        <v>-1.2442601378131204E-3</v>
      </c>
      <c r="F53" s="489">
        <f>F38</f>
        <v>-6.9419159667866151E-3</v>
      </c>
      <c r="G53" s="490">
        <f>G38</f>
        <v>-2.0516929924990792E-2</v>
      </c>
      <c r="H53" s="490">
        <f>SUM(C53:G53)</f>
        <v>-6.7534510347160473E-2</v>
      </c>
      <c r="I53" s="381"/>
      <c r="K53" s="381"/>
      <c r="L53" s="381"/>
      <c r="M53" s="381"/>
      <c r="N53" s="381"/>
      <c r="O53" s="381"/>
    </row>
    <row r="54" spans="2:15" s="371" customFormat="1" ht="12.75" thickBot="1" x14ac:dyDescent="0.25">
      <c r="B54" s="491" t="s">
        <v>248</v>
      </c>
      <c r="C54" s="492">
        <f t="shared" ref="C54:H54" si="4">(C52-C51)/C51</f>
        <v>-5.00000000000001E-2</v>
      </c>
      <c r="D54" s="492">
        <f t="shared" si="4"/>
        <v>-4.9999999999999975E-2</v>
      </c>
      <c r="E54" s="492">
        <f t="shared" si="4"/>
        <v>-5.000000000000001E-2</v>
      </c>
      <c r="F54" s="492">
        <f t="shared" si="4"/>
        <v>-5.0000000000000183E-2</v>
      </c>
      <c r="G54" s="492">
        <f t="shared" si="4"/>
        <v>-5.0000000000000086E-2</v>
      </c>
      <c r="H54" s="492">
        <f t="shared" si="4"/>
        <v>-5.0000000000000176E-2</v>
      </c>
      <c r="I54" s="381"/>
      <c r="K54" s="381"/>
      <c r="L54" s="381"/>
      <c r="M54" s="381"/>
      <c r="N54" s="381"/>
      <c r="O54" s="381"/>
    </row>
    <row r="55" spans="2:15" s="371" customFormat="1" x14ac:dyDescent="0.2">
      <c r="B55" s="477"/>
      <c r="C55" s="478"/>
      <c r="D55" s="478"/>
      <c r="E55" s="478"/>
      <c r="F55" s="478"/>
      <c r="G55" s="478"/>
      <c r="H55" s="477"/>
      <c r="I55" s="381"/>
      <c r="K55" s="381"/>
      <c r="L55" s="381"/>
      <c r="M55" s="381"/>
      <c r="N55" s="381"/>
      <c r="O55" s="381"/>
    </row>
    <row r="56" spans="2:15" s="371" customFormat="1" x14ac:dyDescent="0.2">
      <c r="B56" s="477"/>
      <c r="C56" s="478"/>
      <c r="D56" s="478"/>
      <c r="E56" s="478"/>
      <c r="F56" s="478"/>
      <c r="G56" s="478"/>
      <c r="H56" s="477"/>
      <c r="I56" s="381"/>
      <c r="K56" s="381"/>
      <c r="L56" s="381"/>
      <c r="M56" s="381"/>
      <c r="N56" s="381"/>
      <c r="O56" s="381"/>
    </row>
    <row r="57" spans="2:15" s="371" customFormat="1" x14ac:dyDescent="0.2">
      <c r="B57" s="477"/>
      <c r="C57" s="478"/>
      <c r="D57" s="478"/>
      <c r="E57" s="478"/>
      <c r="F57" s="478"/>
      <c r="G57" s="478"/>
      <c r="H57" s="477"/>
      <c r="I57" s="381"/>
      <c r="K57" s="381"/>
      <c r="L57" s="381"/>
      <c r="M57" s="381"/>
      <c r="N57" s="381"/>
      <c r="O57" s="381"/>
    </row>
    <row r="58" spans="2:15" s="371" customFormat="1" x14ac:dyDescent="0.2">
      <c r="B58" s="477"/>
      <c r="C58" s="478"/>
      <c r="D58" s="478"/>
      <c r="E58" s="478"/>
      <c r="F58" s="478"/>
      <c r="G58" s="478"/>
      <c r="H58" s="477"/>
      <c r="I58" s="381"/>
      <c r="K58" s="381"/>
      <c r="L58" s="381"/>
      <c r="M58" s="381"/>
      <c r="N58" s="381"/>
      <c r="O58" s="381"/>
    </row>
    <row r="59" spans="2:15" s="371" customFormat="1" x14ac:dyDescent="0.2">
      <c r="B59" s="477"/>
      <c r="C59" s="478"/>
      <c r="D59" s="478"/>
      <c r="E59" s="478"/>
      <c r="F59" s="478"/>
      <c r="G59" s="478"/>
      <c r="H59" s="477"/>
      <c r="I59" s="381"/>
      <c r="K59" s="381"/>
      <c r="L59" s="381"/>
      <c r="M59" s="381"/>
      <c r="N59" s="381"/>
      <c r="O59" s="381"/>
    </row>
    <row r="60" spans="2:15" s="371" customFormat="1" x14ac:dyDescent="0.2">
      <c r="B60" s="477"/>
      <c r="C60" s="478"/>
      <c r="D60" s="478"/>
      <c r="E60" s="478"/>
      <c r="F60" s="478"/>
      <c r="G60" s="478"/>
      <c r="H60" s="477"/>
      <c r="I60" s="381"/>
      <c r="K60" s="381"/>
      <c r="L60" s="381"/>
      <c r="M60" s="381"/>
      <c r="N60" s="381"/>
      <c r="O60" s="381"/>
    </row>
    <row r="61" spans="2:15" s="371" customFormat="1" x14ac:dyDescent="0.2">
      <c r="B61" s="477"/>
      <c r="C61" s="478"/>
      <c r="D61" s="478"/>
      <c r="E61" s="478"/>
      <c r="F61" s="478"/>
      <c r="G61" s="478"/>
      <c r="H61" s="477"/>
      <c r="I61" s="381"/>
      <c r="K61" s="381"/>
      <c r="L61" s="381"/>
      <c r="M61" s="381"/>
      <c r="N61" s="381"/>
      <c r="O61" s="381"/>
    </row>
    <row r="62" spans="2:15" s="371" customFormat="1" x14ac:dyDescent="0.2">
      <c r="B62" s="477"/>
      <c r="C62" s="478"/>
      <c r="D62" s="478"/>
      <c r="E62" s="478"/>
      <c r="F62" s="478"/>
      <c r="G62" s="478"/>
      <c r="H62" s="477"/>
      <c r="I62" s="381"/>
      <c r="K62" s="381"/>
      <c r="L62" s="381"/>
      <c r="M62" s="381"/>
      <c r="N62" s="381"/>
      <c r="O62" s="381"/>
    </row>
    <row r="63" spans="2:15" s="371" customFormat="1" x14ac:dyDescent="0.2">
      <c r="B63" s="477"/>
      <c r="C63" s="478"/>
      <c r="D63" s="478"/>
      <c r="E63" s="478"/>
      <c r="F63" s="478"/>
      <c r="G63" s="478"/>
      <c r="H63" s="477"/>
      <c r="I63" s="381"/>
      <c r="K63" s="381"/>
      <c r="L63" s="381"/>
      <c r="M63" s="381"/>
      <c r="N63" s="381"/>
      <c r="O63" s="381"/>
    </row>
    <row r="64" spans="2:15" s="371" customFormat="1" x14ac:dyDescent="0.2">
      <c r="B64" s="477"/>
      <c r="C64" s="478"/>
      <c r="D64" s="478"/>
      <c r="E64" s="478"/>
      <c r="F64" s="478"/>
      <c r="G64" s="478"/>
      <c r="H64" s="477"/>
      <c r="I64" s="381"/>
      <c r="K64" s="381"/>
      <c r="L64" s="381"/>
      <c r="M64" s="381"/>
      <c r="N64" s="381"/>
      <c r="O64" s="381"/>
    </row>
    <row r="65" spans="2:15" s="371" customFormat="1" x14ac:dyDescent="0.2">
      <c r="B65" s="477"/>
      <c r="C65" s="478"/>
      <c r="D65" s="478"/>
      <c r="E65" s="478"/>
      <c r="F65" s="478"/>
      <c r="G65" s="478"/>
      <c r="H65" s="477"/>
      <c r="I65" s="381"/>
      <c r="K65" s="381"/>
      <c r="L65" s="381"/>
      <c r="M65" s="381"/>
      <c r="N65" s="381"/>
      <c r="O65" s="381"/>
    </row>
    <row r="66" spans="2:15" s="371" customFormat="1" x14ac:dyDescent="0.2">
      <c r="B66" s="477"/>
      <c r="C66" s="478"/>
      <c r="D66" s="478"/>
      <c r="E66" s="478"/>
      <c r="F66" s="478"/>
      <c r="G66" s="478"/>
      <c r="H66" s="477"/>
      <c r="I66" s="381"/>
      <c r="K66" s="381"/>
      <c r="L66" s="381"/>
      <c r="M66" s="381"/>
      <c r="N66" s="381"/>
      <c r="O66" s="381"/>
    </row>
    <row r="67" spans="2:15" s="371" customFormat="1" x14ac:dyDescent="0.2">
      <c r="B67" s="477"/>
      <c r="C67" s="478"/>
      <c r="D67" s="478"/>
      <c r="E67" s="478"/>
      <c r="F67" s="478"/>
      <c r="G67" s="478"/>
      <c r="H67" s="477"/>
      <c r="I67" s="381"/>
      <c r="K67" s="381"/>
      <c r="L67" s="381"/>
      <c r="M67" s="381"/>
      <c r="N67" s="381"/>
      <c r="O67" s="381"/>
    </row>
    <row r="68" spans="2:15" s="371" customFormat="1" x14ac:dyDescent="0.2">
      <c r="B68" s="477"/>
      <c r="C68" s="478"/>
      <c r="D68" s="478"/>
      <c r="E68" s="478"/>
      <c r="F68" s="478"/>
      <c r="G68" s="478"/>
      <c r="H68" s="477"/>
      <c r="I68" s="381"/>
      <c r="K68" s="381"/>
      <c r="L68" s="381"/>
      <c r="M68" s="381"/>
      <c r="N68" s="381"/>
      <c r="O68" s="381"/>
    </row>
    <row r="69" spans="2:15" s="371" customFormat="1" x14ac:dyDescent="0.2">
      <c r="B69" s="477"/>
      <c r="C69" s="478"/>
      <c r="D69" s="478"/>
      <c r="E69" s="478"/>
      <c r="F69" s="478"/>
      <c r="G69" s="478"/>
      <c r="H69" s="477"/>
      <c r="I69" s="381"/>
      <c r="K69" s="381"/>
      <c r="L69" s="381"/>
      <c r="M69" s="381"/>
      <c r="N69" s="381"/>
      <c r="O69" s="381"/>
    </row>
    <row r="70" spans="2:15" s="371" customFormat="1" x14ac:dyDescent="0.2">
      <c r="B70" s="477"/>
      <c r="C70" s="478"/>
      <c r="D70" s="478"/>
      <c r="E70" s="478"/>
      <c r="F70" s="478"/>
      <c r="G70" s="478"/>
      <c r="H70" s="477"/>
      <c r="I70" s="381"/>
      <c r="K70" s="381"/>
      <c r="L70" s="381"/>
      <c r="M70" s="381"/>
      <c r="N70" s="381"/>
      <c r="O70" s="381"/>
    </row>
    <row r="71" spans="2:15" s="371" customFormat="1" x14ac:dyDescent="0.2">
      <c r="B71" s="477"/>
      <c r="C71" s="478"/>
      <c r="D71" s="478"/>
      <c r="E71" s="478"/>
      <c r="F71" s="478"/>
      <c r="G71" s="478"/>
      <c r="H71" s="477"/>
      <c r="I71" s="381"/>
      <c r="K71" s="381"/>
      <c r="L71" s="381"/>
      <c r="M71" s="381"/>
      <c r="N71" s="381"/>
      <c r="O71" s="381"/>
    </row>
    <row r="72" spans="2:15" s="371" customFormat="1" x14ac:dyDescent="0.2">
      <c r="B72" s="477"/>
      <c r="C72" s="478"/>
      <c r="D72" s="478"/>
      <c r="E72" s="478"/>
      <c r="F72" s="478"/>
      <c r="G72" s="478"/>
      <c r="H72" s="477"/>
      <c r="I72" s="381"/>
      <c r="K72" s="381"/>
      <c r="L72" s="381"/>
      <c r="M72" s="381"/>
      <c r="N72" s="381"/>
      <c r="O72" s="381"/>
    </row>
    <row r="73" spans="2:15" s="371" customFormat="1" x14ac:dyDescent="0.2">
      <c r="B73" s="477"/>
      <c r="C73" s="478"/>
      <c r="D73" s="478"/>
      <c r="E73" s="478"/>
      <c r="F73" s="478"/>
      <c r="G73" s="478"/>
      <c r="H73" s="477"/>
      <c r="I73" s="381"/>
      <c r="K73" s="381"/>
      <c r="L73" s="381"/>
      <c r="M73" s="381"/>
      <c r="N73" s="381"/>
      <c r="O73" s="381"/>
    </row>
    <row r="74" spans="2:15" s="371" customFormat="1" x14ac:dyDescent="0.2">
      <c r="B74" s="477"/>
      <c r="C74" s="478"/>
      <c r="D74" s="478"/>
      <c r="E74" s="478"/>
      <c r="F74" s="478"/>
      <c r="G74" s="478"/>
      <c r="H74" s="477"/>
      <c r="I74" s="381"/>
      <c r="K74" s="381"/>
      <c r="L74" s="381"/>
      <c r="M74" s="381"/>
      <c r="N74" s="381"/>
      <c r="O74" s="381"/>
    </row>
    <row r="75" spans="2:15" s="371" customFormat="1" x14ac:dyDescent="0.2">
      <c r="B75" s="477"/>
      <c r="C75" s="478"/>
      <c r="D75" s="478"/>
      <c r="E75" s="478"/>
      <c r="F75" s="478"/>
      <c r="G75" s="478"/>
      <c r="H75" s="477"/>
      <c r="I75" s="381"/>
      <c r="K75" s="381"/>
      <c r="L75" s="381"/>
      <c r="M75" s="381"/>
      <c r="N75" s="381"/>
      <c r="O75" s="381"/>
    </row>
    <row r="76" spans="2:15" s="371" customFormat="1" x14ac:dyDescent="0.2">
      <c r="B76" s="477"/>
      <c r="C76" s="478"/>
      <c r="D76" s="478"/>
      <c r="E76" s="478"/>
      <c r="F76" s="478"/>
      <c r="G76" s="478"/>
      <c r="H76" s="477"/>
      <c r="I76" s="381"/>
      <c r="K76" s="381"/>
      <c r="L76" s="381"/>
      <c r="M76" s="381"/>
      <c r="N76" s="381"/>
      <c r="O76" s="381"/>
    </row>
    <row r="77" spans="2:15" s="371" customFormat="1" x14ac:dyDescent="0.2">
      <c r="B77" s="477"/>
      <c r="C77" s="478"/>
      <c r="D77" s="478"/>
      <c r="E77" s="478"/>
      <c r="F77" s="478"/>
      <c r="G77" s="478"/>
      <c r="H77" s="477"/>
      <c r="I77" s="381"/>
      <c r="K77" s="381"/>
      <c r="L77" s="381"/>
      <c r="M77" s="381"/>
      <c r="N77" s="381"/>
      <c r="O77" s="381"/>
    </row>
    <row r="78" spans="2:15" s="371" customFormat="1" x14ac:dyDescent="0.2">
      <c r="B78" s="477"/>
      <c r="C78" s="478"/>
      <c r="D78" s="478"/>
      <c r="E78" s="478"/>
      <c r="F78" s="478"/>
      <c r="G78" s="478"/>
      <c r="H78" s="477"/>
      <c r="I78" s="381"/>
      <c r="K78" s="381"/>
      <c r="L78" s="381"/>
      <c r="M78" s="381"/>
      <c r="N78" s="381"/>
      <c r="O78" s="381"/>
    </row>
    <row r="79" spans="2:15" s="371" customFormat="1" x14ac:dyDescent="0.2">
      <c r="B79" s="477"/>
      <c r="C79" s="478"/>
      <c r="D79" s="478"/>
      <c r="E79" s="478"/>
      <c r="F79" s="478"/>
      <c r="G79" s="478"/>
      <c r="H79" s="477"/>
      <c r="I79" s="381"/>
      <c r="K79" s="381"/>
      <c r="L79" s="381"/>
      <c r="M79" s="381"/>
      <c r="N79" s="381"/>
      <c r="O79" s="381"/>
    </row>
    <row r="80" spans="2:15" s="371" customFormat="1" x14ac:dyDescent="0.2">
      <c r="B80" s="477"/>
      <c r="C80" s="478"/>
      <c r="D80" s="478"/>
      <c r="E80" s="478"/>
      <c r="F80" s="478"/>
      <c r="G80" s="478"/>
      <c r="H80" s="477"/>
      <c r="I80" s="381"/>
      <c r="K80" s="381"/>
      <c r="L80" s="381"/>
      <c r="M80" s="381"/>
      <c r="N80" s="381"/>
      <c r="O80" s="381"/>
    </row>
    <row r="81" spans="2:15" s="371" customFormat="1" x14ac:dyDescent="0.2">
      <c r="B81" s="477"/>
      <c r="C81" s="478"/>
      <c r="D81" s="478"/>
      <c r="E81" s="478"/>
      <c r="F81" s="478"/>
      <c r="G81" s="478"/>
      <c r="H81" s="477"/>
      <c r="I81" s="381"/>
      <c r="K81" s="381"/>
      <c r="L81" s="381"/>
      <c r="M81" s="381"/>
      <c r="N81" s="381"/>
      <c r="O81" s="381"/>
    </row>
    <row r="82" spans="2:15" s="371" customFormat="1" x14ac:dyDescent="0.2">
      <c r="B82" s="477"/>
      <c r="C82" s="478"/>
      <c r="D82" s="478"/>
      <c r="E82" s="478"/>
      <c r="F82" s="478"/>
      <c r="G82" s="478"/>
      <c r="H82" s="477"/>
      <c r="I82" s="381"/>
      <c r="K82" s="381"/>
      <c r="L82" s="381"/>
      <c r="M82" s="381"/>
      <c r="N82" s="381"/>
      <c r="O82" s="381"/>
    </row>
    <row r="83" spans="2:15" s="371" customFormat="1" x14ac:dyDescent="0.2">
      <c r="B83" s="477"/>
      <c r="C83" s="478"/>
      <c r="D83" s="478"/>
      <c r="E83" s="478"/>
      <c r="F83" s="478"/>
      <c r="G83" s="478"/>
      <c r="H83" s="477"/>
      <c r="I83" s="381"/>
      <c r="K83" s="381"/>
      <c r="L83" s="381"/>
      <c r="M83" s="381"/>
      <c r="N83" s="381"/>
      <c r="O83" s="381"/>
    </row>
    <row r="84" spans="2:15" s="371" customFormat="1" x14ac:dyDescent="0.2">
      <c r="B84" s="477"/>
      <c r="C84" s="478"/>
      <c r="D84" s="478"/>
      <c r="E84" s="478"/>
      <c r="F84" s="478"/>
      <c r="G84" s="478"/>
      <c r="H84" s="477"/>
      <c r="I84" s="381"/>
      <c r="K84" s="381"/>
      <c r="L84" s="381"/>
      <c r="M84" s="381"/>
      <c r="N84" s="381"/>
      <c r="O84" s="381"/>
    </row>
    <row r="85" spans="2:15" s="371" customFormat="1" x14ac:dyDescent="0.2">
      <c r="B85" s="477"/>
      <c r="C85" s="478"/>
      <c r="D85" s="478"/>
      <c r="E85" s="478"/>
      <c r="F85" s="478"/>
      <c r="G85" s="478"/>
      <c r="H85" s="477"/>
      <c r="I85" s="381"/>
      <c r="K85" s="381"/>
      <c r="L85" s="381"/>
      <c r="M85" s="381"/>
      <c r="N85" s="381"/>
      <c r="O85" s="381"/>
    </row>
    <row r="86" spans="2:15" s="371" customFormat="1" x14ac:dyDescent="0.2">
      <c r="B86" s="477"/>
      <c r="C86" s="478"/>
      <c r="D86" s="478"/>
      <c r="E86" s="478"/>
      <c r="F86" s="478"/>
      <c r="G86" s="478"/>
      <c r="H86" s="477"/>
      <c r="I86" s="381"/>
      <c r="K86" s="381"/>
      <c r="L86" s="381"/>
      <c r="M86" s="381"/>
      <c r="N86" s="381"/>
      <c r="O86" s="381"/>
    </row>
    <row r="87" spans="2:15" s="371" customFormat="1" x14ac:dyDescent="0.2">
      <c r="B87" s="477"/>
      <c r="C87" s="478"/>
      <c r="D87" s="478"/>
      <c r="E87" s="478"/>
      <c r="F87" s="478"/>
      <c r="G87" s="478"/>
      <c r="H87" s="477"/>
      <c r="I87" s="381"/>
      <c r="K87" s="381"/>
      <c r="L87" s="381"/>
      <c r="M87" s="381"/>
      <c r="N87" s="381"/>
      <c r="O87" s="381"/>
    </row>
    <row r="88" spans="2:15" s="371" customFormat="1" x14ac:dyDescent="0.2">
      <c r="B88" s="477"/>
      <c r="C88" s="478"/>
      <c r="D88" s="478"/>
      <c r="E88" s="478"/>
      <c r="F88" s="478"/>
      <c r="G88" s="478"/>
      <c r="H88" s="477"/>
      <c r="I88" s="381"/>
      <c r="K88" s="381"/>
      <c r="L88" s="381"/>
      <c r="M88" s="381"/>
      <c r="N88" s="381"/>
      <c r="O88" s="381"/>
    </row>
    <row r="89" spans="2:15" s="371" customFormat="1" x14ac:dyDescent="0.2">
      <c r="B89" s="477"/>
      <c r="C89" s="478"/>
      <c r="D89" s="478"/>
      <c r="E89" s="478"/>
      <c r="F89" s="478"/>
      <c r="G89" s="478"/>
      <c r="H89" s="477"/>
      <c r="I89" s="381"/>
      <c r="K89" s="381"/>
      <c r="L89" s="381"/>
      <c r="M89" s="381"/>
      <c r="N89" s="381"/>
      <c r="O89" s="381"/>
    </row>
    <row r="90" spans="2:15" s="371" customFormat="1" x14ac:dyDescent="0.2">
      <c r="B90" s="477"/>
      <c r="C90" s="478"/>
      <c r="D90" s="478"/>
      <c r="E90" s="478"/>
      <c r="F90" s="478"/>
      <c r="G90" s="478"/>
      <c r="H90" s="477"/>
      <c r="I90" s="381"/>
      <c r="K90" s="381"/>
      <c r="L90" s="381"/>
      <c r="M90" s="381"/>
      <c r="N90" s="381"/>
      <c r="O90" s="381"/>
    </row>
    <row r="91" spans="2:15" s="371" customFormat="1" x14ac:dyDescent="0.2">
      <c r="B91" s="477"/>
      <c r="C91" s="478"/>
      <c r="D91" s="478"/>
      <c r="E91" s="478"/>
      <c r="F91" s="478"/>
      <c r="G91" s="478"/>
      <c r="H91" s="477"/>
      <c r="I91" s="381"/>
      <c r="K91" s="381"/>
      <c r="L91" s="381"/>
      <c r="M91" s="381"/>
      <c r="N91" s="381"/>
      <c r="O91" s="381"/>
    </row>
    <row r="92" spans="2:15" s="371" customFormat="1" x14ac:dyDescent="0.2">
      <c r="B92" s="477"/>
      <c r="C92" s="478"/>
      <c r="D92" s="478"/>
      <c r="E92" s="478"/>
      <c r="F92" s="478"/>
      <c r="G92" s="478"/>
      <c r="H92" s="477"/>
      <c r="I92" s="381"/>
      <c r="K92" s="381"/>
      <c r="L92" s="381"/>
      <c r="M92" s="381"/>
      <c r="N92" s="381"/>
      <c r="O92" s="381"/>
    </row>
    <row r="93" spans="2:15" s="371" customFormat="1" x14ac:dyDescent="0.2">
      <c r="B93" s="477"/>
      <c r="C93" s="478"/>
      <c r="D93" s="478"/>
      <c r="E93" s="478"/>
      <c r="F93" s="478"/>
      <c r="G93" s="478"/>
      <c r="H93" s="477"/>
      <c r="I93" s="381"/>
      <c r="K93" s="381"/>
      <c r="L93" s="381"/>
      <c r="M93" s="381"/>
      <c r="N93" s="381"/>
      <c r="O93" s="381"/>
    </row>
    <row r="94" spans="2:15" s="371" customFormat="1" x14ac:dyDescent="0.2">
      <c r="B94" s="477"/>
      <c r="C94" s="478"/>
      <c r="D94" s="478"/>
      <c r="E94" s="478"/>
      <c r="F94" s="478"/>
      <c r="G94" s="478"/>
      <c r="H94" s="477"/>
      <c r="I94" s="381"/>
      <c r="K94" s="381"/>
      <c r="L94" s="381"/>
      <c r="M94" s="381"/>
      <c r="N94" s="381"/>
      <c r="O94" s="381"/>
    </row>
    <row r="95" spans="2:15" s="371" customFormat="1" x14ac:dyDescent="0.2">
      <c r="B95" s="477"/>
      <c r="C95" s="478"/>
      <c r="D95" s="478"/>
      <c r="E95" s="478"/>
      <c r="F95" s="478"/>
      <c r="G95" s="478"/>
      <c r="H95" s="477"/>
      <c r="I95" s="381"/>
      <c r="K95" s="381"/>
      <c r="L95" s="381"/>
      <c r="M95" s="381"/>
      <c r="N95" s="381"/>
      <c r="O95" s="381"/>
    </row>
    <row r="96" spans="2:15" s="371" customFormat="1" x14ac:dyDescent="0.2">
      <c r="B96" s="477"/>
      <c r="C96" s="478"/>
      <c r="D96" s="478"/>
      <c r="E96" s="478"/>
      <c r="F96" s="478"/>
      <c r="G96" s="478"/>
      <c r="H96" s="477"/>
      <c r="I96" s="381"/>
      <c r="K96" s="381"/>
      <c r="L96" s="381"/>
      <c r="M96" s="381"/>
      <c r="N96" s="381"/>
      <c r="O96" s="381"/>
    </row>
    <row r="97" spans="2:15" s="371" customFormat="1" x14ac:dyDescent="0.2">
      <c r="B97" s="477"/>
      <c r="C97" s="478"/>
      <c r="D97" s="478"/>
      <c r="E97" s="478"/>
      <c r="F97" s="478"/>
      <c r="G97" s="478"/>
      <c r="H97" s="477"/>
      <c r="I97" s="381"/>
      <c r="K97" s="381"/>
      <c r="L97" s="381"/>
      <c r="M97" s="381"/>
      <c r="N97" s="381"/>
      <c r="O97" s="381"/>
    </row>
    <row r="98" spans="2:15" s="371" customFormat="1" x14ac:dyDescent="0.2">
      <c r="B98" s="477"/>
      <c r="C98" s="478"/>
      <c r="D98" s="478"/>
      <c r="E98" s="478"/>
      <c r="F98" s="478"/>
      <c r="G98" s="478"/>
      <c r="H98" s="477"/>
      <c r="I98" s="381"/>
      <c r="K98" s="381"/>
      <c r="L98" s="381"/>
      <c r="M98" s="381"/>
      <c r="N98" s="381"/>
      <c r="O98" s="381"/>
    </row>
    <row r="99" spans="2:15" s="371" customFormat="1" x14ac:dyDescent="0.2">
      <c r="B99" s="477"/>
      <c r="C99" s="478"/>
      <c r="D99" s="478"/>
      <c r="E99" s="478"/>
      <c r="F99" s="478"/>
      <c r="G99" s="478"/>
      <c r="H99" s="477"/>
      <c r="I99" s="381"/>
      <c r="K99" s="381"/>
      <c r="L99" s="381"/>
      <c r="M99" s="381"/>
      <c r="N99" s="381"/>
      <c r="O99" s="381"/>
    </row>
    <row r="100" spans="2:15" s="371" customFormat="1" x14ac:dyDescent="0.2">
      <c r="B100" s="477"/>
      <c r="C100" s="478"/>
      <c r="D100" s="478"/>
      <c r="E100" s="478"/>
      <c r="F100" s="478"/>
      <c r="G100" s="478"/>
      <c r="H100" s="477"/>
      <c r="I100" s="381"/>
      <c r="K100" s="381"/>
      <c r="L100" s="381"/>
      <c r="M100" s="381"/>
      <c r="N100" s="381"/>
      <c r="O100" s="381"/>
    </row>
    <row r="101" spans="2:15" s="371" customFormat="1" x14ac:dyDescent="0.2">
      <c r="B101" s="477"/>
      <c r="C101" s="478"/>
      <c r="D101" s="478"/>
      <c r="E101" s="478"/>
      <c r="F101" s="478"/>
      <c r="G101" s="478"/>
      <c r="H101" s="477"/>
      <c r="I101" s="381"/>
      <c r="K101" s="381"/>
      <c r="L101" s="381"/>
      <c r="M101" s="381"/>
      <c r="N101" s="381"/>
      <c r="O101" s="381"/>
    </row>
    <row r="102" spans="2:15" s="371" customFormat="1" x14ac:dyDescent="0.2">
      <c r="B102" s="477"/>
      <c r="C102" s="478"/>
      <c r="D102" s="478"/>
      <c r="E102" s="478"/>
      <c r="F102" s="478"/>
      <c r="G102" s="478"/>
      <c r="H102" s="477"/>
      <c r="I102" s="381"/>
      <c r="K102" s="381"/>
      <c r="L102" s="381"/>
      <c r="M102" s="381"/>
      <c r="N102" s="381"/>
      <c r="O102" s="381"/>
    </row>
    <row r="103" spans="2:15" s="371" customFormat="1" x14ac:dyDescent="0.2">
      <c r="B103" s="477"/>
      <c r="C103" s="478"/>
      <c r="D103" s="478"/>
      <c r="E103" s="478"/>
      <c r="F103" s="478"/>
      <c r="G103" s="478"/>
      <c r="H103" s="477"/>
      <c r="I103" s="381"/>
      <c r="K103" s="381"/>
      <c r="L103" s="381"/>
      <c r="M103" s="381"/>
      <c r="N103" s="381"/>
      <c r="O103" s="381"/>
    </row>
    <row r="104" spans="2:15" s="371" customFormat="1" x14ac:dyDescent="0.2">
      <c r="B104" s="477"/>
      <c r="C104" s="478"/>
      <c r="D104" s="478"/>
      <c r="E104" s="478"/>
      <c r="F104" s="478"/>
      <c r="G104" s="478"/>
      <c r="H104" s="477"/>
      <c r="I104" s="381"/>
      <c r="K104" s="381"/>
      <c r="L104" s="381"/>
      <c r="M104" s="381"/>
      <c r="N104" s="381"/>
      <c r="O104" s="381"/>
    </row>
    <row r="105" spans="2:15" s="371" customFormat="1" x14ac:dyDescent="0.2">
      <c r="B105" s="477"/>
      <c r="C105" s="478"/>
      <c r="D105" s="478"/>
      <c r="E105" s="478"/>
      <c r="F105" s="478"/>
      <c r="G105" s="478"/>
      <c r="H105" s="477"/>
      <c r="I105" s="381"/>
      <c r="K105" s="381"/>
      <c r="L105" s="381"/>
      <c r="M105" s="381"/>
      <c r="N105" s="381"/>
      <c r="O105" s="381"/>
    </row>
    <row r="106" spans="2:15" s="371" customFormat="1" x14ac:dyDescent="0.2">
      <c r="B106" s="477"/>
      <c r="C106" s="478"/>
      <c r="D106" s="478"/>
      <c r="E106" s="478"/>
      <c r="F106" s="478"/>
      <c r="G106" s="478"/>
      <c r="H106" s="477"/>
      <c r="I106" s="381"/>
      <c r="K106" s="381"/>
      <c r="L106" s="381"/>
      <c r="M106" s="381"/>
      <c r="N106" s="381"/>
      <c r="O106" s="381"/>
    </row>
    <row r="107" spans="2:15" s="371" customFormat="1" x14ac:dyDescent="0.2">
      <c r="B107" s="477"/>
      <c r="C107" s="478"/>
      <c r="D107" s="478"/>
      <c r="E107" s="478"/>
      <c r="F107" s="478"/>
      <c r="G107" s="478"/>
      <c r="H107" s="477"/>
      <c r="I107" s="381"/>
      <c r="K107" s="381"/>
      <c r="L107" s="381"/>
      <c r="M107" s="381"/>
      <c r="N107" s="381"/>
      <c r="O107" s="381"/>
    </row>
    <row r="108" spans="2:15" s="371" customFormat="1" x14ac:dyDescent="0.2">
      <c r="B108" s="477"/>
      <c r="C108" s="478"/>
      <c r="D108" s="478"/>
      <c r="E108" s="478"/>
      <c r="F108" s="478"/>
      <c r="G108" s="478"/>
      <c r="H108" s="477"/>
      <c r="I108" s="381"/>
      <c r="K108" s="381"/>
      <c r="L108" s="381"/>
      <c r="M108" s="381"/>
      <c r="N108" s="381"/>
      <c r="O108" s="381"/>
    </row>
    <row r="109" spans="2:15" s="371" customFormat="1" x14ac:dyDescent="0.2">
      <c r="B109" s="477"/>
      <c r="C109" s="478"/>
      <c r="D109" s="478"/>
      <c r="E109" s="478"/>
      <c r="F109" s="478"/>
      <c r="G109" s="478"/>
      <c r="H109" s="477"/>
      <c r="I109" s="381"/>
      <c r="K109" s="381"/>
      <c r="L109" s="381"/>
      <c r="M109" s="381"/>
      <c r="N109" s="381"/>
      <c r="O109" s="381"/>
    </row>
    <row r="110" spans="2:15" s="371" customFormat="1" x14ac:dyDescent="0.2">
      <c r="B110" s="477"/>
      <c r="C110" s="478"/>
      <c r="D110" s="478"/>
      <c r="E110" s="478"/>
      <c r="F110" s="478"/>
      <c r="G110" s="478"/>
      <c r="H110" s="477"/>
      <c r="I110" s="381"/>
      <c r="K110" s="381"/>
      <c r="L110" s="381"/>
      <c r="M110" s="381"/>
      <c r="N110" s="381"/>
      <c r="O110" s="381"/>
    </row>
    <row r="111" spans="2:15" s="371" customFormat="1" x14ac:dyDescent="0.2">
      <c r="B111" s="477"/>
      <c r="C111" s="478"/>
      <c r="D111" s="478"/>
      <c r="E111" s="478"/>
      <c r="F111" s="478"/>
      <c r="G111" s="478"/>
      <c r="H111" s="477"/>
      <c r="I111" s="381"/>
      <c r="K111" s="381"/>
      <c r="L111" s="381"/>
      <c r="M111" s="381"/>
      <c r="N111" s="381"/>
      <c r="O111" s="381"/>
    </row>
    <row r="112" spans="2:15" s="371" customFormat="1" x14ac:dyDescent="0.2">
      <c r="B112" s="477"/>
      <c r="C112" s="478"/>
      <c r="D112" s="478"/>
      <c r="E112" s="478"/>
      <c r="F112" s="478"/>
      <c r="G112" s="478"/>
      <c r="H112" s="477"/>
      <c r="I112" s="381"/>
      <c r="K112" s="381"/>
      <c r="L112" s="381"/>
      <c r="M112" s="381"/>
      <c r="N112" s="381"/>
      <c r="O112" s="381"/>
    </row>
    <row r="113" spans="2:15" s="371" customFormat="1" x14ac:dyDescent="0.2">
      <c r="B113" s="477"/>
      <c r="C113" s="478"/>
      <c r="D113" s="478"/>
      <c r="E113" s="478"/>
      <c r="F113" s="478"/>
      <c r="G113" s="478"/>
      <c r="H113" s="477"/>
      <c r="I113" s="381"/>
      <c r="K113" s="381"/>
      <c r="L113" s="381"/>
      <c r="M113" s="381"/>
      <c r="N113" s="381"/>
      <c r="O113" s="381"/>
    </row>
    <row r="114" spans="2:15" s="371" customFormat="1" x14ac:dyDescent="0.2">
      <c r="B114" s="477"/>
      <c r="C114" s="478"/>
      <c r="D114" s="478"/>
      <c r="E114" s="478"/>
      <c r="F114" s="478"/>
      <c r="G114" s="478"/>
      <c r="H114" s="477"/>
      <c r="I114" s="381"/>
      <c r="K114" s="381"/>
      <c r="L114" s="381"/>
      <c r="M114" s="381"/>
      <c r="N114" s="381"/>
      <c r="O114" s="381"/>
    </row>
    <row r="115" spans="2:15" s="371" customFormat="1" x14ac:dyDescent="0.2">
      <c r="B115" s="477"/>
      <c r="C115" s="478"/>
      <c r="D115" s="478"/>
      <c r="E115" s="478"/>
      <c r="F115" s="478"/>
      <c r="G115" s="478"/>
      <c r="H115" s="477"/>
      <c r="I115" s="381"/>
      <c r="K115" s="381"/>
      <c r="L115" s="381"/>
      <c r="M115" s="381"/>
      <c r="N115" s="381"/>
      <c r="O115" s="381"/>
    </row>
    <row r="116" spans="2:15" s="371" customFormat="1" x14ac:dyDescent="0.2">
      <c r="B116" s="477"/>
      <c r="C116" s="478"/>
      <c r="D116" s="478"/>
      <c r="E116" s="478"/>
      <c r="F116" s="478"/>
      <c r="G116" s="478"/>
      <c r="H116" s="477"/>
      <c r="I116" s="381"/>
      <c r="K116" s="381"/>
      <c r="L116" s="381"/>
      <c r="M116" s="381"/>
      <c r="N116" s="381"/>
      <c r="O116" s="381"/>
    </row>
    <row r="117" spans="2:15" s="371" customFormat="1" x14ac:dyDescent="0.2">
      <c r="B117" s="477"/>
      <c r="C117" s="478"/>
      <c r="D117" s="478"/>
      <c r="E117" s="478"/>
      <c r="F117" s="478"/>
      <c r="G117" s="478"/>
      <c r="H117" s="477"/>
      <c r="I117" s="381"/>
      <c r="K117" s="381"/>
      <c r="L117" s="381"/>
      <c r="M117" s="381"/>
      <c r="N117" s="381"/>
      <c r="O117" s="381"/>
    </row>
    <row r="118" spans="2:15" s="371" customFormat="1" x14ac:dyDescent="0.2">
      <c r="B118" s="477"/>
      <c r="C118" s="478"/>
      <c r="D118" s="478"/>
      <c r="E118" s="478"/>
      <c r="F118" s="478"/>
      <c r="G118" s="478"/>
      <c r="H118" s="477"/>
      <c r="I118" s="381"/>
      <c r="K118" s="381"/>
      <c r="L118" s="381"/>
      <c r="M118" s="381"/>
      <c r="N118" s="381"/>
      <c r="O118" s="381"/>
    </row>
    <row r="119" spans="2:15" s="371" customFormat="1" x14ac:dyDescent="0.2">
      <c r="B119" s="477"/>
      <c r="C119" s="478"/>
      <c r="D119" s="478"/>
      <c r="E119" s="478"/>
      <c r="F119" s="478"/>
      <c r="G119" s="478"/>
      <c r="H119" s="477"/>
      <c r="I119" s="381"/>
      <c r="K119" s="381"/>
      <c r="L119" s="381"/>
      <c r="M119" s="381"/>
      <c r="N119" s="381"/>
      <c r="O119" s="381"/>
    </row>
    <row r="120" spans="2:15" s="371" customFormat="1" x14ac:dyDescent="0.2">
      <c r="B120" s="477"/>
      <c r="C120" s="478"/>
      <c r="D120" s="478"/>
      <c r="E120" s="478"/>
      <c r="F120" s="478"/>
      <c r="G120" s="478"/>
      <c r="H120" s="477"/>
      <c r="I120" s="381"/>
      <c r="K120" s="381"/>
      <c r="L120" s="381"/>
      <c r="M120" s="381"/>
      <c r="N120" s="381"/>
      <c r="O120" s="381"/>
    </row>
    <row r="121" spans="2:15" s="371" customFormat="1" x14ac:dyDescent="0.2">
      <c r="B121" s="477"/>
      <c r="C121" s="478"/>
      <c r="D121" s="478"/>
      <c r="E121" s="478"/>
      <c r="F121" s="478"/>
      <c r="G121" s="478"/>
      <c r="H121" s="477"/>
      <c r="I121" s="381"/>
      <c r="K121" s="381"/>
      <c r="L121" s="381"/>
      <c r="M121" s="381"/>
      <c r="N121" s="381"/>
      <c r="O121" s="381"/>
    </row>
    <row r="122" spans="2:15" s="371" customFormat="1" x14ac:dyDescent="0.2">
      <c r="B122" s="477"/>
      <c r="C122" s="478"/>
      <c r="D122" s="478"/>
      <c r="E122" s="478"/>
      <c r="F122" s="478"/>
      <c r="G122" s="478"/>
      <c r="H122" s="477"/>
      <c r="I122" s="381"/>
      <c r="K122" s="381"/>
      <c r="L122" s="381"/>
      <c r="M122" s="381"/>
      <c r="N122" s="381"/>
      <c r="O122" s="381"/>
    </row>
    <row r="123" spans="2:15" s="371" customFormat="1" x14ac:dyDescent="0.2">
      <c r="B123" s="477"/>
      <c r="C123" s="478"/>
      <c r="D123" s="478"/>
      <c r="E123" s="478"/>
      <c r="F123" s="478"/>
      <c r="G123" s="478"/>
      <c r="H123" s="477"/>
      <c r="I123" s="381"/>
      <c r="K123" s="381"/>
      <c r="L123" s="381"/>
      <c r="M123" s="381"/>
      <c r="N123" s="381"/>
      <c r="O123" s="381"/>
    </row>
    <row r="124" spans="2:15" s="371" customFormat="1" x14ac:dyDescent="0.2">
      <c r="B124" s="477"/>
      <c r="C124" s="478"/>
      <c r="D124" s="478"/>
      <c r="E124" s="478"/>
      <c r="F124" s="478"/>
      <c r="G124" s="478"/>
      <c r="H124" s="477"/>
      <c r="I124" s="381"/>
      <c r="K124" s="381"/>
      <c r="L124" s="381"/>
      <c r="M124" s="381"/>
      <c r="N124" s="381"/>
      <c r="O124" s="381"/>
    </row>
    <row r="125" spans="2:15" s="371" customFormat="1" x14ac:dyDescent="0.2">
      <c r="B125" s="477"/>
      <c r="C125" s="478"/>
      <c r="D125" s="478"/>
      <c r="E125" s="478"/>
      <c r="F125" s="478"/>
      <c r="G125" s="478"/>
      <c r="H125" s="477"/>
      <c r="I125" s="381"/>
      <c r="K125" s="381"/>
      <c r="L125" s="381"/>
      <c r="M125" s="381"/>
      <c r="N125" s="381"/>
      <c r="O125" s="381"/>
    </row>
    <row r="126" spans="2:15" s="371" customFormat="1" x14ac:dyDescent="0.2">
      <c r="B126" s="477"/>
      <c r="C126" s="478"/>
      <c r="D126" s="478"/>
      <c r="E126" s="478"/>
      <c r="F126" s="478"/>
      <c r="G126" s="478"/>
      <c r="H126" s="477"/>
      <c r="I126" s="381"/>
      <c r="K126" s="381"/>
      <c r="L126" s="381"/>
      <c r="M126" s="381"/>
      <c r="N126" s="381"/>
      <c r="O126" s="381"/>
    </row>
    <row r="127" spans="2:15" s="371" customFormat="1" x14ac:dyDescent="0.2">
      <c r="B127" s="477"/>
      <c r="C127" s="478"/>
      <c r="D127" s="478"/>
      <c r="E127" s="478"/>
      <c r="F127" s="478"/>
      <c r="G127" s="478"/>
      <c r="H127" s="477"/>
      <c r="I127" s="381"/>
      <c r="K127" s="381"/>
      <c r="L127" s="381"/>
      <c r="M127" s="381"/>
      <c r="N127" s="381"/>
      <c r="O127" s="381"/>
    </row>
    <row r="128" spans="2:15" s="371" customFormat="1" x14ac:dyDescent="0.2">
      <c r="B128" s="477"/>
      <c r="C128" s="478"/>
      <c r="D128" s="478"/>
      <c r="E128" s="478"/>
      <c r="F128" s="478"/>
      <c r="G128" s="478"/>
      <c r="H128" s="477"/>
      <c r="I128" s="381"/>
      <c r="K128" s="381"/>
      <c r="L128" s="381"/>
      <c r="M128" s="381"/>
      <c r="N128" s="381"/>
      <c r="O128" s="381"/>
    </row>
    <row r="129" spans="1:34" s="371" customFormat="1" x14ac:dyDescent="0.2">
      <c r="B129" s="477"/>
      <c r="C129" s="478"/>
      <c r="D129" s="478"/>
      <c r="E129" s="478"/>
      <c r="F129" s="478"/>
      <c r="G129" s="478"/>
      <c r="H129" s="477"/>
      <c r="I129" s="381"/>
      <c r="K129" s="381"/>
      <c r="L129" s="381"/>
      <c r="M129" s="381"/>
      <c r="N129" s="381"/>
      <c r="O129" s="381"/>
    </row>
    <row r="130" spans="1:34" s="371" customFormat="1" x14ac:dyDescent="0.2">
      <c r="B130" s="477"/>
      <c r="C130" s="478"/>
      <c r="D130" s="478"/>
      <c r="E130" s="478"/>
      <c r="F130" s="478"/>
      <c r="G130" s="478"/>
      <c r="H130" s="477"/>
      <c r="I130" s="381"/>
      <c r="K130" s="381"/>
      <c r="L130" s="381"/>
      <c r="M130" s="381"/>
      <c r="N130" s="381"/>
      <c r="O130" s="381"/>
    </row>
    <row r="131" spans="1:34" s="371" customFormat="1" x14ac:dyDescent="0.2">
      <c r="B131" s="477"/>
      <c r="C131" s="478"/>
      <c r="D131" s="478"/>
      <c r="E131" s="478"/>
      <c r="F131" s="478"/>
      <c r="G131" s="478"/>
      <c r="H131" s="477"/>
      <c r="I131" s="381"/>
      <c r="K131" s="381"/>
      <c r="L131" s="381"/>
      <c r="M131" s="381"/>
      <c r="N131" s="381"/>
      <c r="O131" s="381"/>
    </row>
    <row r="132" spans="1:34" s="371" customFormat="1" x14ac:dyDescent="0.2">
      <c r="B132" s="477"/>
      <c r="C132" s="478"/>
      <c r="D132" s="478"/>
      <c r="E132" s="478"/>
      <c r="F132" s="478"/>
      <c r="G132" s="478"/>
      <c r="H132" s="477"/>
      <c r="I132" s="381"/>
      <c r="K132" s="381"/>
      <c r="L132" s="381"/>
      <c r="M132" s="381"/>
      <c r="N132" s="381"/>
      <c r="O132" s="381"/>
    </row>
    <row r="133" spans="1:34" s="371" customFormat="1" x14ac:dyDescent="0.2">
      <c r="B133" s="477"/>
      <c r="C133" s="478"/>
      <c r="D133" s="478"/>
      <c r="E133" s="478"/>
      <c r="F133" s="478"/>
      <c r="G133" s="478"/>
      <c r="H133" s="477"/>
      <c r="I133" s="381"/>
      <c r="K133" s="381"/>
      <c r="L133" s="381"/>
      <c r="M133" s="381"/>
      <c r="N133" s="381"/>
      <c r="O133" s="381"/>
    </row>
    <row r="134" spans="1:34" s="371" customFormat="1" x14ac:dyDescent="0.2">
      <c r="B134" s="477"/>
      <c r="C134" s="478"/>
      <c r="D134" s="478"/>
      <c r="E134" s="478"/>
      <c r="F134" s="478"/>
      <c r="G134" s="478"/>
      <c r="H134" s="477"/>
      <c r="I134" s="381"/>
      <c r="K134" s="381"/>
      <c r="L134" s="381"/>
      <c r="M134" s="381"/>
      <c r="N134" s="381"/>
      <c r="O134" s="381"/>
    </row>
    <row r="135" spans="1:34" s="371" customFormat="1" x14ac:dyDescent="0.2">
      <c r="B135" s="477"/>
      <c r="C135" s="478"/>
      <c r="D135" s="478"/>
      <c r="E135" s="478"/>
      <c r="F135" s="478"/>
      <c r="G135" s="478"/>
      <c r="H135" s="477"/>
      <c r="I135" s="381"/>
      <c r="K135" s="381"/>
      <c r="L135" s="381"/>
      <c r="M135" s="381"/>
      <c r="N135" s="381"/>
      <c r="O135" s="381"/>
    </row>
    <row r="136" spans="1:34" s="371" customFormat="1" x14ac:dyDescent="0.2">
      <c r="B136" s="477"/>
      <c r="C136" s="478"/>
      <c r="D136" s="478"/>
      <c r="E136" s="478"/>
      <c r="F136" s="478"/>
      <c r="G136" s="478"/>
      <c r="H136" s="477"/>
      <c r="I136" s="381"/>
      <c r="K136" s="381"/>
      <c r="L136" s="381"/>
      <c r="M136" s="381"/>
      <c r="N136" s="381"/>
      <c r="O136" s="381"/>
    </row>
    <row r="137" spans="1:34" s="371" customFormat="1" x14ac:dyDescent="0.2">
      <c r="B137" s="477"/>
      <c r="C137" s="478"/>
      <c r="D137" s="478"/>
      <c r="E137" s="478"/>
      <c r="F137" s="478"/>
      <c r="G137" s="478"/>
      <c r="H137" s="477"/>
      <c r="I137" s="381"/>
      <c r="J137" s="381"/>
      <c r="K137" s="381"/>
      <c r="L137" s="381"/>
      <c r="M137" s="381"/>
      <c r="N137" s="381"/>
      <c r="O137" s="381"/>
    </row>
    <row r="138" spans="1:34" s="371" customFormat="1" x14ac:dyDescent="0.2">
      <c r="B138" s="477"/>
      <c r="C138" s="478"/>
      <c r="D138" s="478"/>
      <c r="E138" s="478"/>
      <c r="F138" s="478"/>
      <c r="G138" s="478"/>
      <c r="H138" s="477"/>
      <c r="I138" s="381"/>
      <c r="J138" s="381"/>
      <c r="K138" s="381"/>
      <c r="L138" s="381"/>
      <c r="M138" s="381"/>
      <c r="N138" s="381"/>
      <c r="O138" s="381"/>
    </row>
    <row r="139" spans="1:34" s="371" customFormat="1" x14ac:dyDescent="0.2">
      <c r="B139" s="493"/>
      <c r="C139" s="493"/>
      <c r="D139" s="493"/>
      <c r="E139" s="493"/>
      <c r="F139" s="493"/>
      <c r="G139" s="493"/>
      <c r="H139" s="493"/>
      <c r="K139" s="381"/>
      <c r="L139" s="381"/>
      <c r="M139" s="381"/>
      <c r="N139" s="381"/>
      <c r="O139" s="381"/>
    </row>
    <row r="140" spans="1:34" s="371" customFormat="1" ht="12.75" thickBot="1" x14ac:dyDescent="0.25">
      <c r="B140" s="374" t="s">
        <v>251</v>
      </c>
      <c r="L140" s="381"/>
      <c r="M140" s="381"/>
      <c r="N140" s="381"/>
      <c r="O140" s="381"/>
    </row>
    <row r="141" spans="1:34" x14ac:dyDescent="0.2">
      <c r="A141" s="385"/>
      <c r="B141" s="376" t="s">
        <v>252</v>
      </c>
      <c r="C141" s="377"/>
      <c r="D141" s="377"/>
      <c r="E141" s="377"/>
      <c r="F141" s="377"/>
      <c r="G141" s="377"/>
      <c r="H141" s="494" t="s">
        <v>251</v>
      </c>
      <c r="I141" s="378"/>
      <c r="J141" s="381"/>
      <c r="K141" s="381"/>
      <c r="L141" s="371"/>
      <c r="M141" s="371"/>
      <c r="N141" s="371"/>
      <c r="O141" s="371"/>
      <c r="P141" s="385"/>
      <c r="Q141" s="385"/>
      <c r="R141" s="385"/>
      <c r="S141" s="385"/>
      <c r="T141" s="385"/>
      <c r="U141" s="385"/>
      <c r="V141" s="385"/>
      <c r="W141" s="385"/>
      <c r="X141" s="385"/>
      <c r="Y141" s="385"/>
      <c r="Z141" s="385"/>
      <c r="AA141" s="385"/>
      <c r="AB141" s="385"/>
      <c r="AC141" s="385"/>
      <c r="AD141" s="385"/>
      <c r="AE141" s="385"/>
      <c r="AF141" s="385"/>
      <c r="AG141" s="385"/>
      <c r="AH141" s="385"/>
    </row>
    <row r="142" spans="1:34" x14ac:dyDescent="0.2">
      <c r="A142" s="385"/>
      <c r="B142" s="387"/>
      <c r="C142" s="388"/>
      <c r="D142" s="388"/>
      <c r="E142" s="388"/>
      <c r="F142" s="388"/>
      <c r="G142" s="388"/>
      <c r="H142" s="388"/>
      <c r="I142" s="389"/>
      <c r="J142" s="381"/>
      <c r="K142" s="381"/>
      <c r="L142" s="371"/>
      <c r="M142" s="371"/>
      <c r="N142" s="371"/>
      <c r="O142" s="371"/>
      <c r="P142" s="385"/>
      <c r="Q142" s="385"/>
      <c r="R142" s="385"/>
      <c r="S142" s="385"/>
      <c r="T142" s="385"/>
      <c r="U142" s="385"/>
      <c r="V142" s="385"/>
      <c r="W142" s="385"/>
      <c r="X142" s="385"/>
      <c r="Y142" s="385"/>
      <c r="Z142" s="385"/>
      <c r="AA142" s="385"/>
      <c r="AB142" s="385"/>
      <c r="AC142" s="385"/>
      <c r="AD142" s="385"/>
      <c r="AE142" s="385"/>
      <c r="AF142" s="385"/>
      <c r="AG142" s="385"/>
      <c r="AH142" s="385"/>
    </row>
    <row r="143" spans="1:34" x14ac:dyDescent="0.2">
      <c r="A143" s="385"/>
      <c r="B143" s="495" t="s">
        <v>206</v>
      </c>
      <c r="C143" s="392">
        <v>2016</v>
      </c>
      <c r="D143" s="392">
        <v>2017</v>
      </c>
      <c r="E143" s="392">
        <v>2018</v>
      </c>
      <c r="F143" s="392">
        <v>2019</v>
      </c>
      <c r="G143" s="392">
        <v>2020</v>
      </c>
      <c r="H143" s="392">
        <v>2021</v>
      </c>
      <c r="I143" s="389"/>
      <c r="J143" s="381"/>
      <c r="K143" s="381"/>
      <c r="L143" s="381"/>
      <c r="M143" s="381"/>
      <c r="N143" s="381"/>
      <c r="O143" s="381"/>
      <c r="P143" s="385"/>
      <c r="Q143" s="385"/>
      <c r="R143" s="385"/>
      <c r="S143" s="385"/>
      <c r="T143" s="385"/>
      <c r="U143" s="385"/>
      <c r="V143" s="385"/>
      <c r="W143" s="385"/>
      <c r="X143" s="385"/>
      <c r="Y143" s="385"/>
      <c r="Z143" s="385"/>
      <c r="AA143" s="385"/>
      <c r="AB143" s="385"/>
      <c r="AC143" s="385"/>
      <c r="AD143" s="385"/>
      <c r="AE143" s="385"/>
      <c r="AF143" s="385"/>
      <c r="AG143" s="385"/>
      <c r="AH143" s="385"/>
    </row>
    <row r="144" spans="1:34" x14ac:dyDescent="0.2">
      <c r="A144" s="385"/>
      <c r="B144" s="391" t="s">
        <v>207</v>
      </c>
      <c r="C144" s="402"/>
      <c r="D144" s="398">
        <v>18.09</v>
      </c>
      <c r="E144" s="398">
        <v>18.100000000000001</v>
      </c>
      <c r="F144" s="398">
        <v>18.82</v>
      </c>
      <c r="G144" s="398">
        <v>19.86</v>
      </c>
      <c r="H144" s="398">
        <v>20.88</v>
      </c>
      <c r="I144" s="389"/>
      <c r="J144" s="381"/>
      <c r="K144" s="381"/>
      <c r="L144" s="381"/>
      <c r="M144" s="381"/>
      <c r="N144" s="381"/>
      <c r="O144" s="381"/>
      <c r="P144" s="385"/>
      <c r="Q144" s="385"/>
      <c r="R144" s="385"/>
      <c r="S144" s="385"/>
      <c r="T144" s="385"/>
      <c r="U144" s="385"/>
      <c r="V144" s="385"/>
      <c r="W144" s="385"/>
      <c r="X144" s="385"/>
      <c r="Y144" s="385"/>
      <c r="Z144" s="385"/>
      <c r="AA144" s="385"/>
      <c r="AB144" s="385"/>
      <c r="AC144" s="385"/>
      <c r="AD144" s="385"/>
      <c r="AE144" s="385"/>
      <c r="AF144" s="385"/>
      <c r="AG144" s="385"/>
      <c r="AH144" s="385"/>
    </row>
    <row r="145" spans="1:34" x14ac:dyDescent="0.2">
      <c r="A145" s="385"/>
      <c r="B145" s="387" t="s">
        <v>253</v>
      </c>
      <c r="C145" s="388"/>
      <c r="D145" s="410">
        <v>142.33169192075729</v>
      </c>
      <c r="E145" s="410">
        <v>136.4436970825605</v>
      </c>
      <c r="F145" s="410">
        <v>130.55570224436374</v>
      </c>
      <c r="G145" s="410">
        <v>124.66770740616697</v>
      </c>
      <c r="H145" s="410">
        <v>120.6280483658439</v>
      </c>
      <c r="I145" s="389"/>
      <c r="J145" s="381"/>
      <c r="K145" s="381"/>
      <c r="L145" s="381"/>
      <c r="M145" s="381"/>
      <c r="N145" s="381"/>
      <c r="O145" s="381"/>
      <c r="P145" s="385"/>
      <c r="Q145" s="385"/>
      <c r="R145" s="385"/>
      <c r="S145" s="385"/>
      <c r="T145" s="385"/>
      <c r="U145" s="385"/>
      <c r="V145" s="385"/>
      <c r="W145" s="385"/>
      <c r="X145" s="385"/>
      <c r="Y145" s="385"/>
      <c r="Z145" s="385"/>
      <c r="AA145" s="385"/>
      <c r="AB145" s="385"/>
      <c r="AC145" s="385"/>
      <c r="AD145" s="385"/>
      <c r="AE145" s="385"/>
      <c r="AF145" s="385"/>
      <c r="AG145" s="385"/>
      <c r="AH145" s="385"/>
    </row>
    <row r="146" spans="1:34" x14ac:dyDescent="0.2">
      <c r="A146" s="385"/>
      <c r="B146" s="409" t="s">
        <v>210</v>
      </c>
      <c r="C146" s="388"/>
      <c r="D146" s="410">
        <f>D145*0.05</f>
        <v>7.1165845960378649</v>
      </c>
      <c r="E146" s="410">
        <f>E145*0.05</f>
        <v>6.8221848541280252</v>
      </c>
      <c r="F146" s="410">
        <f>F145*0.05</f>
        <v>6.5277851122181874</v>
      </c>
      <c r="G146" s="410">
        <f>G145*0.05</f>
        <v>6.2333853703083486</v>
      </c>
      <c r="H146" s="410">
        <f>H145*0.05</f>
        <v>6.0314024182921955</v>
      </c>
      <c r="I146" s="389"/>
      <c r="J146" s="381"/>
      <c r="K146" s="381"/>
      <c r="L146" s="381"/>
      <c r="M146" s="381"/>
      <c r="N146" s="381"/>
      <c r="O146" s="381"/>
      <c r="P146" s="385"/>
      <c r="Q146" s="385"/>
      <c r="R146" s="385"/>
      <c r="S146" s="385"/>
      <c r="T146" s="385"/>
      <c r="U146" s="385"/>
      <c r="V146" s="385"/>
      <c r="W146" s="385"/>
      <c r="X146" s="385"/>
      <c r="Y146" s="385"/>
      <c r="Z146" s="385"/>
      <c r="AA146" s="385"/>
      <c r="AB146" s="385"/>
      <c r="AC146" s="385"/>
      <c r="AD146" s="385"/>
      <c r="AE146" s="385"/>
      <c r="AF146" s="385"/>
      <c r="AG146" s="385"/>
      <c r="AH146" s="385"/>
    </row>
    <row r="147" spans="1:34" x14ac:dyDescent="0.2">
      <c r="A147" s="385"/>
      <c r="B147" s="416" t="s">
        <v>212</v>
      </c>
      <c r="C147" s="417"/>
      <c r="D147" s="418">
        <v>29.502350481872782</v>
      </c>
      <c r="E147" s="418">
        <v>28.720874520898647</v>
      </c>
      <c r="F147" s="418">
        <v>27.939398559924509</v>
      </c>
      <c r="G147" s="418">
        <v>27.157922598950375</v>
      </c>
      <c r="H147" s="418">
        <v>26.643317986791903</v>
      </c>
      <c r="I147" s="389"/>
      <c r="J147" s="381"/>
      <c r="K147" s="381"/>
      <c r="L147" s="381"/>
      <c r="M147" s="381"/>
      <c r="N147" s="381"/>
      <c r="O147" s="381"/>
      <c r="Q147" s="385"/>
      <c r="R147" s="385"/>
      <c r="S147" s="385"/>
      <c r="T147" s="385"/>
      <c r="U147" s="385"/>
      <c r="V147" s="385"/>
      <c r="W147" s="385"/>
      <c r="X147" s="385"/>
      <c r="Y147" s="385"/>
      <c r="Z147" s="385"/>
      <c r="AA147" s="385"/>
      <c r="AB147" s="385"/>
      <c r="AC147" s="385"/>
      <c r="AD147" s="385"/>
      <c r="AE147" s="385"/>
      <c r="AF147" s="385"/>
      <c r="AG147" s="385"/>
      <c r="AH147" s="385"/>
    </row>
    <row r="148" spans="1:34" x14ac:dyDescent="0.2">
      <c r="A148" s="385"/>
      <c r="B148" s="416"/>
      <c r="C148" s="417"/>
      <c r="D148" s="423"/>
      <c r="E148" s="423"/>
      <c r="F148" s="423"/>
      <c r="G148" s="423"/>
      <c r="H148" s="423"/>
      <c r="I148" s="389"/>
      <c r="J148" s="381"/>
      <c r="K148" s="381"/>
      <c r="L148" s="381"/>
      <c r="M148" s="381"/>
      <c r="N148" s="381"/>
      <c r="O148" s="381"/>
      <c r="Q148" s="385"/>
      <c r="R148" s="385"/>
      <c r="S148" s="385"/>
      <c r="T148" s="385"/>
      <c r="U148" s="385"/>
      <c r="V148" s="385"/>
      <c r="W148" s="385"/>
      <c r="X148" s="385"/>
      <c r="Y148" s="385"/>
      <c r="Z148" s="385"/>
      <c r="AA148" s="385"/>
      <c r="AB148" s="385"/>
      <c r="AC148" s="385"/>
      <c r="AD148" s="385"/>
      <c r="AE148" s="385"/>
      <c r="AF148" s="385"/>
      <c r="AG148" s="385"/>
      <c r="AH148" s="385"/>
    </row>
    <row r="149" spans="1:34" x14ac:dyDescent="0.2">
      <c r="A149" s="385"/>
      <c r="B149" s="409"/>
      <c r="C149" s="388"/>
      <c r="D149" s="410"/>
      <c r="E149" s="410"/>
      <c r="F149" s="410"/>
      <c r="G149" s="410"/>
      <c r="H149" s="410"/>
      <c r="I149" s="389"/>
      <c r="J149" s="381"/>
      <c r="K149" s="381"/>
      <c r="L149" s="381"/>
      <c r="M149" s="381"/>
      <c r="N149" s="381"/>
      <c r="O149" s="381"/>
      <c r="Q149" s="385"/>
      <c r="R149" s="385"/>
      <c r="S149" s="385"/>
      <c r="T149" s="385"/>
      <c r="U149" s="385"/>
      <c r="V149" s="385"/>
      <c r="W149" s="385"/>
      <c r="X149" s="385"/>
      <c r="Y149" s="385"/>
      <c r="Z149" s="385"/>
      <c r="AA149" s="385"/>
      <c r="AB149" s="385"/>
      <c r="AC149" s="385"/>
      <c r="AD149" s="385"/>
      <c r="AE149" s="385"/>
      <c r="AF149" s="385"/>
      <c r="AG149" s="385"/>
      <c r="AH149" s="385"/>
    </row>
    <row r="150" spans="1:34" x14ac:dyDescent="0.2">
      <c r="A150" s="385"/>
      <c r="B150" s="409"/>
      <c r="C150" s="388"/>
      <c r="D150" s="410"/>
      <c r="E150" s="410"/>
      <c r="F150" s="410"/>
      <c r="G150" s="410"/>
      <c r="H150" s="410"/>
      <c r="I150" s="389"/>
      <c r="J150" s="381"/>
      <c r="K150" s="381"/>
      <c r="L150" s="381"/>
      <c r="M150" s="381"/>
      <c r="N150" s="381"/>
      <c r="O150" s="381"/>
      <c r="Q150" s="385"/>
      <c r="R150" s="385"/>
      <c r="S150" s="385"/>
      <c r="T150" s="385"/>
      <c r="U150" s="385"/>
      <c r="V150" s="385"/>
      <c r="W150" s="385"/>
      <c r="X150" s="385"/>
      <c r="Y150" s="385"/>
      <c r="Z150" s="385"/>
      <c r="AA150" s="385"/>
      <c r="AB150" s="385"/>
      <c r="AC150" s="385"/>
      <c r="AD150" s="385"/>
      <c r="AE150" s="385"/>
      <c r="AF150" s="385"/>
      <c r="AG150" s="385"/>
      <c r="AH150" s="385"/>
    </row>
    <row r="151" spans="1:34" x14ac:dyDescent="0.2">
      <c r="A151" s="385"/>
      <c r="B151" s="409"/>
      <c r="C151" s="388"/>
      <c r="D151" s="410"/>
      <c r="E151" s="410"/>
      <c r="F151" s="410"/>
      <c r="G151" s="410"/>
      <c r="H151" s="410"/>
      <c r="I151" s="389"/>
      <c r="J151" s="381"/>
      <c r="K151" s="381"/>
      <c r="L151" s="381"/>
      <c r="M151" s="381"/>
      <c r="N151" s="381"/>
      <c r="O151" s="381"/>
      <c r="Q151" s="385"/>
      <c r="R151" s="385"/>
      <c r="S151" s="385"/>
      <c r="T151" s="385"/>
      <c r="U151" s="385"/>
      <c r="V151" s="385"/>
      <c r="W151" s="385"/>
      <c r="X151" s="385"/>
      <c r="Y151" s="385"/>
      <c r="Z151" s="385"/>
      <c r="AA151" s="385"/>
      <c r="AB151" s="385"/>
      <c r="AC151" s="385"/>
      <c r="AD151" s="385"/>
      <c r="AE151" s="385"/>
      <c r="AF151" s="385"/>
      <c r="AG151" s="385"/>
      <c r="AH151" s="385"/>
    </row>
    <row r="152" spans="1:34" x14ac:dyDescent="0.2">
      <c r="A152" s="385"/>
      <c r="B152" s="409"/>
      <c r="C152" s="388"/>
      <c r="D152" s="428">
        <f>(D147+D148)/D145</f>
        <v>0.20727885746133137</v>
      </c>
      <c r="E152" s="428">
        <f>(E147+E148)/E145</f>
        <v>0.21049616167700277</v>
      </c>
      <c r="F152" s="428">
        <f>(F147+F148)/F145</f>
        <v>0.21400366341433155</v>
      </c>
      <c r="G152" s="428">
        <f>(G147+G148)/G145</f>
        <v>0.21784248033430145</v>
      </c>
      <c r="H152" s="428">
        <f>(H147+H148)/H145</f>
        <v>0.22087166581678708</v>
      </c>
      <c r="I152" s="389"/>
      <c r="J152" s="381"/>
      <c r="K152" s="381"/>
      <c r="L152" s="381"/>
      <c r="M152" s="381"/>
      <c r="N152" s="381"/>
      <c r="O152" s="381"/>
      <c r="Q152" s="385"/>
      <c r="R152" s="385"/>
      <c r="S152" s="385"/>
      <c r="T152" s="385"/>
      <c r="U152" s="385"/>
      <c r="V152" s="385"/>
      <c r="W152" s="385"/>
      <c r="X152" s="385"/>
      <c r="Y152" s="385"/>
      <c r="Z152" s="385"/>
      <c r="AA152" s="385"/>
      <c r="AB152" s="385"/>
      <c r="AC152" s="385"/>
      <c r="AD152" s="385"/>
      <c r="AE152" s="385"/>
      <c r="AF152" s="385"/>
      <c r="AG152" s="385"/>
      <c r="AH152" s="385"/>
    </row>
    <row r="153" spans="1:34" x14ac:dyDescent="0.2">
      <c r="A153" s="385"/>
      <c r="B153" s="429" t="s">
        <v>216</v>
      </c>
      <c r="C153" s="430"/>
      <c r="D153" s="431">
        <f>D145-D146-D147-D148</f>
        <v>105.71275684284666</v>
      </c>
      <c r="E153" s="431">
        <f>E145-E146-E147-E148</f>
        <v>100.90063770753385</v>
      </c>
      <c r="F153" s="431">
        <f>F145-F146-F147-F148</f>
        <v>96.088518572221048</v>
      </c>
      <c r="G153" s="431">
        <f>G145-G146-G147-G148</f>
        <v>91.276399436908235</v>
      </c>
      <c r="H153" s="431">
        <f>H145-H146-H147</f>
        <v>87.953327960759808</v>
      </c>
      <c r="I153" s="389"/>
      <c r="J153" s="381"/>
      <c r="K153" s="381"/>
      <c r="L153" s="381"/>
      <c r="M153" s="381"/>
      <c r="N153" s="381"/>
      <c r="O153" s="381"/>
      <c r="Q153" s="385"/>
      <c r="R153" s="385"/>
      <c r="S153" s="385"/>
      <c r="T153" s="385"/>
      <c r="U153" s="385"/>
      <c r="V153" s="385"/>
      <c r="W153" s="385"/>
      <c r="X153" s="385"/>
      <c r="Y153" s="385"/>
      <c r="Z153" s="385"/>
      <c r="AA153" s="385"/>
      <c r="AB153" s="385"/>
      <c r="AC153" s="385"/>
      <c r="AD153" s="385"/>
      <c r="AE153" s="385"/>
      <c r="AF153" s="385"/>
      <c r="AG153" s="385"/>
      <c r="AH153" s="385"/>
    </row>
    <row r="154" spans="1:34" x14ac:dyDescent="0.2">
      <c r="A154" s="385"/>
      <c r="B154" s="432" t="s">
        <v>217</v>
      </c>
      <c r="C154" s="430"/>
      <c r="D154" s="433">
        <v>7.5</v>
      </c>
      <c r="E154" s="433">
        <v>7.5</v>
      </c>
      <c r="F154" s="433">
        <v>7.5</v>
      </c>
      <c r="G154" s="433">
        <v>7.5</v>
      </c>
      <c r="H154" s="433">
        <v>7.5</v>
      </c>
      <c r="I154" s="389"/>
      <c r="J154" s="381"/>
      <c r="K154" s="381"/>
      <c r="L154" s="381"/>
      <c r="M154" s="381"/>
      <c r="N154" s="381"/>
      <c r="O154" s="381"/>
      <c r="Q154" s="385"/>
      <c r="R154" s="385"/>
      <c r="S154" s="385"/>
      <c r="T154" s="385"/>
      <c r="U154" s="385"/>
      <c r="V154" s="385"/>
      <c r="W154" s="385"/>
      <c r="X154" s="385"/>
      <c r="Y154" s="385"/>
      <c r="Z154" s="385"/>
      <c r="AA154" s="385"/>
      <c r="AB154" s="385"/>
      <c r="AC154" s="385"/>
      <c r="AD154" s="385"/>
      <c r="AE154" s="385"/>
      <c r="AF154" s="385"/>
      <c r="AG154" s="385"/>
      <c r="AH154" s="385"/>
    </row>
    <row r="155" spans="1:34" x14ac:dyDescent="0.2">
      <c r="A155" s="385"/>
      <c r="B155" s="432" t="s">
        <v>218</v>
      </c>
      <c r="C155" s="430"/>
      <c r="D155" s="433">
        <f>D153-D154</f>
        <v>98.212756842846659</v>
      </c>
      <c r="E155" s="433">
        <f>E153-E154</f>
        <v>93.400637707533846</v>
      </c>
      <c r="F155" s="433">
        <f>F153-F154</f>
        <v>88.588518572221048</v>
      </c>
      <c r="G155" s="433">
        <f>G153-G154</f>
        <v>83.776399436908235</v>
      </c>
      <c r="H155" s="433">
        <f>H153-H154</f>
        <v>80.453327960759808</v>
      </c>
      <c r="I155" s="389"/>
      <c r="J155" s="381"/>
      <c r="K155" s="381"/>
      <c r="L155" s="381"/>
      <c r="M155" s="381"/>
      <c r="N155" s="381"/>
      <c r="O155" s="381"/>
      <c r="Q155" s="385"/>
      <c r="R155" s="385"/>
      <c r="S155" s="385"/>
      <c r="T155" s="385"/>
      <c r="U155" s="385"/>
      <c r="V155" s="385"/>
      <c r="W155" s="385"/>
      <c r="X155" s="385"/>
      <c r="Y155" s="385"/>
      <c r="Z155" s="385"/>
      <c r="AA155" s="385"/>
      <c r="AB155" s="385"/>
      <c r="AC155" s="385"/>
      <c r="AD155" s="385"/>
      <c r="AE155" s="385"/>
      <c r="AF155" s="385"/>
      <c r="AG155" s="385"/>
      <c r="AH155" s="385"/>
    </row>
    <row r="156" spans="1:34" x14ac:dyDescent="0.2">
      <c r="A156" s="385"/>
      <c r="B156" s="436" t="s">
        <v>219</v>
      </c>
      <c r="C156" s="437">
        <v>0</v>
      </c>
      <c r="D156" s="438">
        <f>D153*D144</f>
        <v>1912.3437712870959</v>
      </c>
      <c r="E156" s="438">
        <f>E153*E144</f>
        <v>1826.3015425063627</v>
      </c>
      <c r="F156" s="438">
        <f>F153*F144</f>
        <v>1808.3859195292002</v>
      </c>
      <c r="G156" s="438">
        <f>G153*G144</f>
        <v>1812.7492928169975</v>
      </c>
      <c r="H156" s="438">
        <f>H153*H144</f>
        <v>1836.4654878206647</v>
      </c>
      <c r="I156" s="389"/>
      <c r="J156" s="381"/>
      <c r="K156" s="381"/>
      <c r="L156" s="381"/>
      <c r="M156" s="381"/>
      <c r="N156" s="381"/>
      <c r="O156" s="381"/>
      <c r="Q156" s="385"/>
      <c r="R156" s="385"/>
      <c r="S156" s="385"/>
      <c r="T156" s="385"/>
      <c r="U156" s="385"/>
      <c r="V156" s="385"/>
      <c r="W156" s="385"/>
      <c r="X156" s="385"/>
      <c r="Y156" s="385"/>
      <c r="Z156" s="385"/>
      <c r="AA156" s="385"/>
      <c r="AB156" s="385"/>
      <c r="AC156" s="385"/>
      <c r="AD156" s="385"/>
      <c r="AE156" s="385"/>
      <c r="AF156" s="385"/>
      <c r="AG156" s="385"/>
      <c r="AH156" s="385"/>
    </row>
    <row r="157" spans="1:34" x14ac:dyDescent="0.2">
      <c r="A157" s="385"/>
      <c r="B157" s="387" t="s">
        <v>220</v>
      </c>
      <c r="C157" s="439">
        <f t="shared" ref="C157:H157" si="5">C156/4</f>
        <v>0</v>
      </c>
      <c r="D157" s="439">
        <f t="shared" si="5"/>
        <v>478.08594282177398</v>
      </c>
      <c r="E157" s="439">
        <f t="shared" si="5"/>
        <v>456.57538562659067</v>
      </c>
      <c r="F157" s="439">
        <f t="shared" si="5"/>
        <v>452.09647988230006</v>
      </c>
      <c r="G157" s="439">
        <f t="shared" si="5"/>
        <v>453.18732320424937</v>
      </c>
      <c r="H157" s="439">
        <f t="shared" si="5"/>
        <v>459.11637195516619</v>
      </c>
      <c r="I157" s="389"/>
      <c r="J157" s="381"/>
      <c r="K157" s="381"/>
      <c r="L157" s="381"/>
      <c r="M157" s="381"/>
      <c r="N157" s="381"/>
      <c r="O157" s="381"/>
      <c r="Q157" s="385"/>
      <c r="R157" s="385"/>
      <c r="S157" s="385"/>
      <c r="T157" s="385"/>
      <c r="U157" s="385"/>
      <c r="V157" s="385"/>
      <c r="W157" s="385"/>
      <c r="X157" s="385"/>
      <c r="Y157" s="385"/>
      <c r="Z157" s="385"/>
      <c r="AA157" s="385"/>
      <c r="AB157" s="385"/>
      <c r="AC157" s="385"/>
      <c r="AD157" s="385"/>
      <c r="AE157" s="385"/>
      <c r="AF157" s="385"/>
      <c r="AG157" s="385"/>
      <c r="AH157" s="385"/>
    </row>
    <row r="158" spans="1:34" x14ac:dyDescent="0.2">
      <c r="A158" s="385"/>
      <c r="B158" s="387"/>
      <c r="C158" s="388"/>
      <c r="D158" s="388"/>
      <c r="E158" s="388"/>
      <c r="F158" s="388"/>
      <c r="G158" s="388"/>
      <c r="H158" s="388"/>
      <c r="I158" s="389"/>
      <c r="J158" s="381"/>
      <c r="K158" s="381"/>
      <c r="L158" s="381"/>
      <c r="M158" s="381"/>
      <c r="N158" s="381"/>
      <c r="O158" s="381"/>
      <c r="Q158" s="385"/>
      <c r="R158" s="385"/>
      <c r="S158" s="385"/>
      <c r="T158" s="385"/>
      <c r="U158" s="385"/>
      <c r="V158" s="385"/>
      <c r="W158" s="385"/>
      <c r="X158" s="385"/>
      <c r="Y158" s="385"/>
      <c r="Z158" s="385"/>
      <c r="AA158" s="385"/>
      <c r="AB158" s="385"/>
      <c r="AC158" s="385"/>
      <c r="AD158" s="385"/>
      <c r="AE158" s="385"/>
      <c r="AF158" s="385"/>
      <c r="AG158" s="385"/>
      <c r="AH158" s="385"/>
    </row>
    <row r="159" spans="1:34" x14ac:dyDescent="0.2">
      <c r="A159" s="385"/>
      <c r="B159" s="441" t="s">
        <v>221</v>
      </c>
      <c r="C159" s="496" t="s">
        <v>222</v>
      </c>
      <c r="D159" s="496" t="s">
        <v>223</v>
      </c>
      <c r="E159" s="496" t="s">
        <v>224</v>
      </c>
      <c r="F159" s="496" t="s">
        <v>225</v>
      </c>
      <c r="G159" s="496" t="s">
        <v>226</v>
      </c>
      <c r="H159" s="388"/>
      <c r="I159" s="389"/>
      <c r="J159" s="381"/>
      <c r="K159" s="381"/>
      <c r="L159" s="381"/>
      <c r="M159" s="381"/>
      <c r="N159" s="381"/>
      <c r="O159" s="381"/>
      <c r="Q159" s="385"/>
      <c r="R159" s="385"/>
      <c r="S159" s="385"/>
      <c r="T159" s="385"/>
      <c r="U159" s="385"/>
      <c r="V159" s="385"/>
      <c r="W159" s="385"/>
      <c r="X159" s="385"/>
      <c r="Y159" s="385"/>
      <c r="Z159" s="385"/>
      <c r="AA159" s="385"/>
      <c r="AB159" s="385"/>
      <c r="AC159" s="385"/>
      <c r="AD159" s="385"/>
      <c r="AE159" s="385"/>
      <c r="AF159" s="385"/>
      <c r="AG159" s="385"/>
      <c r="AH159" s="385"/>
    </row>
    <row r="160" spans="1:34" x14ac:dyDescent="0.2">
      <c r="A160" s="385"/>
      <c r="B160" s="441" t="s">
        <v>254</v>
      </c>
      <c r="C160" s="444">
        <f>(C157*3)+(D157*1)</f>
        <v>478.08594282177398</v>
      </c>
      <c r="D160" s="444">
        <f>(D157*3)+(E157*1)</f>
        <v>1890.8332140919124</v>
      </c>
      <c r="E160" s="444">
        <f>(E157*3)+(F157*1)</f>
        <v>1821.8226367620723</v>
      </c>
      <c r="F160" s="444">
        <f>(F157*3)+(G157*1)</f>
        <v>1809.4767628511495</v>
      </c>
      <c r="G160" s="444">
        <f>(G157*3)+(H157*1)</f>
        <v>1818.6783415679142</v>
      </c>
      <c r="H160" s="388"/>
      <c r="I160" s="389"/>
      <c r="J160" s="381"/>
      <c r="K160" s="381"/>
      <c r="L160" s="381"/>
      <c r="M160" s="381"/>
      <c r="N160" s="381"/>
      <c r="O160" s="381"/>
      <c r="Q160" s="385"/>
      <c r="R160" s="385"/>
      <c r="S160" s="385"/>
      <c r="T160" s="385"/>
      <c r="U160" s="385"/>
      <c r="V160" s="385"/>
      <c r="W160" s="385"/>
      <c r="X160" s="385"/>
      <c r="Y160" s="385"/>
      <c r="Z160" s="385"/>
      <c r="AA160" s="385"/>
      <c r="AB160" s="385"/>
      <c r="AC160" s="385"/>
      <c r="AD160" s="385"/>
      <c r="AE160" s="385"/>
      <c r="AF160" s="385"/>
      <c r="AG160" s="385"/>
      <c r="AH160" s="385"/>
    </row>
    <row r="161" spans="1:34" ht="12.75" thickBot="1" x14ac:dyDescent="0.25">
      <c r="A161" s="385"/>
      <c r="B161" s="445" t="s">
        <v>228</v>
      </c>
      <c r="C161" s="446"/>
      <c r="D161" s="446">
        <f>D160*0.85</f>
        <v>1607.2082319781255</v>
      </c>
      <c r="E161" s="446">
        <f>E160*0.85</f>
        <v>1548.5492412477615</v>
      </c>
      <c r="F161" s="446">
        <f>F160*0.85</f>
        <v>1538.055248423477</v>
      </c>
      <c r="G161" s="446">
        <f>G160*0.85</f>
        <v>1545.8765903327271</v>
      </c>
      <c r="H161" s="447"/>
      <c r="I161" s="448"/>
      <c r="J161" s="381"/>
      <c r="K161" s="381"/>
      <c r="L161" s="381"/>
      <c r="M161" s="381"/>
      <c r="N161" s="381"/>
      <c r="O161" s="381"/>
      <c r="Q161" s="385"/>
      <c r="R161" s="385"/>
      <c r="S161" s="385"/>
      <c r="T161" s="385"/>
      <c r="U161" s="385"/>
      <c r="V161" s="385"/>
      <c r="W161" s="385"/>
      <c r="X161" s="385"/>
      <c r="Y161" s="385"/>
      <c r="Z161" s="385"/>
      <c r="AA161" s="385"/>
      <c r="AB161" s="385"/>
      <c r="AC161" s="385"/>
      <c r="AD161" s="385"/>
      <c r="AE161" s="385"/>
      <c r="AF161" s="385"/>
      <c r="AG161" s="385"/>
      <c r="AH161" s="385"/>
    </row>
    <row r="162" spans="1:34" s="381" customFormat="1" ht="12.75" thickBot="1" x14ac:dyDescent="0.25">
      <c r="B162" s="477"/>
      <c r="C162" s="478"/>
      <c r="D162" s="478"/>
      <c r="E162" s="478"/>
      <c r="F162" s="478"/>
      <c r="G162" s="478"/>
      <c r="H162" s="477"/>
      <c r="P162" s="371"/>
    </row>
    <row r="163" spans="1:34" s="371" customFormat="1" x14ac:dyDescent="0.2">
      <c r="B163" s="453" t="s">
        <v>230</v>
      </c>
      <c r="C163" s="454">
        <f t="shared" ref="C163:H163" si="6">C144*C147</f>
        <v>0</v>
      </c>
      <c r="D163" s="455">
        <f t="shared" si="6"/>
        <v>533.69752021707859</v>
      </c>
      <c r="E163" s="455">
        <f t="shared" si="6"/>
        <v>519.84782882826551</v>
      </c>
      <c r="F163" s="455">
        <f t="shared" si="6"/>
        <v>525.81948089777927</v>
      </c>
      <c r="G163" s="455">
        <f t="shared" si="6"/>
        <v>539.35634281515445</v>
      </c>
      <c r="H163" s="455">
        <f t="shared" si="6"/>
        <v>556.31247956421487</v>
      </c>
      <c r="I163" s="456"/>
      <c r="L163" s="381"/>
      <c r="M163" s="381"/>
      <c r="N163" s="381"/>
      <c r="O163" s="381"/>
    </row>
    <row r="164" spans="1:34" s="371" customFormat="1" x14ac:dyDescent="0.2">
      <c r="B164" s="387" t="s">
        <v>232</v>
      </c>
      <c r="C164" s="461"/>
      <c r="D164" s="462">
        <f t="shared" ref="D164:H165" si="7">D163/4</f>
        <v>133.42438005426965</v>
      </c>
      <c r="E164" s="462">
        <f t="shared" si="7"/>
        <v>129.96195720706638</v>
      </c>
      <c r="F164" s="462">
        <f t="shared" si="7"/>
        <v>131.45487022444482</v>
      </c>
      <c r="G164" s="462">
        <f t="shared" si="7"/>
        <v>134.83908570378861</v>
      </c>
      <c r="H164" s="462">
        <f t="shared" si="7"/>
        <v>139.07811989105372</v>
      </c>
      <c r="I164" s="463"/>
      <c r="L164" s="381"/>
      <c r="M164" s="381"/>
      <c r="N164" s="381"/>
      <c r="O164" s="381"/>
      <c r="P164" s="381"/>
    </row>
    <row r="165" spans="1:34" s="371" customFormat="1" x14ac:dyDescent="0.2">
      <c r="B165" s="387"/>
      <c r="C165" s="464">
        <f>C164/4</f>
        <v>0</v>
      </c>
      <c r="D165" s="462">
        <f t="shared" si="7"/>
        <v>33.356095013567412</v>
      </c>
      <c r="E165" s="462">
        <f t="shared" si="7"/>
        <v>32.490489301766594</v>
      </c>
      <c r="F165" s="462">
        <f t="shared" si="7"/>
        <v>32.863717556111204</v>
      </c>
      <c r="G165" s="462">
        <f t="shared" si="7"/>
        <v>33.709771425947153</v>
      </c>
      <c r="H165" s="462">
        <f t="shared" si="7"/>
        <v>34.769529972763429</v>
      </c>
      <c r="I165" s="463"/>
    </row>
    <row r="166" spans="1:34" s="371" customFormat="1" x14ac:dyDescent="0.2">
      <c r="B166" s="387" t="s">
        <v>221</v>
      </c>
      <c r="C166" s="461"/>
      <c r="D166" s="461"/>
      <c r="E166" s="461"/>
      <c r="F166" s="461"/>
      <c r="G166" s="461"/>
      <c r="H166" s="461"/>
      <c r="I166" s="389"/>
    </row>
    <row r="167" spans="1:34" s="371" customFormat="1" ht="12.75" thickBot="1" x14ac:dyDescent="0.25">
      <c r="B167" s="465" t="s">
        <v>227</v>
      </c>
      <c r="C167" s="466">
        <f>(C164*3)+(D164*1)</f>
        <v>133.42438005426965</v>
      </c>
      <c r="D167" s="466">
        <f>(D164*3)+(E164*1)</f>
        <v>530.23509736987535</v>
      </c>
      <c r="E167" s="466">
        <f>(E164*3)+(F164*1)</f>
        <v>521.34074184564395</v>
      </c>
      <c r="F167" s="466">
        <f>(F164*3)+(G164*1)</f>
        <v>529.20369637712315</v>
      </c>
      <c r="G167" s="466">
        <f>(G164*3)+(H164*1)</f>
        <v>543.59537700241958</v>
      </c>
      <c r="H167" s="467"/>
      <c r="I167" s="468"/>
    </row>
    <row r="168" spans="1:34" s="371" customFormat="1" x14ac:dyDescent="0.2"/>
    <row r="169" spans="1:34" s="371" customFormat="1" x14ac:dyDescent="0.2"/>
    <row r="170" spans="1:34" s="371" customFormat="1" x14ac:dyDescent="0.2"/>
    <row r="171" spans="1:34" s="371" customFormat="1" x14ac:dyDescent="0.2"/>
    <row r="172" spans="1:34" s="371" customFormat="1" x14ac:dyDescent="0.2"/>
    <row r="173" spans="1:34" s="371" customFormat="1" x14ac:dyDescent="0.2"/>
    <row r="174" spans="1:34" s="371" customFormat="1" x14ac:dyDescent="0.2"/>
    <row r="175" spans="1:34" s="371" customFormat="1" x14ac:dyDescent="0.2"/>
    <row r="176" spans="1:34" s="371" customFormat="1" x14ac:dyDescent="0.2"/>
    <row r="177" spans="2:8" s="371" customFormat="1" x14ac:dyDescent="0.2"/>
    <row r="178" spans="2:8" s="371" customFormat="1" x14ac:dyDescent="0.2"/>
    <row r="179" spans="2:8" s="371" customFormat="1" x14ac:dyDescent="0.2"/>
    <row r="180" spans="2:8" s="371" customFormat="1" x14ac:dyDescent="0.2"/>
    <row r="181" spans="2:8" s="371" customFormat="1" x14ac:dyDescent="0.2"/>
    <row r="182" spans="2:8" s="371" customFormat="1" x14ac:dyDescent="0.2"/>
    <row r="183" spans="2:8" s="371" customFormat="1" x14ac:dyDescent="0.2">
      <c r="B183" s="497"/>
      <c r="C183" s="498"/>
      <c r="D183" s="498"/>
      <c r="E183" s="498"/>
      <c r="F183" s="498"/>
      <c r="G183" s="498"/>
      <c r="H183" s="499"/>
    </row>
    <row r="184" spans="2:8" s="371" customFormat="1" x14ac:dyDescent="0.2">
      <c r="B184" s="497"/>
      <c r="C184" s="498"/>
      <c r="D184" s="498"/>
      <c r="E184" s="498"/>
      <c r="F184" s="498"/>
      <c r="G184" s="498"/>
      <c r="H184" s="499"/>
    </row>
    <row r="185" spans="2:8" s="371" customFormat="1" x14ac:dyDescent="0.2">
      <c r="B185" s="497"/>
      <c r="C185" s="498"/>
      <c r="D185" s="498"/>
      <c r="E185" s="498"/>
      <c r="F185" s="498"/>
      <c r="G185" s="498"/>
      <c r="H185" s="499"/>
    </row>
    <row r="186" spans="2:8" s="371" customFormat="1" x14ac:dyDescent="0.2">
      <c r="B186" s="497"/>
      <c r="C186" s="498"/>
      <c r="D186" s="498"/>
      <c r="E186" s="498"/>
      <c r="F186" s="498"/>
      <c r="G186" s="498"/>
    </row>
    <row r="187" spans="2:8" s="371" customFormat="1" ht="12.75" thickBot="1" x14ac:dyDescent="0.25">
      <c r="B187" s="371" t="s">
        <v>255</v>
      </c>
      <c r="C187" s="498"/>
      <c r="D187" s="498"/>
      <c r="E187" s="498"/>
      <c r="F187" s="498"/>
      <c r="G187" s="498"/>
    </row>
    <row r="188" spans="2:8" s="371" customFormat="1" ht="12.75" thickBot="1" x14ac:dyDescent="0.25">
      <c r="B188" s="1696"/>
      <c r="C188" s="1698" t="s">
        <v>256</v>
      </c>
      <c r="D188" s="1699"/>
      <c r="E188" s="1699"/>
      <c r="F188" s="1699"/>
      <c r="G188" s="1700"/>
    </row>
    <row r="189" spans="2:8" s="371" customFormat="1" ht="12.75" thickBot="1" x14ac:dyDescent="0.25">
      <c r="B189" s="1697"/>
      <c r="C189" s="500" t="s">
        <v>239</v>
      </c>
      <c r="D189" s="500" t="s">
        <v>240</v>
      </c>
      <c r="E189" s="500" t="s">
        <v>241</v>
      </c>
      <c r="F189" s="500" t="s">
        <v>242</v>
      </c>
      <c r="G189" s="500" t="s">
        <v>243</v>
      </c>
    </row>
    <row r="190" spans="2:8" s="371" customFormat="1" x14ac:dyDescent="0.2">
      <c r="B190" s="501" t="s">
        <v>245</v>
      </c>
      <c r="C190" s="502">
        <v>478</v>
      </c>
      <c r="D190" s="503">
        <v>1891</v>
      </c>
      <c r="E190" s="503">
        <v>1822</v>
      </c>
      <c r="F190" s="503">
        <v>1809</v>
      </c>
      <c r="G190" s="503">
        <v>1819</v>
      </c>
    </row>
    <row r="191" spans="2:8" s="371" customFormat="1" ht="12.75" thickBot="1" x14ac:dyDescent="0.25">
      <c r="B191" s="504" t="s">
        <v>257</v>
      </c>
      <c r="C191" s="505">
        <f>C142</f>
        <v>0</v>
      </c>
      <c r="D191" s="505">
        <f>D142</f>
        <v>0</v>
      </c>
      <c r="E191" s="505">
        <f>E142</f>
        <v>0</v>
      </c>
      <c r="F191" s="505">
        <f>F142</f>
        <v>0</v>
      </c>
      <c r="G191" s="505">
        <f>G142</f>
        <v>0</v>
      </c>
    </row>
    <row r="192" spans="2:8" s="371" customFormat="1" ht="12.75" thickBot="1" x14ac:dyDescent="0.25">
      <c r="B192" s="504" t="s">
        <v>258</v>
      </c>
      <c r="C192" s="506">
        <f>(C191-C190)/C190</f>
        <v>-1</v>
      </c>
      <c r="D192" s="506">
        <f>(D191-D190)/D190</f>
        <v>-1</v>
      </c>
      <c r="E192" s="506">
        <f>(E191-E190)/E190</f>
        <v>-1</v>
      </c>
      <c r="F192" s="506">
        <f>(F191-F190)/F190</f>
        <v>-1</v>
      </c>
      <c r="G192" s="506">
        <f>(G191-G190)/G190</f>
        <v>-1</v>
      </c>
    </row>
    <row r="193" spans="2:7" s="371" customFormat="1" x14ac:dyDescent="0.2">
      <c r="B193" s="497"/>
      <c r="C193" s="498"/>
      <c r="D193" s="498"/>
      <c r="E193" s="498"/>
      <c r="F193" s="498"/>
      <c r="G193" s="498"/>
    </row>
    <row r="194" spans="2:7" s="371" customFormat="1" ht="12.75" thickBot="1" x14ac:dyDescent="0.25">
      <c r="B194" s="497"/>
      <c r="C194" s="498"/>
      <c r="D194" s="498"/>
      <c r="E194" s="498"/>
      <c r="F194" s="498"/>
      <c r="G194" s="498"/>
    </row>
    <row r="195" spans="2:7" s="371" customFormat="1" ht="12.75" thickBot="1" x14ac:dyDescent="0.25">
      <c r="B195" s="1696"/>
      <c r="C195" s="1698" t="s">
        <v>256</v>
      </c>
      <c r="D195" s="1699"/>
      <c r="E195" s="1699"/>
      <c r="F195" s="1699"/>
      <c r="G195" s="1700"/>
    </row>
    <row r="196" spans="2:7" s="371" customFormat="1" ht="12.75" thickBot="1" x14ac:dyDescent="0.25">
      <c r="B196" s="1697"/>
      <c r="C196" s="500" t="s">
        <v>239</v>
      </c>
      <c r="D196" s="500" t="s">
        <v>240</v>
      </c>
      <c r="E196" s="500" t="s">
        <v>241</v>
      </c>
      <c r="F196" s="500" t="s">
        <v>242</v>
      </c>
      <c r="G196" s="500" t="s">
        <v>243</v>
      </c>
    </row>
    <row r="197" spans="2:7" s="371" customFormat="1" x14ac:dyDescent="0.2">
      <c r="B197" s="501" t="s">
        <v>245</v>
      </c>
      <c r="C197" s="502">
        <v>478</v>
      </c>
      <c r="D197" s="503">
        <v>1891</v>
      </c>
      <c r="E197" s="503">
        <v>1822</v>
      </c>
      <c r="F197" s="503">
        <v>1809</v>
      </c>
      <c r="G197" s="503">
        <v>1819</v>
      </c>
    </row>
    <row r="198" spans="2:7" s="371" customFormat="1" ht="12.75" thickBot="1" x14ac:dyDescent="0.25">
      <c r="B198" s="504" t="s">
        <v>257</v>
      </c>
      <c r="C198" s="505">
        <f>C149</f>
        <v>0</v>
      </c>
      <c r="D198" s="505">
        <f>D149</f>
        <v>0</v>
      </c>
      <c r="E198" s="505">
        <f>E149</f>
        <v>0</v>
      </c>
      <c r="F198" s="505">
        <f>F149</f>
        <v>0</v>
      </c>
      <c r="G198" s="505">
        <f>G149</f>
        <v>0</v>
      </c>
    </row>
    <row r="199" spans="2:7" s="371" customFormat="1" ht="12.75" thickBot="1" x14ac:dyDescent="0.25">
      <c r="B199" s="504" t="s">
        <v>258</v>
      </c>
      <c r="C199" s="506">
        <f>(C198-C197)/C197</f>
        <v>-1</v>
      </c>
      <c r="D199" s="506">
        <f>(D198-D197)/D197</f>
        <v>-1</v>
      </c>
      <c r="E199" s="506">
        <f>(E198-E197)/E197</f>
        <v>-1</v>
      </c>
      <c r="F199" s="506">
        <f>(F198-F197)/F197</f>
        <v>-1</v>
      </c>
      <c r="G199" s="506">
        <f>(G198-G197)/G197</f>
        <v>-1</v>
      </c>
    </row>
    <row r="200" spans="2:7" s="371" customFormat="1" x14ac:dyDescent="0.2">
      <c r="B200" s="497"/>
      <c r="C200" s="498"/>
      <c r="D200" s="498"/>
      <c r="E200" s="498"/>
      <c r="F200" s="498"/>
      <c r="G200" s="498"/>
    </row>
    <row r="201" spans="2:7" s="371" customFormat="1" ht="12.75" thickBot="1" x14ac:dyDescent="0.25">
      <c r="B201" s="497"/>
      <c r="C201" s="498"/>
      <c r="D201" s="498"/>
      <c r="E201" s="498"/>
      <c r="F201" s="498"/>
      <c r="G201" s="498"/>
    </row>
    <row r="202" spans="2:7" s="371" customFormat="1" ht="12.75" thickBot="1" x14ac:dyDescent="0.25">
      <c r="B202" s="1696"/>
      <c r="C202" s="1698" t="s">
        <v>256</v>
      </c>
      <c r="D202" s="1699"/>
      <c r="E202" s="1699"/>
      <c r="F202" s="1699"/>
      <c r="G202" s="1700"/>
    </row>
    <row r="203" spans="2:7" s="371" customFormat="1" ht="12.75" thickBot="1" x14ac:dyDescent="0.25">
      <c r="B203" s="1697"/>
      <c r="C203" s="500" t="s">
        <v>239</v>
      </c>
      <c r="D203" s="500" t="s">
        <v>240</v>
      </c>
      <c r="E203" s="500" t="s">
        <v>241</v>
      </c>
      <c r="F203" s="500" t="s">
        <v>242</v>
      </c>
      <c r="G203" s="500" t="s">
        <v>243</v>
      </c>
    </row>
    <row r="204" spans="2:7" s="371" customFormat="1" x14ac:dyDescent="0.2">
      <c r="B204" s="501" t="s">
        <v>245</v>
      </c>
      <c r="C204" s="502">
        <v>478</v>
      </c>
      <c r="D204" s="503">
        <v>1891</v>
      </c>
      <c r="E204" s="503">
        <v>1822</v>
      </c>
      <c r="F204" s="503">
        <v>1809</v>
      </c>
      <c r="G204" s="503">
        <v>1819</v>
      </c>
    </row>
    <row r="205" spans="2:7" s="371" customFormat="1" ht="12.75" thickBot="1" x14ac:dyDescent="0.25">
      <c r="B205" s="504" t="s">
        <v>257</v>
      </c>
      <c r="C205" s="505">
        <f>C156</f>
        <v>0</v>
      </c>
      <c r="D205" s="505">
        <f>D156</f>
        <v>1912.3437712870959</v>
      </c>
      <c r="E205" s="505">
        <f>E156</f>
        <v>1826.3015425063627</v>
      </c>
      <c r="F205" s="505">
        <f>F156</f>
        <v>1808.3859195292002</v>
      </c>
      <c r="G205" s="505">
        <f>G156</f>
        <v>1812.7492928169975</v>
      </c>
    </row>
    <row r="206" spans="2:7" s="371" customFormat="1" ht="12.75" thickBot="1" x14ac:dyDescent="0.25">
      <c r="B206" s="504" t="s">
        <v>258</v>
      </c>
      <c r="C206" s="506">
        <f>(C205-C204)/C204</f>
        <v>-1</v>
      </c>
      <c r="D206" s="506">
        <f>(D205-D204)/D204</f>
        <v>1.1287028708141689E-2</v>
      </c>
      <c r="E206" s="506">
        <f>(E205-E204)/E204</f>
        <v>2.3608905084317746E-3</v>
      </c>
      <c r="F206" s="506">
        <f>(F205-F204)/F204</f>
        <v>-3.3945852448853686E-4</v>
      </c>
      <c r="G206" s="506">
        <f>(G205-G204)/G204</f>
        <v>-3.4363425964829756E-3</v>
      </c>
    </row>
    <row r="207" spans="2:7" s="371" customFormat="1" x14ac:dyDescent="0.2">
      <c r="B207" s="497"/>
      <c r="C207" s="498"/>
      <c r="D207" s="498"/>
      <c r="E207" s="498"/>
      <c r="F207" s="498"/>
      <c r="G207" s="498"/>
    </row>
    <row r="208" spans="2:7" s="371" customFormat="1" ht="12.75" thickBot="1" x14ac:dyDescent="0.25">
      <c r="B208" s="497"/>
      <c r="C208" s="498"/>
      <c r="D208" s="498"/>
      <c r="E208" s="498"/>
      <c r="F208" s="498"/>
      <c r="G208" s="498"/>
    </row>
    <row r="209" spans="2:7" s="371" customFormat="1" ht="12.75" thickBot="1" x14ac:dyDescent="0.25">
      <c r="B209" s="1696"/>
      <c r="C209" s="1698" t="s">
        <v>256</v>
      </c>
      <c r="D209" s="1699"/>
      <c r="E209" s="1699"/>
      <c r="F209" s="1699"/>
      <c r="G209" s="1700"/>
    </row>
    <row r="210" spans="2:7" s="371" customFormat="1" ht="12.75" thickBot="1" x14ac:dyDescent="0.25">
      <c r="B210" s="1697"/>
      <c r="C210" s="500" t="s">
        <v>239</v>
      </c>
      <c r="D210" s="500" t="s">
        <v>240</v>
      </c>
      <c r="E210" s="500" t="s">
        <v>241</v>
      </c>
      <c r="F210" s="500" t="s">
        <v>242</v>
      </c>
      <c r="G210" s="500" t="s">
        <v>243</v>
      </c>
    </row>
    <row r="211" spans="2:7" s="371" customFormat="1" x14ac:dyDescent="0.2">
      <c r="B211" s="501" t="s">
        <v>245</v>
      </c>
      <c r="C211" s="502">
        <v>478</v>
      </c>
      <c r="D211" s="503">
        <v>1891</v>
      </c>
      <c r="E211" s="503">
        <v>1822</v>
      </c>
      <c r="F211" s="503">
        <v>1809</v>
      </c>
      <c r="G211" s="503">
        <v>1819</v>
      </c>
    </row>
    <row r="212" spans="2:7" s="371" customFormat="1" ht="12.75" thickBot="1" x14ac:dyDescent="0.25">
      <c r="B212" s="504" t="s">
        <v>257</v>
      </c>
      <c r="C212" s="505">
        <f>C166</f>
        <v>0</v>
      </c>
      <c r="D212" s="505">
        <f>D166</f>
        <v>0</v>
      </c>
      <c r="E212" s="505">
        <f>E166</f>
        <v>0</v>
      </c>
      <c r="F212" s="505">
        <f>F166</f>
        <v>0</v>
      </c>
      <c r="G212" s="505">
        <f>G166</f>
        <v>0</v>
      </c>
    </row>
    <row r="213" spans="2:7" s="371" customFormat="1" ht="12.75" thickBot="1" x14ac:dyDescent="0.25">
      <c r="B213" s="504" t="s">
        <v>258</v>
      </c>
      <c r="C213" s="506">
        <f>(C212-C211)/C211</f>
        <v>-1</v>
      </c>
      <c r="D213" s="506">
        <f>(D212-D211)/D211</f>
        <v>-1</v>
      </c>
      <c r="E213" s="506">
        <f>(E212-E211)/E211</f>
        <v>-1</v>
      </c>
      <c r="F213" s="506">
        <f>(F212-F211)/F211</f>
        <v>-1</v>
      </c>
      <c r="G213" s="506">
        <f>(G212-G211)/G211</f>
        <v>-1</v>
      </c>
    </row>
    <row r="214" spans="2:7" s="371" customFormat="1" x14ac:dyDescent="0.2"/>
    <row r="215" spans="2:7" s="371" customFormat="1" x14ac:dyDescent="0.2">
      <c r="C215" s="507"/>
      <c r="D215" s="507"/>
      <c r="E215" s="507"/>
      <c r="F215" s="507"/>
      <c r="G215" s="507"/>
    </row>
    <row r="216" spans="2:7" s="371" customFormat="1" ht="12.75" thickBot="1" x14ac:dyDescent="0.25"/>
    <row r="217" spans="2:7" s="371" customFormat="1" ht="12.75" thickBot="1" x14ac:dyDescent="0.25">
      <c r="B217" s="1701"/>
      <c r="C217" s="1703" t="s">
        <v>259</v>
      </c>
      <c r="D217" s="1704"/>
      <c r="E217" s="1704"/>
      <c r="F217" s="1704"/>
      <c r="G217" s="1705"/>
    </row>
    <row r="218" spans="2:7" s="371" customFormat="1" ht="12.75" thickBot="1" x14ac:dyDescent="0.25">
      <c r="B218" s="1702"/>
      <c r="C218" s="508" t="s">
        <v>239</v>
      </c>
      <c r="D218" s="508" t="s">
        <v>240</v>
      </c>
      <c r="E218" s="508" t="s">
        <v>241</v>
      </c>
      <c r="F218" s="508" t="s">
        <v>242</v>
      </c>
      <c r="G218" s="508" t="s">
        <v>243</v>
      </c>
    </row>
    <row r="219" spans="2:7" s="371" customFormat="1" ht="12.75" thickBot="1" x14ac:dyDescent="0.25">
      <c r="B219" s="509" t="s">
        <v>260</v>
      </c>
      <c r="C219" s="510">
        <v>133</v>
      </c>
      <c r="D219" s="510">
        <v>530</v>
      </c>
      <c r="E219" s="510">
        <v>521</v>
      </c>
      <c r="F219" s="510">
        <v>529</v>
      </c>
      <c r="G219" s="510">
        <v>544</v>
      </c>
    </row>
    <row r="220" spans="2:7" s="371" customFormat="1" ht="12.75" thickBot="1" x14ac:dyDescent="0.25">
      <c r="B220" s="509" t="s">
        <v>257</v>
      </c>
      <c r="C220" s="511">
        <v>163</v>
      </c>
      <c r="D220" s="511">
        <v>645</v>
      </c>
      <c r="E220" s="511">
        <v>629</v>
      </c>
      <c r="F220" s="511">
        <v>629</v>
      </c>
      <c r="G220" s="511">
        <v>637</v>
      </c>
    </row>
    <row r="221" spans="2:7" s="371" customFormat="1" ht="12.75" thickBot="1" x14ac:dyDescent="0.25">
      <c r="B221" s="509" t="s">
        <v>261</v>
      </c>
      <c r="C221" s="510">
        <v>23</v>
      </c>
      <c r="D221" s="510">
        <v>22</v>
      </c>
      <c r="E221" s="510">
        <v>21</v>
      </c>
      <c r="F221" s="510">
        <v>19</v>
      </c>
      <c r="G221" s="510">
        <v>17</v>
      </c>
    </row>
    <row r="222" spans="2:7" s="371" customFormat="1" x14ac:dyDescent="0.2"/>
    <row r="223" spans="2:7" s="371" customFormat="1" x14ac:dyDescent="0.2">
      <c r="C223" s="512">
        <f>D11*D6</f>
        <v>635.79903013841749</v>
      </c>
      <c r="D223" s="512">
        <f>E11*E6</f>
        <v>629.56009154228252</v>
      </c>
      <c r="E223" s="512">
        <f>F11*F6</f>
        <v>625.78862195853321</v>
      </c>
      <c r="F223" s="512">
        <f>G11*G6</f>
        <v>623.42127132137659</v>
      </c>
      <c r="G223" s="512">
        <f>H11*H6</f>
        <v>633.32839948462936</v>
      </c>
    </row>
    <row r="224" spans="2:7" s="371" customFormat="1" x14ac:dyDescent="0.2">
      <c r="C224" s="512">
        <f>C223/4</f>
        <v>158.94975753460437</v>
      </c>
      <c r="D224" s="512">
        <f>D223/4</f>
        <v>157.39002288557063</v>
      </c>
      <c r="E224" s="512">
        <f>E223/4</f>
        <v>156.4471554896333</v>
      </c>
      <c r="F224" s="512">
        <f>F223/4</f>
        <v>155.85531783034415</v>
      </c>
      <c r="G224" s="512">
        <f>G223/4</f>
        <v>158.33209987115734</v>
      </c>
    </row>
    <row r="225" spans="3:7" s="371" customFormat="1" x14ac:dyDescent="0.2">
      <c r="C225" s="513">
        <f>C224</f>
        <v>158.94975753460437</v>
      </c>
      <c r="D225" s="513">
        <f>C224*3+D224</f>
        <v>634.23929548938372</v>
      </c>
      <c r="E225" s="513">
        <f>D224*3+E224</f>
        <v>628.61722414634528</v>
      </c>
      <c r="F225" s="513">
        <f>E224*3+F224</f>
        <v>625.19678429924409</v>
      </c>
      <c r="G225" s="513">
        <f>F224*3+G224</f>
        <v>625.89805336218978</v>
      </c>
    </row>
    <row r="226" spans="3:7" s="371" customFormat="1" x14ac:dyDescent="0.2"/>
    <row r="227" spans="3:7" s="371" customFormat="1" x14ac:dyDescent="0.2">
      <c r="C227" s="507">
        <f>(C225-C219)/C219</f>
        <v>0.1951109589067998</v>
      </c>
      <c r="D227" s="507">
        <f>(D225-D219)/D219</f>
        <v>0.19667791601770512</v>
      </c>
      <c r="E227" s="507">
        <f>(E225-E219)/E219</f>
        <v>0.2065589714901061</v>
      </c>
      <c r="F227" s="507">
        <f>(F225-F219)/F219</f>
        <v>0.18184647315547087</v>
      </c>
      <c r="G227" s="507">
        <f>(G225-G219)/G219</f>
        <v>0.15054789220990769</v>
      </c>
    </row>
    <row r="228" spans="3:7" s="371" customFormat="1" x14ac:dyDescent="0.2"/>
    <row r="229" spans="3:7" s="371" customFormat="1" x14ac:dyDescent="0.2"/>
    <row r="230" spans="3:7" s="371" customFormat="1" x14ac:dyDescent="0.2"/>
    <row r="231" spans="3:7" s="371" customFormat="1" x14ac:dyDescent="0.2"/>
    <row r="232" spans="3:7" s="371" customFormat="1" x14ac:dyDescent="0.2"/>
    <row r="233" spans="3:7" s="371" customFormat="1" x14ac:dyDescent="0.2"/>
    <row r="234" spans="3:7" s="371" customFormat="1" x14ac:dyDescent="0.2"/>
    <row r="235" spans="3:7" s="371" customFormat="1" x14ac:dyDescent="0.2"/>
    <row r="236" spans="3:7" s="371" customFormat="1" x14ac:dyDescent="0.2"/>
    <row r="237" spans="3:7" s="371" customFormat="1" x14ac:dyDescent="0.2"/>
    <row r="238" spans="3:7" s="371" customFormat="1" x14ac:dyDescent="0.2"/>
    <row r="239" spans="3:7" s="371" customFormat="1" x14ac:dyDescent="0.2"/>
    <row r="240" spans="3:7" s="371" customFormat="1" x14ac:dyDescent="0.2"/>
    <row r="241" spans="1:34" s="371" customFormat="1" x14ac:dyDescent="0.2"/>
    <row r="242" spans="1:34" s="371" customFormat="1" x14ac:dyDescent="0.2"/>
    <row r="243" spans="1:34" s="371" customFormat="1" x14ac:dyDescent="0.2"/>
    <row r="244" spans="1:34" s="371" customFormat="1" x14ac:dyDescent="0.2"/>
    <row r="245" spans="1:34" x14ac:dyDescent="0.2">
      <c r="A245" s="385"/>
      <c r="B245" s="371"/>
      <c r="C245" s="371"/>
      <c r="D245" s="371"/>
      <c r="E245" s="371"/>
      <c r="F245" s="371"/>
      <c r="G245" s="371"/>
      <c r="H245" s="371"/>
      <c r="L245" s="371"/>
      <c r="M245" s="371"/>
      <c r="N245" s="371"/>
      <c r="O245" s="371"/>
      <c r="P245" s="385"/>
      <c r="Q245" s="385"/>
      <c r="R245" s="385"/>
      <c r="S245" s="385"/>
      <c r="T245" s="385"/>
      <c r="U245" s="385"/>
      <c r="V245" s="385"/>
      <c r="W245" s="385"/>
      <c r="X245" s="385"/>
      <c r="Y245" s="385"/>
      <c r="Z245" s="385"/>
      <c r="AA245" s="385"/>
      <c r="AB245" s="385"/>
      <c r="AC245" s="385"/>
      <c r="AD245" s="385"/>
      <c r="AE245" s="385"/>
      <c r="AF245" s="385"/>
      <c r="AG245" s="385"/>
      <c r="AH245" s="385"/>
    </row>
    <row r="246" spans="1:34" x14ac:dyDescent="0.2">
      <c r="A246" s="385"/>
      <c r="B246" s="371"/>
      <c r="C246" s="371"/>
      <c r="D246" s="371"/>
      <c r="E246" s="371"/>
      <c r="F246" s="371"/>
      <c r="G246" s="371"/>
      <c r="H246" s="371"/>
      <c r="L246" s="371"/>
      <c r="M246" s="371"/>
      <c r="N246" s="371"/>
      <c r="O246" s="371"/>
      <c r="P246" s="385"/>
      <c r="Q246" s="385"/>
      <c r="R246" s="385"/>
      <c r="S246" s="385"/>
      <c r="T246" s="385"/>
      <c r="U246" s="385"/>
      <c r="V246" s="385"/>
      <c r="W246" s="385"/>
      <c r="X246" s="385"/>
      <c r="Y246" s="385"/>
      <c r="Z246" s="385"/>
      <c r="AA246" s="385"/>
      <c r="AB246" s="385"/>
      <c r="AC246" s="385"/>
      <c r="AD246" s="385"/>
      <c r="AE246" s="385"/>
      <c r="AF246" s="385"/>
      <c r="AG246" s="385"/>
      <c r="AH246" s="385"/>
    </row>
    <row r="247" spans="1:34" x14ac:dyDescent="0.2">
      <c r="A247" s="385"/>
      <c r="B247" s="371"/>
      <c r="C247" s="371"/>
      <c r="D247" s="371"/>
      <c r="E247" s="371"/>
      <c r="F247" s="371"/>
      <c r="G247" s="371"/>
      <c r="H247" s="371"/>
      <c r="P247" s="385"/>
      <c r="Q247" s="385"/>
      <c r="R247" s="385"/>
      <c r="S247" s="385"/>
      <c r="T247" s="385"/>
      <c r="U247" s="385"/>
      <c r="V247" s="385"/>
      <c r="W247" s="385"/>
      <c r="X247" s="385"/>
      <c r="Y247" s="385"/>
      <c r="Z247" s="385"/>
      <c r="AA247" s="385"/>
      <c r="AB247" s="385"/>
      <c r="AC247" s="385"/>
      <c r="AD247" s="385"/>
      <c r="AE247" s="385"/>
      <c r="AF247" s="385"/>
      <c r="AG247" s="385"/>
      <c r="AH247" s="385"/>
    </row>
    <row r="248" spans="1:34" x14ac:dyDescent="0.2">
      <c r="A248" s="385"/>
      <c r="B248" s="371"/>
      <c r="C248" s="371"/>
      <c r="D248" s="371"/>
      <c r="E248" s="371"/>
      <c r="F248" s="371"/>
      <c r="G248" s="371"/>
      <c r="H248" s="371"/>
      <c r="P248" s="385"/>
      <c r="Q248" s="385"/>
      <c r="R248" s="385"/>
      <c r="S248" s="385"/>
      <c r="T248" s="385"/>
      <c r="U248" s="385"/>
      <c r="V248" s="385"/>
      <c r="W248" s="385"/>
      <c r="X248" s="385"/>
      <c r="Y248" s="385"/>
      <c r="Z248" s="385"/>
      <c r="AA248" s="385"/>
      <c r="AB248" s="385"/>
      <c r="AC248" s="385"/>
      <c r="AD248" s="385"/>
      <c r="AE248" s="385"/>
      <c r="AF248" s="385"/>
      <c r="AG248" s="385"/>
      <c r="AH248" s="385"/>
    </row>
    <row r="249" spans="1:34" x14ac:dyDescent="0.2">
      <c r="A249" s="385"/>
      <c r="B249" s="371"/>
      <c r="C249" s="371"/>
      <c r="D249" s="371"/>
      <c r="E249" s="371"/>
      <c r="F249" s="371"/>
      <c r="G249" s="371"/>
      <c r="H249" s="371"/>
      <c r="P249" s="385"/>
      <c r="Q249" s="385"/>
      <c r="R249" s="385"/>
      <c r="S249" s="385"/>
      <c r="T249" s="385"/>
      <c r="U249" s="385"/>
      <c r="V249" s="385"/>
      <c r="W249" s="385"/>
      <c r="X249" s="385"/>
      <c r="Y249" s="385"/>
      <c r="Z249" s="385"/>
      <c r="AA249" s="385"/>
      <c r="AB249" s="385"/>
      <c r="AC249" s="385"/>
      <c r="AD249" s="385"/>
      <c r="AE249" s="385"/>
      <c r="AF249" s="385"/>
      <c r="AG249" s="385"/>
      <c r="AH249" s="385"/>
    </row>
    <row r="250" spans="1:34" x14ac:dyDescent="0.2">
      <c r="A250" s="385"/>
      <c r="B250" s="371"/>
      <c r="C250" s="371"/>
      <c r="D250" s="371"/>
      <c r="E250" s="371"/>
      <c r="F250" s="371"/>
      <c r="G250" s="371"/>
      <c r="H250" s="371"/>
      <c r="P250" s="385"/>
      <c r="Q250" s="385"/>
      <c r="R250" s="385"/>
      <c r="S250" s="385"/>
      <c r="T250" s="385"/>
      <c r="U250" s="385"/>
      <c r="V250" s="385"/>
      <c r="W250" s="385"/>
      <c r="X250" s="385"/>
      <c r="Y250" s="385"/>
      <c r="Z250" s="385"/>
      <c r="AA250" s="385"/>
      <c r="AB250" s="385"/>
      <c r="AC250" s="385"/>
      <c r="AD250" s="385"/>
      <c r="AE250" s="385"/>
      <c r="AF250" s="385"/>
      <c r="AG250" s="385"/>
      <c r="AH250" s="385"/>
    </row>
    <row r="251" spans="1:34" x14ac:dyDescent="0.2">
      <c r="A251" s="385"/>
      <c r="B251" s="371"/>
      <c r="C251" s="371"/>
      <c r="D251" s="371"/>
      <c r="E251" s="371"/>
      <c r="F251" s="371"/>
      <c r="G251" s="371"/>
      <c r="H251" s="371"/>
      <c r="P251" s="385"/>
      <c r="Q251" s="385"/>
      <c r="R251" s="385"/>
      <c r="S251" s="385"/>
      <c r="T251" s="385"/>
      <c r="U251" s="385"/>
      <c r="V251" s="385"/>
      <c r="W251" s="385"/>
      <c r="X251" s="385"/>
      <c r="Y251" s="385"/>
      <c r="Z251" s="385"/>
      <c r="AA251" s="385"/>
      <c r="AB251" s="385"/>
      <c r="AC251" s="385"/>
      <c r="AD251" s="385"/>
      <c r="AE251" s="385"/>
      <c r="AF251" s="385"/>
      <c r="AG251" s="385"/>
      <c r="AH251" s="385"/>
    </row>
    <row r="252" spans="1:34" x14ac:dyDescent="0.2">
      <c r="A252" s="385"/>
      <c r="B252" s="371"/>
      <c r="C252" s="371"/>
      <c r="D252" s="371"/>
      <c r="E252" s="371"/>
      <c r="F252" s="371"/>
      <c r="G252" s="371"/>
      <c r="H252" s="371"/>
      <c r="P252" s="385"/>
      <c r="Q252" s="385"/>
      <c r="R252" s="385"/>
      <c r="S252" s="385"/>
      <c r="T252" s="385"/>
      <c r="U252" s="385"/>
      <c r="V252" s="385"/>
      <c r="W252" s="385"/>
      <c r="X252" s="385"/>
      <c r="Y252" s="385"/>
      <c r="Z252" s="385"/>
      <c r="AA252" s="385"/>
      <c r="AB252" s="385"/>
      <c r="AC252" s="385"/>
      <c r="AD252" s="385"/>
      <c r="AE252" s="385"/>
      <c r="AF252" s="385"/>
      <c r="AG252" s="385"/>
      <c r="AH252" s="385"/>
    </row>
    <row r="253" spans="1:34" x14ac:dyDescent="0.2">
      <c r="A253" s="385"/>
      <c r="B253" s="371"/>
      <c r="C253" s="371"/>
      <c r="D253" s="371"/>
      <c r="E253" s="371"/>
      <c r="F253" s="371"/>
      <c r="G253" s="371"/>
      <c r="H253" s="371"/>
      <c r="P253" s="385"/>
      <c r="Q253" s="385"/>
      <c r="R253" s="385"/>
      <c r="S253" s="385"/>
      <c r="T253" s="385"/>
      <c r="U253" s="385"/>
      <c r="V253" s="385"/>
      <c r="W253" s="385"/>
      <c r="X253" s="385"/>
      <c r="Y253" s="385"/>
      <c r="Z253" s="385"/>
      <c r="AA253" s="385"/>
      <c r="AB253" s="385"/>
      <c r="AC253" s="385"/>
      <c r="AD253" s="385"/>
      <c r="AE253" s="385"/>
      <c r="AF253" s="385"/>
      <c r="AG253" s="385"/>
      <c r="AH253" s="385"/>
    </row>
    <row r="254" spans="1:34" x14ac:dyDescent="0.2">
      <c r="A254" s="385"/>
      <c r="B254" s="371"/>
      <c r="C254" s="371"/>
      <c r="D254" s="371"/>
      <c r="E254" s="371"/>
      <c r="F254" s="371"/>
      <c r="G254" s="371"/>
      <c r="H254" s="371"/>
      <c r="P254" s="385"/>
      <c r="Q254" s="385"/>
      <c r="R254" s="385"/>
      <c r="S254" s="385"/>
      <c r="T254" s="385"/>
      <c r="U254" s="385"/>
      <c r="V254" s="385"/>
      <c r="W254" s="385"/>
      <c r="X254" s="385"/>
      <c r="Y254" s="385"/>
      <c r="Z254" s="385"/>
      <c r="AA254" s="385"/>
      <c r="AB254" s="385"/>
      <c r="AC254" s="385"/>
      <c r="AD254" s="385"/>
      <c r="AE254" s="385"/>
      <c r="AF254" s="385"/>
      <c r="AG254" s="385"/>
      <c r="AH254" s="385"/>
    </row>
    <row r="255" spans="1:34" x14ac:dyDescent="0.2">
      <c r="A255" s="385"/>
      <c r="H255" s="371"/>
      <c r="P255" s="385"/>
      <c r="Q255" s="385"/>
      <c r="R255" s="385"/>
      <c r="S255" s="385"/>
      <c r="T255" s="385"/>
      <c r="U255" s="385"/>
      <c r="V255" s="385"/>
      <c r="W255" s="385"/>
      <c r="X255" s="385"/>
      <c r="Y255" s="385"/>
      <c r="Z255" s="385"/>
      <c r="AA255" s="385"/>
      <c r="AB255" s="385"/>
      <c r="AC255" s="385"/>
      <c r="AD255" s="385"/>
      <c r="AE255" s="385"/>
      <c r="AF255" s="385"/>
      <c r="AG255" s="385"/>
      <c r="AH255" s="385"/>
    </row>
  </sheetData>
  <mergeCells count="16">
    <mergeCell ref="B209:B210"/>
    <mergeCell ref="C209:G209"/>
    <mergeCell ref="B217:B218"/>
    <mergeCell ref="C217:G217"/>
    <mergeCell ref="B188:B189"/>
    <mergeCell ref="C188:G188"/>
    <mergeCell ref="B195:B196"/>
    <mergeCell ref="C195:G195"/>
    <mergeCell ref="B202:B203"/>
    <mergeCell ref="C202:G202"/>
    <mergeCell ref="B32:B33"/>
    <mergeCell ref="C32:G32"/>
    <mergeCell ref="B40:B41"/>
    <mergeCell ref="C40:G40"/>
    <mergeCell ref="B49:B50"/>
    <mergeCell ref="C49:G49"/>
  </mergeCells>
  <dataValidations count="2">
    <dataValidation type="list" allowBlank="1" showInputMessage="1" showErrorMessage="1" sqref="U3">
      <formula1>$AJ$4:$AJ$24</formula1>
    </dataValidation>
    <dataValidation type="list" allowBlank="1" showInputMessage="1" showErrorMessage="1" sqref="R3 S6">
      <formula1>$AL$3:$AL$4</formula1>
    </dataValidation>
  </dataValidation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26"/>
  <sheetViews>
    <sheetView workbookViewId="0">
      <selection activeCell="C12" sqref="C12:G12"/>
    </sheetView>
  </sheetViews>
  <sheetFormatPr defaultRowHeight="15" x14ac:dyDescent="0.25"/>
  <cols>
    <col min="2" max="2" width="21.42578125" customWidth="1"/>
    <col min="3" max="3" width="21" customWidth="1"/>
    <col min="4" max="4" width="13.85546875" customWidth="1"/>
    <col min="5" max="5" width="17.42578125" customWidth="1"/>
    <col min="6" max="6" width="16.5703125" customWidth="1"/>
    <col min="7" max="7" width="21" customWidth="1"/>
  </cols>
  <sheetData>
    <row r="4" spans="2:7" x14ac:dyDescent="0.25">
      <c r="B4" s="242" t="s">
        <v>337</v>
      </c>
    </row>
    <row r="5" spans="2:7" ht="15.75" thickBot="1" x14ac:dyDescent="0.3"/>
    <row r="6" spans="2:7" ht="15.75" thickBot="1" x14ac:dyDescent="0.3">
      <c r="B6" s="669" t="s">
        <v>338</v>
      </c>
      <c r="C6" s="670">
        <v>2017</v>
      </c>
      <c r="D6" s="670">
        <v>2018</v>
      </c>
      <c r="E6" s="670">
        <v>2019</v>
      </c>
      <c r="F6" s="670">
        <v>2020</v>
      </c>
      <c r="G6" s="670">
        <v>2021</v>
      </c>
    </row>
    <row r="7" spans="2:7" ht="15.75" thickBot="1" x14ac:dyDescent="0.3">
      <c r="B7" s="671" t="s">
        <v>306</v>
      </c>
      <c r="C7" s="672"/>
      <c r="D7" s="672"/>
      <c r="E7" s="672"/>
      <c r="F7" s="672"/>
      <c r="G7" s="672"/>
    </row>
    <row r="8" spans="2:7" ht="15.75" thickBot="1" x14ac:dyDescent="0.3">
      <c r="B8" s="673" t="s">
        <v>307</v>
      </c>
      <c r="C8" s="674" t="s">
        <v>308</v>
      </c>
      <c r="D8" s="674" t="s">
        <v>309</v>
      </c>
      <c r="E8" s="674" t="s">
        <v>310</v>
      </c>
      <c r="F8" s="674" t="s">
        <v>311</v>
      </c>
      <c r="G8" s="674" t="s">
        <v>312</v>
      </c>
    </row>
    <row r="9" spans="2:7" ht="15.75" thickBot="1" x14ac:dyDescent="0.3">
      <c r="B9" s="671" t="s">
        <v>313</v>
      </c>
      <c r="C9" s="672"/>
      <c r="D9" s="672"/>
      <c r="E9" s="672"/>
      <c r="F9" s="672"/>
      <c r="G9" s="672"/>
    </row>
    <row r="10" spans="2:7" ht="15.75" thickBot="1" x14ac:dyDescent="0.3">
      <c r="B10" s="673" t="s">
        <v>307</v>
      </c>
      <c r="C10" s="674" t="s">
        <v>314</v>
      </c>
      <c r="D10" s="674" t="s">
        <v>315</v>
      </c>
      <c r="E10" s="674" t="s">
        <v>316</v>
      </c>
      <c r="F10" s="674" t="s">
        <v>317</v>
      </c>
      <c r="G10" s="674" t="s">
        <v>318</v>
      </c>
    </row>
    <row r="11" spans="2:7" ht="15.75" thickBot="1" x14ac:dyDescent="0.3">
      <c r="B11" s="675" t="s">
        <v>81</v>
      </c>
      <c r="C11" s="679">
        <v>34146447</v>
      </c>
      <c r="D11" s="679">
        <v>33313436</v>
      </c>
      <c r="E11" s="679">
        <v>32874451</v>
      </c>
      <c r="F11" s="679">
        <v>31565026</v>
      </c>
      <c r="G11" s="679">
        <v>29891932</v>
      </c>
    </row>
    <row r="12" spans="2:7" x14ac:dyDescent="0.25">
      <c r="B12" t="s">
        <v>339</v>
      </c>
      <c r="C12" s="680">
        <f>C11/1000000</f>
        <v>34.146447000000002</v>
      </c>
      <c r="D12" s="680">
        <f>D11/1000000</f>
        <v>33.313436000000003</v>
      </c>
      <c r="E12" s="680">
        <f>E11/1000000</f>
        <v>32.874451000000001</v>
      </c>
      <c r="F12" s="680">
        <f>F11/1000000</f>
        <v>31.565026</v>
      </c>
      <c r="G12" s="680">
        <f>G11/1000000</f>
        <v>29.891932000000001</v>
      </c>
    </row>
    <row r="14" spans="2:7" ht="36.75" customHeight="1" x14ac:dyDescent="0.25">
      <c r="B14" s="1706" t="s">
        <v>336</v>
      </c>
      <c r="C14" s="1706"/>
      <c r="D14" s="1706"/>
      <c r="E14" s="1706"/>
      <c r="F14" s="1706"/>
      <c r="G14" s="1706"/>
    </row>
    <row r="15" spans="2:7" x14ac:dyDescent="0.25">
      <c r="B15" s="678" t="s">
        <v>335</v>
      </c>
    </row>
    <row r="16" spans="2:7" x14ac:dyDescent="0.25">
      <c r="B16" s="677"/>
    </row>
    <row r="17" spans="2:7" x14ac:dyDescent="0.25">
      <c r="B17" s="677"/>
    </row>
    <row r="20" spans="2:7" ht="15.75" thickBot="1" x14ac:dyDescent="0.3">
      <c r="B20" t="s">
        <v>334</v>
      </c>
    </row>
    <row r="21" spans="2:7" ht="15.75" thickBot="1" x14ac:dyDescent="0.3">
      <c r="B21" s="669"/>
      <c r="C21" s="670">
        <v>2017</v>
      </c>
      <c r="D21" s="670">
        <v>2018</v>
      </c>
      <c r="E21" s="670">
        <v>2019</v>
      </c>
      <c r="F21" s="670">
        <v>2020</v>
      </c>
      <c r="G21" s="670">
        <v>2021</v>
      </c>
    </row>
    <row r="22" spans="2:7" ht="15.75" thickBot="1" x14ac:dyDescent="0.3">
      <c r="B22" s="671" t="s">
        <v>306</v>
      </c>
      <c r="C22" s="672"/>
      <c r="D22" s="672"/>
      <c r="E22" s="672"/>
      <c r="F22" s="672"/>
      <c r="G22" s="672"/>
    </row>
    <row r="23" spans="2:7" ht="15.75" thickBot="1" x14ac:dyDescent="0.3">
      <c r="B23" s="673" t="s">
        <v>307</v>
      </c>
      <c r="C23" s="674" t="s">
        <v>324</v>
      </c>
      <c r="D23" s="674" t="s">
        <v>325</v>
      </c>
      <c r="E23" s="674" t="s">
        <v>326</v>
      </c>
      <c r="F23" s="674" t="s">
        <v>327</v>
      </c>
      <c r="G23" s="674" t="s">
        <v>328</v>
      </c>
    </row>
    <row r="24" spans="2:7" ht="15.75" thickBot="1" x14ac:dyDescent="0.3">
      <c r="B24" s="671" t="s">
        <v>313</v>
      </c>
      <c r="C24" s="672"/>
      <c r="D24" s="672"/>
      <c r="E24" s="672"/>
      <c r="F24" s="672"/>
      <c r="G24" s="672"/>
    </row>
    <row r="25" spans="2:7" ht="15.75" thickBot="1" x14ac:dyDescent="0.3">
      <c r="B25" s="673" t="s">
        <v>307</v>
      </c>
      <c r="C25" s="674" t="s">
        <v>329</v>
      </c>
      <c r="D25" s="674" t="s">
        <v>330</v>
      </c>
      <c r="E25" s="674" t="s">
        <v>331</v>
      </c>
      <c r="F25" s="674" t="s">
        <v>332</v>
      </c>
      <c r="G25" s="674" t="s">
        <v>333</v>
      </c>
    </row>
    <row r="26" spans="2:7" ht="15.75" thickBot="1" x14ac:dyDescent="0.3">
      <c r="B26" s="675" t="s">
        <v>81</v>
      </c>
      <c r="C26" s="676" t="s">
        <v>319</v>
      </c>
      <c r="D26" s="676" t="s">
        <v>320</v>
      </c>
      <c r="E26" s="676" t="s">
        <v>321</v>
      </c>
      <c r="F26" s="676" t="s">
        <v>322</v>
      </c>
      <c r="G26" s="676" t="s">
        <v>323</v>
      </c>
    </row>
  </sheetData>
  <mergeCells count="1">
    <mergeCell ref="B14:G1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81"/>
  <sheetViews>
    <sheetView topLeftCell="D1" zoomScale="115" zoomScaleNormal="115" workbookViewId="0">
      <selection activeCell="H9" sqref="H9"/>
    </sheetView>
  </sheetViews>
  <sheetFormatPr defaultColWidth="9.140625" defaultRowHeight="12" x14ac:dyDescent="0.2"/>
  <cols>
    <col min="1" max="1" width="1.140625" style="371" customWidth="1"/>
    <col min="2" max="2" width="54.7109375" style="385" customWidth="1"/>
    <col min="3" max="7" width="13.28515625" style="385" customWidth="1"/>
    <col min="8" max="8" width="14.5703125" style="385" customWidth="1"/>
    <col min="9" max="17" width="13.28515625" style="385" customWidth="1"/>
    <col min="18" max="21" width="13.28515625" style="595" customWidth="1"/>
    <col min="22" max="22" width="13.28515625" style="595" hidden="1" customWidth="1"/>
    <col min="23" max="24" width="8.28515625" style="385" customWidth="1"/>
    <col min="25" max="25" width="9.140625" style="371"/>
    <col min="26" max="26" width="16" style="371" customWidth="1"/>
    <col min="27" max="43" width="9.140625" style="371"/>
    <col min="44" max="16384" width="9.140625" style="385"/>
  </cols>
  <sheetData>
    <row r="1" spans="1:68" s="371" customFormat="1" x14ac:dyDescent="0.2">
      <c r="B1" s="549"/>
      <c r="E1" s="372"/>
      <c r="F1" s="372"/>
      <c r="G1" s="372"/>
      <c r="I1" s="372"/>
      <c r="J1" s="372"/>
      <c r="K1" s="372"/>
      <c r="L1" s="372"/>
      <c r="M1" s="372"/>
      <c r="N1" s="372"/>
      <c r="O1" s="372"/>
      <c r="P1" s="372"/>
      <c r="Q1" s="372"/>
      <c r="R1" s="550"/>
      <c r="S1" s="550"/>
      <c r="T1" s="550"/>
      <c r="U1" s="550"/>
      <c r="V1" s="550"/>
      <c r="BP1" s="373">
        <v>0.14000000000000001</v>
      </c>
    </row>
    <row r="2" spans="1:68" s="371" customFormat="1" ht="12.75" thickBot="1" x14ac:dyDescent="0.25">
      <c r="B2" s="374" t="s">
        <v>379</v>
      </c>
      <c r="R2" s="551"/>
      <c r="S2" s="551"/>
      <c r="T2" s="551"/>
      <c r="U2" s="551"/>
      <c r="V2" s="551"/>
      <c r="AC2" s="375" t="s">
        <v>202</v>
      </c>
      <c r="BP2" s="373">
        <v>0.15</v>
      </c>
    </row>
    <row r="3" spans="1:68" x14ac:dyDescent="0.2">
      <c r="A3" s="385"/>
      <c r="B3" s="376" t="s">
        <v>291</v>
      </c>
      <c r="C3" s="377"/>
      <c r="D3" s="377"/>
      <c r="E3" s="377"/>
      <c r="F3" s="377"/>
      <c r="G3" s="377"/>
      <c r="H3" s="537">
        <v>42675</v>
      </c>
      <c r="I3" s="377"/>
      <c r="J3" s="377"/>
      <c r="K3" s="377"/>
      <c r="L3" s="377"/>
      <c r="M3" s="377"/>
      <c r="N3" s="377"/>
      <c r="O3" s="377"/>
      <c r="P3" s="377"/>
      <c r="Q3" s="377"/>
      <c r="R3" s="552"/>
      <c r="S3" s="552"/>
      <c r="T3" s="552"/>
      <c r="U3" s="552"/>
      <c r="V3" s="552"/>
      <c r="W3" s="381"/>
      <c r="X3" s="381"/>
      <c r="Z3" s="382" t="s">
        <v>204</v>
      </c>
      <c r="AA3" s="383">
        <v>1</v>
      </c>
      <c r="AC3" s="371" t="s">
        <v>205</v>
      </c>
      <c r="AD3" s="384">
        <v>0.05</v>
      </c>
      <c r="AU3" s="371">
        <v>0</v>
      </c>
      <c r="BP3" s="386">
        <v>0.16</v>
      </c>
    </row>
    <row r="4" spans="1:68" x14ac:dyDescent="0.2">
      <c r="A4" s="385"/>
      <c r="B4" s="387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553"/>
      <c r="S4" s="553"/>
      <c r="T4" s="553"/>
      <c r="U4" s="553"/>
      <c r="V4" s="553"/>
      <c r="W4" s="381"/>
      <c r="X4" s="381"/>
      <c r="AD4" s="385"/>
      <c r="AR4" s="385">
        <v>-1</v>
      </c>
      <c r="AS4" s="385">
        <v>0.01</v>
      </c>
      <c r="AU4" s="371">
        <v>1</v>
      </c>
      <c r="BP4" s="386">
        <v>0.17</v>
      </c>
    </row>
    <row r="5" spans="1:68" x14ac:dyDescent="0.2">
      <c r="A5" s="385"/>
      <c r="B5" s="391" t="s">
        <v>206</v>
      </c>
      <c r="C5" s="392">
        <v>2016</v>
      </c>
      <c r="D5" s="392">
        <v>2017</v>
      </c>
      <c r="E5" s="392">
        <v>2018</v>
      </c>
      <c r="F5" s="392">
        <v>2019</v>
      </c>
      <c r="G5" s="392">
        <v>2020</v>
      </c>
      <c r="H5" s="392">
        <v>2021</v>
      </c>
      <c r="I5" s="392">
        <v>2022</v>
      </c>
      <c r="J5" s="392">
        <v>2023</v>
      </c>
      <c r="K5" s="392">
        <v>2024</v>
      </c>
      <c r="L5" s="392">
        <v>2025</v>
      </c>
      <c r="M5" s="392">
        <v>2026</v>
      </c>
      <c r="N5" s="392">
        <v>2027</v>
      </c>
      <c r="O5" s="392">
        <v>2028</v>
      </c>
      <c r="P5" s="392">
        <v>2029</v>
      </c>
      <c r="Q5" s="392">
        <v>2030</v>
      </c>
      <c r="R5" s="554">
        <v>2031</v>
      </c>
      <c r="S5" s="554">
        <v>2032</v>
      </c>
      <c r="T5" s="554">
        <v>2033</v>
      </c>
      <c r="U5" s="554">
        <v>2034</v>
      </c>
      <c r="V5" s="554">
        <v>2035</v>
      </c>
      <c r="W5" s="381"/>
      <c r="X5" s="381"/>
      <c r="AS5" s="385">
        <v>0.02</v>
      </c>
      <c r="BP5" s="386">
        <v>0.18</v>
      </c>
    </row>
    <row r="6" spans="1:68" ht="15" x14ac:dyDescent="0.25">
      <c r="A6" s="385"/>
      <c r="B6" s="391" t="s">
        <v>207</v>
      </c>
      <c r="C6" s="397"/>
      <c r="D6" s="760">
        <v>17.629100357258849</v>
      </c>
      <c r="E6" s="398">
        <v>18.088308300000001</v>
      </c>
      <c r="F6" s="398">
        <v>18.76265024156098</v>
      </c>
      <c r="G6" s="398">
        <v>19.457915859459053</v>
      </c>
      <c r="H6" s="398">
        <v>20.434735028802116</v>
      </c>
      <c r="I6" s="398">
        <v>21.67820930707304</v>
      </c>
      <c r="J6" s="398">
        <v>27.192653556604036</v>
      </c>
      <c r="K6" s="398">
        <v>34.686543566680307</v>
      </c>
      <c r="L6" s="398">
        <v>42.990680751735262</v>
      </c>
      <c r="M6" s="398">
        <v>51.048417654521202</v>
      </c>
      <c r="N6" s="398">
        <v>58.225704299319901</v>
      </c>
      <c r="O6" s="398">
        <v>62.443321250733128</v>
      </c>
      <c r="P6" s="398">
        <v>66.629611001662965</v>
      </c>
      <c r="Q6" s="398">
        <v>70.905967471664866</v>
      </c>
      <c r="R6" s="555">
        <f t="shared" ref="R6:V7" si="0">Q6</f>
        <v>70.905967471664866</v>
      </c>
      <c r="S6" s="555">
        <f t="shared" si="0"/>
        <v>70.905967471664866</v>
      </c>
      <c r="T6" s="555">
        <f t="shared" si="0"/>
        <v>70.905967471664866</v>
      </c>
      <c r="U6" s="555">
        <f t="shared" si="0"/>
        <v>70.905967471664866</v>
      </c>
      <c r="V6" s="555">
        <f t="shared" si="0"/>
        <v>70.905967471664866</v>
      </c>
      <c r="W6" s="381"/>
      <c r="X6" s="381"/>
      <c r="Z6" s="371" t="s">
        <v>208</v>
      </c>
      <c r="AB6" s="383">
        <v>1</v>
      </c>
      <c r="AS6" s="385">
        <v>0.03</v>
      </c>
      <c r="BP6" s="386">
        <v>0.19</v>
      </c>
    </row>
    <row r="7" spans="1:68" ht="16.149999999999999" customHeight="1" x14ac:dyDescent="0.2">
      <c r="A7" s="385"/>
      <c r="B7" s="391" t="s">
        <v>209</v>
      </c>
      <c r="C7" s="402"/>
      <c r="D7" s="403">
        <v>142.33169192075729</v>
      </c>
      <c r="E7" s="403">
        <v>136.4436970825605</v>
      </c>
      <c r="F7" s="403">
        <v>130.55570224436374</v>
      </c>
      <c r="G7" s="403">
        <v>124.66770740616697</v>
      </c>
      <c r="H7" s="403">
        <f>H8+H9</f>
        <v>123.79678754629732</v>
      </c>
      <c r="I7" s="403">
        <f t="shared" ref="I7:Q7" si="1">I8+I9</f>
        <v>119.74494469985491</v>
      </c>
      <c r="J7" s="403">
        <f t="shared" si="1"/>
        <v>115.69310185341249</v>
      </c>
      <c r="K7" s="403">
        <f t="shared" si="1"/>
        <v>111.64125900697006</v>
      </c>
      <c r="L7" s="403">
        <f t="shared" si="1"/>
        <v>107.58941616052763</v>
      </c>
      <c r="M7" s="403">
        <f t="shared" si="1"/>
        <v>103.53757331408521</v>
      </c>
      <c r="N7" s="403">
        <f t="shared" si="1"/>
        <v>99.485730467642796</v>
      </c>
      <c r="O7" s="403">
        <f t="shared" si="1"/>
        <v>95.43388762120037</v>
      </c>
      <c r="P7" s="403">
        <f t="shared" si="1"/>
        <v>91.382044774757944</v>
      </c>
      <c r="Q7" s="403">
        <f t="shared" si="1"/>
        <v>87.330201928315532</v>
      </c>
      <c r="R7" s="556">
        <f t="shared" si="0"/>
        <v>87.330201928315532</v>
      </c>
      <c r="S7" s="556">
        <f t="shared" si="0"/>
        <v>87.330201928315532</v>
      </c>
      <c r="T7" s="556">
        <f t="shared" si="0"/>
        <v>87.330201928315532</v>
      </c>
      <c r="U7" s="556">
        <f t="shared" si="0"/>
        <v>87.330201928315532</v>
      </c>
      <c r="V7" s="556">
        <f t="shared" si="0"/>
        <v>87.330201928315532</v>
      </c>
      <c r="W7" s="381"/>
      <c r="X7" s="381"/>
      <c r="AS7" s="385">
        <v>0.04</v>
      </c>
      <c r="BP7" s="386">
        <v>0.2</v>
      </c>
    </row>
    <row r="8" spans="1:68" s="599" customFormat="1" x14ac:dyDescent="0.2">
      <c r="B8" s="600" t="s">
        <v>275</v>
      </c>
      <c r="C8" s="601"/>
      <c r="D8" s="602"/>
      <c r="E8" s="602"/>
      <c r="F8" s="602"/>
      <c r="G8" s="602"/>
      <c r="H8" s="602">
        <v>119.59678754629732</v>
      </c>
      <c r="I8" s="602">
        <v>115.54494469985491</v>
      </c>
      <c r="J8" s="602">
        <v>111.49310185341248</v>
      </c>
      <c r="K8" s="602">
        <v>107.44125900697006</v>
      </c>
      <c r="L8" s="602">
        <v>103.38941616052763</v>
      </c>
      <c r="M8" s="602">
        <v>99.337573314085205</v>
      </c>
      <c r="N8" s="602">
        <v>95.285730467642793</v>
      </c>
      <c r="O8" s="602">
        <v>91.233887621200367</v>
      </c>
      <c r="P8" s="602">
        <v>87.182044774757941</v>
      </c>
      <c r="Q8" s="602">
        <v>83.130201928315529</v>
      </c>
      <c r="R8" s="602"/>
      <c r="S8" s="602"/>
      <c r="T8" s="602"/>
      <c r="U8" s="602"/>
      <c r="V8" s="602"/>
      <c r="W8" s="603"/>
      <c r="X8" s="603"/>
      <c r="Y8" s="604"/>
      <c r="Z8" s="604"/>
      <c r="AA8" s="604"/>
      <c r="AB8" s="604"/>
      <c r="AC8" s="604"/>
      <c r="AD8" s="604"/>
      <c r="AE8" s="604"/>
      <c r="AF8" s="604"/>
      <c r="AG8" s="604"/>
      <c r="AH8" s="604"/>
      <c r="AI8" s="604"/>
      <c r="AJ8" s="604"/>
      <c r="AK8" s="604"/>
      <c r="AL8" s="604"/>
      <c r="AM8" s="604"/>
      <c r="AN8" s="604"/>
      <c r="AO8" s="604"/>
      <c r="AP8" s="604"/>
      <c r="AQ8" s="604"/>
      <c r="AS8" s="599">
        <v>0.09</v>
      </c>
    </row>
    <row r="9" spans="1:68" s="604" customFormat="1" x14ac:dyDescent="0.2">
      <c r="B9" s="600" t="s">
        <v>280</v>
      </c>
      <c r="C9" s="601"/>
      <c r="D9" s="602"/>
      <c r="E9" s="602"/>
      <c r="F9" s="602"/>
      <c r="G9" s="602"/>
      <c r="H9" s="602">
        <v>4.2</v>
      </c>
      <c r="I9" s="602">
        <f>H9</f>
        <v>4.2</v>
      </c>
      <c r="J9" s="602">
        <f t="shared" ref="J9:Q9" si="2">I9</f>
        <v>4.2</v>
      </c>
      <c r="K9" s="602">
        <f t="shared" si="2"/>
        <v>4.2</v>
      </c>
      <c r="L9" s="602">
        <f t="shared" si="2"/>
        <v>4.2</v>
      </c>
      <c r="M9" s="602">
        <f t="shared" si="2"/>
        <v>4.2</v>
      </c>
      <c r="N9" s="602">
        <f t="shared" si="2"/>
        <v>4.2</v>
      </c>
      <c r="O9" s="602">
        <f t="shared" si="2"/>
        <v>4.2</v>
      </c>
      <c r="P9" s="602">
        <f t="shared" si="2"/>
        <v>4.2</v>
      </c>
      <c r="Q9" s="602">
        <f t="shared" si="2"/>
        <v>4.2</v>
      </c>
      <c r="R9" s="602"/>
      <c r="S9" s="602"/>
      <c r="T9" s="602"/>
      <c r="U9" s="602"/>
      <c r="V9" s="602"/>
      <c r="W9" s="603"/>
      <c r="X9" s="603"/>
    </row>
    <row r="10" spans="1:68" x14ac:dyDescent="0.2">
      <c r="A10" s="385"/>
      <c r="B10" s="409" t="s">
        <v>210</v>
      </c>
      <c r="C10" s="388"/>
      <c r="D10" s="410">
        <f>D7*0.05</f>
        <v>7.1165845960378649</v>
      </c>
      <c r="E10" s="410">
        <f t="shared" ref="E10:Q10" si="3">E7*0.05</f>
        <v>6.8221848541280252</v>
      </c>
      <c r="F10" s="410">
        <f t="shared" si="3"/>
        <v>6.5277851122181874</v>
      </c>
      <c r="G10" s="410">
        <f t="shared" si="3"/>
        <v>6.2333853703083486</v>
      </c>
      <c r="H10" s="410">
        <f t="shared" si="3"/>
        <v>6.1898393773148666</v>
      </c>
      <c r="I10" s="410">
        <f t="shared" si="3"/>
        <v>5.9872472349927461</v>
      </c>
      <c r="J10" s="410">
        <f t="shared" si="3"/>
        <v>5.7846550926706248</v>
      </c>
      <c r="K10" s="410">
        <f t="shared" si="3"/>
        <v>5.5820629503485035</v>
      </c>
      <c r="L10" s="410">
        <f t="shared" si="3"/>
        <v>5.3794708080263822</v>
      </c>
      <c r="M10" s="410">
        <f t="shared" si="3"/>
        <v>5.1768786657042609</v>
      </c>
      <c r="N10" s="410">
        <f t="shared" si="3"/>
        <v>4.9742865233821405</v>
      </c>
      <c r="O10" s="410">
        <f t="shared" si="3"/>
        <v>4.7716943810600183</v>
      </c>
      <c r="P10" s="410">
        <f t="shared" si="3"/>
        <v>4.569102238737897</v>
      </c>
      <c r="Q10" s="410">
        <f t="shared" si="3"/>
        <v>4.3665100964157766</v>
      </c>
      <c r="R10" s="597">
        <f t="shared" ref="R10:V11" si="4">Q10</f>
        <v>4.3665100964157766</v>
      </c>
      <c r="S10" s="597">
        <f t="shared" si="4"/>
        <v>4.3665100964157766</v>
      </c>
      <c r="T10" s="597">
        <f t="shared" si="4"/>
        <v>4.3665100964157766</v>
      </c>
      <c r="U10" s="597">
        <f t="shared" si="4"/>
        <v>4.3665100964157766</v>
      </c>
      <c r="V10" s="597">
        <f t="shared" si="4"/>
        <v>4.3665100964157766</v>
      </c>
      <c r="W10" s="381"/>
      <c r="X10" s="381"/>
      <c r="Z10" s="414" t="s">
        <v>211</v>
      </c>
      <c r="AA10" s="415">
        <v>124.66770740616697</v>
      </c>
      <c r="AS10" s="385">
        <v>0.05</v>
      </c>
    </row>
    <row r="11" spans="1:68" x14ac:dyDescent="0.2">
      <c r="A11" s="385"/>
      <c r="B11" s="605" t="s">
        <v>340</v>
      </c>
      <c r="C11" s="606"/>
      <c r="D11" s="681">
        <v>33.876272</v>
      </c>
      <c r="E11" s="681">
        <v>33.22992448360705</v>
      </c>
      <c r="F11" s="681">
        <v>32.793842634302052</v>
      </c>
      <c r="G11" s="681">
        <v>31.487530537812109</v>
      </c>
      <c r="H11" s="681">
        <v>30.135223475287873</v>
      </c>
      <c r="I11" s="631">
        <v>29.816288834454042</v>
      </c>
      <c r="J11" s="631">
        <v>29.220005072445481</v>
      </c>
      <c r="K11" s="631">
        <v>27.820838086692135</v>
      </c>
      <c r="L11" s="631">
        <v>27.227151063173665</v>
      </c>
      <c r="M11" s="631">
        <v>26.635086598489906</v>
      </c>
      <c r="N11" s="631">
        <v>25.406492572260156</v>
      </c>
      <c r="O11" s="631">
        <v>24.88446497679497</v>
      </c>
      <c r="P11" s="631">
        <v>24.363116823946061</v>
      </c>
      <c r="Q11" s="631">
        <v>23.740148546489305</v>
      </c>
      <c r="R11" s="620">
        <f t="shared" si="4"/>
        <v>23.740148546489305</v>
      </c>
      <c r="S11" s="620">
        <f t="shared" si="4"/>
        <v>23.740148546489305</v>
      </c>
      <c r="T11" s="620">
        <f t="shared" si="4"/>
        <v>23.740148546489305</v>
      </c>
      <c r="U11" s="620">
        <f t="shared" si="4"/>
        <v>23.740148546489305</v>
      </c>
      <c r="V11" s="620">
        <f t="shared" si="4"/>
        <v>23.740148546489305</v>
      </c>
      <c r="W11" s="381"/>
      <c r="X11" s="381"/>
      <c r="Z11" s="410">
        <f t="shared" ref="Z11:AO11" si="5">G7</f>
        <v>124.66770740616697</v>
      </c>
      <c r="AA11" s="410">
        <f t="shared" si="5"/>
        <v>123.79678754629732</v>
      </c>
      <c r="AB11" s="410">
        <f t="shared" si="5"/>
        <v>119.74494469985491</v>
      </c>
      <c r="AC11" s="410">
        <f t="shared" si="5"/>
        <v>115.69310185341249</v>
      </c>
      <c r="AD11" s="410">
        <f t="shared" si="5"/>
        <v>111.64125900697006</v>
      </c>
      <c r="AE11" s="410">
        <f t="shared" si="5"/>
        <v>107.58941616052763</v>
      </c>
      <c r="AF11" s="410">
        <f t="shared" si="5"/>
        <v>103.53757331408521</v>
      </c>
      <c r="AG11" s="410">
        <f t="shared" si="5"/>
        <v>99.485730467642796</v>
      </c>
      <c r="AH11" s="410">
        <f t="shared" si="5"/>
        <v>95.43388762120037</v>
      </c>
      <c r="AI11" s="410">
        <f t="shared" si="5"/>
        <v>91.382044774757944</v>
      </c>
      <c r="AJ11" s="410">
        <f t="shared" si="5"/>
        <v>87.330201928315532</v>
      </c>
      <c r="AK11" s="410">
        <f t="shared" si="5"/>
        <v>87.330201928315532</v>
      </c>
      <c r="AL11" s="410">
        <f t="shared" si="5"/>
        <v>87.330201928315532</v>
      </c>
      <c r="AM11" s="410">
        <f t="shared" si="5"/>
        <v>87.330201928315532</v>
      </c>
      <c r="AN11" s="410">
        <f t="shared" si="5"/>
        <v>87.330201928315532</v>
      </c>
      <c r="AO11" s="410">
        <f t="shared" si="5"/>
        <v>87.330201928315532</v>
      </c>
      <c r="AS11" s="385">
        <v>0.08</v>
      </c>
    </row>
    <row r="12" spans="1:68" x14ac:dyDescent="0.2">
      <c r="A12" s="385"/>
      <c r="B12" s="424"/>
      <c r="C12" s="402"/>
      <c r="D12" s="403"/>
      <c r="E12" s="403"/>
      <c r="F12" s="403"/>
      <c r="G12" s="403"/>
      <c r="H12" s="403"/>
      <c r="I12" s="403"/>
      <c r="J12" s="403"/>
      <c r="K12" s="403"/>
      <c r="L12" s="403"/>
      <c r="M12" s="403"/>
      <c r="N12" s="403"/>
      <c r="O12" s="403"/>
      <c r="P12" s="403"/>
      <c r="Q12" s="403"/>
      <c r="R12" s="620"/>
      <c r="S12" s="620"/>
      <c r="T12" s="620"/>
      <c r="U12" s="620"/>
      <c r="V12" s="620"/>
      <c r="W12" s="381"/>
      <c r="X12" s="381"/>
      <c r="Z12" s="410"/>
      <c r="AA12" s="410"/>
      <c r="AB12" s="410"/>
      <c r="AC12" s="410"/>
      <c r="AD12" s="410"/>
    </row>
    <row r="13" spans="1:68" s="749" customFormat="1" hidden="1" x14ac:dyDescent="0.2">
      <c r="B13" s="750" t="s">
        <v>215</v>
      </c>
      <c r="C13" s="751"/>
      <c r="D13" s="752">
        <f>IF($AB$6=0,0,Z11*0.1)</f>
        <v>12.466770740616697</v>
      </c>
      <c r="E13" s="752">
        <f>IF($AB$6=0,0,AA11*0.1)</f>
        <v>12.379678754629733</v>
      </c>
      <c r="F13" s="752">
        <f>IF($AB$6=0,0,AB11*0.1)</f>
        <v>11.974494469985492</v>
      </c>
      <c r="G13" s="752">
        <f>IF($AB$6=0,0,AC11*0.1-Z11*0.1)</f>
        <v>-0.89746055527544755</v>
      </c>
      <c r="H13" s="752">
        <f>IF($AB$6=0,0,AD11*0.1-AA11*0.1)</f>
        <v>-1.2155528539327261</v>
      </c>
      <c r="I13" s="752">
        <f t="shared" ref="I13:Q13" si="6">IF($AB$6=0,0,AE11*0.1-AB11*0.1)</f>
        <v>-1.2155528539327278</v>
      </c>
      <c r="J13" s="752">
        <f t="shared" si="6"/>
        <v>-1.2155528539327278</v>
      </c>
      <c r="K13" s="752">
        <f t="shared" si="6"/>
        <v>-1.2155528539327261</v>
      </c>
      <c r="L13" s="752">
        <f t="shared" si="6"/>
        <v>-1.2155528539327278</v>
      </c>
      <c r="M13" s="752">
        <f t="shared" si="6"/>
        <v>-1.2155528539327278</v>
      </c>
      <c r="N13" s="752">
        <f t="shared" si="6"/>
        <v>-1.2155528539327278</v>
      </c>
      <c r="O13" s="752">
        <f t="shared" si="6"/>
        <v>-0.81036856928848344</v>
      </c>
      <c r="P13" s="752">
        <f t="shared" si="6"/>
        <v>-0.40518428464424083</v>
      </c>
      <c r="Q13" s="752">
        <f t="shared" si="6"/>
        <v>0</v>
      </c>
      <c r="R13" s="752"/>
      <c r="S13" s="752"/>
      <c r="T13" s="752"/>
      <c r="U13" s="752"/>
      <c r="V13" s="752"/>
      <c r="W13" s="753"/>
      <c r="X13" s="753"/>
      <c r="Y13" s="754"/>
      <c r="Z13" s="755">
        <v>2020</v>
      </c>
      <c r="AA13" s="755">
        <v>2021</v>
      </c>
      <c r="AB13" s="755">
        <v>2022</v>
      </c>
      <c r="AC13" s="755">
        <v>2023</v>
      </c>
      <c r="AD13" s="755">
        <v>2024</v>
      </c>
      <c r="AE13" s="755">
        <v>2025</v>
      </c>
      <c r="AF13" s="755">
        <v>2026</v>
      </c>
      <c r="AG13" s="755">
        <v>2027</v>
      </c>
      <c r="AH13" s="755">
        <v>2028</v>
      </c>
      <c r="AI13" s="755">
        <v>2029</v>
      </c>
      <c r="AJ13" s="755">
        <v>2030</v>
      </c>
      <c r="AK13" s="755">
        <v>2031</v>
      </c>
      <c r="AL13" s="755">
        <v>2032</v>
      </c>
      <c r="AM13" s="755">
        <v>2033</v>
      </c>
      <c r="AN13" s="755">
        <v>2034</v>
      </c>
      <c r="AO13" s="755">
        <v>2035</v>
      </c>
      <c r="AP13" s="754"/>
      <c r="AQ13" s="754"/>
      <c r="AS13" s="749">
        <v>0.1</v>
      </c>
    </row>
    <row r="14" spans="1:68" s="749" customFormat="1" hidden="1" x14ac:dyDescent="0.2">
      <c r="B14" s="756"/>
      <c r="C14" s="757"/>
      <c r="D14" s="758" t="e">
        <f>(#REF!+#REF!)/(D7+D13)</f>
        <v>#REF!</v>
      </c>
      <c r="E14" s="758" t="e">
        <f>(#REF!+#REF!)/(E7+E13)</f>
        <v>#REF!</v>
      </c>
      <c r="F14" s="758" t="e">
        <f>(#REF!+#REF!)/(F7+F13)</f>
        <v>#REF!</v>
      </c>
      <c r="G14" s="758" t="e">
        <f>(#REF!+#REF!)/(G7+G13)</f>
        <v>#REF!</v>
      </c>
      <c r="H14" s="758" t="e">
        <f>(#REF!+#REF!)/(H7+H13)</f>
        <v>#REF!</v>
      </c>
      <c r="I14" s="758"/>
      <c r="J14" s="758"/>
      <c r="K14" s="758"/>
      <c r="L14" s="758"/>
      <c r="M14" s="758"/>
      <c r="N14" s="758"/>
      <c r="O14" s="758"/>
      <c r="P14" s="758"/>
      <c r="Q14" s="758"/>
      <c r="R14" s="758"/>
      <c r="S14" s="758"/>
      <c r="T14" s="758"/>
      <c r="U14" s="758"/>
      <c r="V14" s="758"/>
      <c r="W14" s="753"/>
      <c r="X14" s="753"/>
      <c r="Y14" s="754"/>
      <c r="Z14" s="759">
        <f t="shared" ref="Z14:AO14" si="7">G6</f>
        <v>19.457915859459053</v>
      </c>
      <c r="AA14" s="759">
        <f t="shared" si="7"/>
        <v>20.434735028802116</v>
      </c>
      <c r="AB14" s="759">
        <f t="shared" si="7"/>
        <v>21.67820930707304</v>
      </c>
      <c r="AC14" s="759">
        <f t="shared" si="7"/>
        <v>27.192653556604036</v>
      </c>
      <c r="AD14" s="759">
        <f t="shared" si="7"/>
        <v>34.686543566680307</v>
      </c>
      <c r="AE14" s="759">
        <f t="shared" si="7"/>
        <v>42.990680751735262</v>
      </c>
      <c r="AF14" s="759">
        <f t="shared" si="7"/>
        <v>51.048417654521202</v>
      </c>
      <c r="AG14" s="759">
        <f t="shared" si="7"/>
        <v>58.225704299319901</v>
      </c>
      <c r="AH14" s="759">
        <f t="shared" si="7"/>
        <v>62.443321250733128</v>
      </c>
      <c r="AI14" s="759">
        <f t="shared" si="7"/>
        <v>66.629611001662965</v>
      </c>
      <c r="AJ14" s="759">
        <f t="shared" si="7"/>
        <v>70.905967471664866</v>
      </c>
      <c r="AK14" s="759">
        <f t="shared" si="7"/>
        <v>70.905967471664866</v>
      </c>
      <c r="AL14" s="759">
        <f t="shared" si="7"/>
        <v>70.905967471664866</v>
      </c>
      <c r="AM14" s="759">
        <f t="shared" si="7"/>
        <v>70.905967471664866</v>
      </c>
      <c r="AN14" s="759">
        <f t="shared" si="7"/>
        <v>70.905967471664866</v>
      </c>
      <c r="AO14" s="759">
        <f t="shared" si="7"/>
        <v>70.905967471664866</v>
      </c>
      <c r="AP14" s="754"/>
      <c r="AQ14" s="754"/>
      <c r="AS14" s="749">
        <v>0</v>
      </c>
    </row>
    <row r="15" spans="1:68" x14ac:dyDescent="0.2">
      <c r="A15" s="385"/>
      <c r="B15" s="429" t="s">
        <v>216</v>
      </c>
      <c r="C15" s="430"/>
      <c r="D15" s="431">
        <f t="shared" ref="D15:Q15" si="8">D7-D10-D11</f>
        <v>101.33883532471944</v>
      </c>
      <c r="E15" s="431">
        <f t="shared" si="8"/>
        <v>96.391587744825443</v>
      </c>
      <c r="F15" s="431">
        <f t="shared" si="8"/>
        <v>91.234074497843508</v>
      </c>
      <c r="G15" s="431">
        <f t="shared" si="8"/>
        <v>86.946791498046508</v>
      </c>
      <c r="H15" s="431">
        <f t="shared" si="8"/>
        <v>87.471724693694583</v>
      </c>
      <c r="I15" s="431">
        <f t="shared" si="8"/>
        <v>83.94140863040812</v>
      </c>
      <c r="J15" s="431">
        <f t="shared" si="8"/>
        <v>80.688441688296393</v>
      </c>
      <c r="K15" s="431">
        <f t="shared" si="8"/>
        <v>78.238357969929424</v>
      </c>
      <c r="L15" s="431">
        <f t="shared" si="8"/>
        <v>74.982794289327586</v>
      </c>
      <c r="M15" s="431">
        <f t="shared" si="8"/>
        <v>71.725608049891036</v>
      </c>
      <c r="N15" s="431">
        <f t="shared" si="8"/>
        <v>69.1049513720005</v>
      </c>
      <c r="O15" s="431">
        <f t="shared" si="8"/>
        <v>65.777728263345381</v>
      </c>
      <c r="P15" s="431">
        <f t="shared" si="8"/>
        <v>62.449825712073988</v>
      </c>
      <c r="Q15" s="431">
        <f t="shared" si="8"/>
        <v>59.223543285410443</v>
      </c>
      <c r="R15" s="621">
        <f>Q15</f>
        <v>59.223543285410443</v>
      </c>
      <c r="S15" s="621">
        <f>R15</f>
        <v>59.223543285410443</v>
      </c>
      <c r="T15" s="621">
        <f>S15</f>
        <v>59.223543285410443</v>
      </c>
      <c r="U15" s="621">
        <f>T15</f>
        <v>59.223543285410443</v>
      </c>
      <c r="V15" s="621">
        <f>U15</f>
        <v>59.223543285410443</v>
      </c>
      <c r="W15" s="381"/>
      <c r="X15" s="381"/>
      <c r="AS15" s="385">
        <f>AS4*$AR$4</f>
        <v>-0.01</v>
      </c>
    </row>
    <row r="16" spans="1:68" x14ac:dyDescent="0.2">
      <c r="A16" s="385"/>
      <c r="B16" s="432" t="s">
        <v>217</v>
      </c>
      <c r="C16" s="430"/>
      <c r="D16" s="433">
        <v>7.5</v>
      </c>
      <c r="E16" s="433">
        <v>7.5</v>
      </c>
      <c r="F16" s="433">
        <v>7.5</v>
      </c>
      <c r="G16" s="433">
        <v>7.5</v>
      </c>
      <c r="H16" s="433">
        <f>3.87+4.2</f>
        <v>8.07</v>
      </c>
      <c r="I16" s="433">
        <f>3.87+4.2</f>
        <v>8.07</v>
      </c>
      <c r="J16" s="433">
        <f t="shared" ref="J16:Q16" si="9">3.87+4.2</f>
        <v>8.07</v>
      </c>
      <c r="K16" s="433">
        <f t="shared" si="9"/>
        <v>8.07</v>
      </c>
      <c r="L16" s="433">
        <f t="shared" si="9"/>
        <v>8.07</v>
      </c>
      <c r="M16" s="433">
        <f t="shared" si="9"/>
        <v>8.07</v>
      </c>
      <c r="N16" s="433">
        <f t="shared" si="9"/>
        <v>8.07</v>
      </c>
      <c r="O16" s="433">
        <f t="shared" si="9"/>
        <v>8.07</v>
      </c>
      <c r="P16" s="433">
        <f t="shared" si="9"/>
        <v>8.07</v>
      </c>
      <c r="Q16" s="433">
        <f t="shared" si="9"/>
        <v>8.07</v>
      </c>
      <c r="R16" s="622"/>
      <c r="S16" s="622"/>
      <c r="T16" s="622"/>
      <c r="U16" s="622"/>
      <c r="V16" s="622"/>
      <c r="W16" s="381"/>
      <c r="X16" s="434"/>
      <c r="AS16" s="385">
        <f>AS5*$AR$4</f>
        <v>-0.02</v>
      </c>
    </row>
    <row r="17" spans="1:45" x14ac:dyDescent="0.2">
      <c r="A17" s="385"/>
      <c r="B17" s="432" t="s">
        <v>218</v>
      </c>
      <c r="C17" s="430"/>
      <c r="D17" s="433">
        <v>105.32934143888451</v>
      </c>
      <c r="E17" s="433">
        <v>100.22282256166187</v>
      </c>
      <c r="F17" s="433">
        <v>95.116303684439231</v>
      </c>
      <c r="G17" s="433">
        <v>90.00978480721659</v>
      </c>
      <c r="H17" s="433">
        <v>86.787666842808264</v>
      </c>
      <c r="I17" s="433">
        <v>83.565548878399937</v>
      </c>
      <c r="J17" s="433">
        <v>80.343430913991611</v>
      </c>
      <c r="K17" s="433">
        <v>77.121312949583285</v>
      </c>
      <c r="L17" s="433">
        <v>73.899194985174958</v>
      </c>
      <c r="M17" s="433">
        <v>70.677077020766632</v>
      </c>
      <c r="N17" s="433">
        <v>67.454959056358305</v>
      </c>
      <c r="O17" s="433">
        <v>64.232841091949979</v>
      </c>
      <c r="P17" s="433">
        <v>61.010723127541659</v>
      </c>
      <c r="Q17" s="433">
        <v>57.788605163133383</v>
      </c>
      <c r="R17" s="622"/>
      <c r="S17" s="622"/>
      <c r="T17" s="622"/>
      <c r="U17" s="622"/>
      <c r="V17" s="622"/>
      <c r="W17" s="381"/>
      <c r="X17" s="435"/>
      <c r="Z17" s="385"/>
      <c r="AA17" s="385"/>
      <c r="AS17" s="385">
        <f>AS6*$AR$4</f>
        <v>-0.03</v>
      </c>
    </row>
    <row r="18" spans="1:45" x14ac:dyDescent="0.2">
      <c r="A18" s="385"/>
      <c r="B18" s="436" t="s">
        <v>219</v>
      </c>
      <c r="C18" s="607">
        <v>0</v>
      </c>
      <c r="D18" s="608">
        <f t="shared" ref="D18:V18" si="10">D15*D6</f>
        <v>1786.5124980272071</v>
      </c>
      <c r="E18" s="608">
        <f t="shared" si="10"/>
        <v>1743.5607566549045</v>
      </c>
      <c r="F18" s="608">
        <f t="shared" si="10"/>
        <v>1711.793029915556</v>
      </c>
      <c r="G18" s="608">
        <f t="shared" si="10"/>
        <v>1691.8033532189188</v>
      </c>
      <c r="H18" s="608">
        <f t="shared" si="10"/>
        <v>1787.4615166279757</v>
      </c>
      <c r="I18" s="608">
        <f t="shared" si="10"/>
        <v>1819.6994258205345</v>
      </c>
      <c r="J18" s="608">
        <f t="shared" si="10"/>
        <v>2194.1328408520903</v>
      </c>
      <c r="K18" s="608">
        <f t="shared" si="10"/>
        <v>2713.8182123094862</v>
      </c>
      <c r="L18" s="608">
        <f t="shared" si="10"/>
        <v>3223.5613711655201</v>
      </c>
      <c r="M18" s="608">
        <f t="shared" si="10"/>
        <v>3661.4787962553255</v>
      </c>
      <c r="N18" s="608">
        <f t="shared" si="10"/>
        <v>4023.6844642049823</v>
      </c>
      <c r="O18" s="608">
        <f t="shared" si="10"/>
        <v>4107.3798170915034</v>
      </c>
      <c r="P18" s="608">
        <f t="shared" si="10"/>
        <v>4161.0075943171396</v>
      </c>
      <c r="Q18" s="608">
        <f t="shared" si="10"/>
        <v>4199.3026337520487</v>
      </c>
      <c r="R18" s="623">
        <f t="shared" si="10"/>
        <v>4199.3026337520487</v>
      </c>
      <c r="S18" s="623">
        <f t="shared" si="10"/>
        <v>4199.3026337520487</v>
      </c>
      <c r="T18" s="623">
        <f t="shared" si="10"/>
        <v>4199.3026337520487</v>
      </c>
      <c r="U18" s="623">
        <f t="shared" si="10"/>
        <v>4199.3026337520487</v>
      </c>
      <c r="V18" s="623">
        <f t="shared" si="10"/>
        <v>4199.3026337520487</v>
      </c>
      <c r="W18" s="381"/>
      <c r="X18" s="381"/>
      <c r="AS18" s="385">
        <f>AS7*$AR$4</f>
        <v>-0.04</v>
      </c>
    </row>
    <row r="19" spans="1:45" x14ac:dyDescent="0.2">
      <c r="A19" s="385"/>
      <c r="B19" s="387" t="s">
        <v>220</v>
      </c>
      <c r="C19" s="609">
        <f t="shared" ref="C19:H19" si="11">C18/4</f>
        <v>0</v>
      </c>
      <c r="D19" s="609">
        <f t="shared" si="11"/>
        <v>446.62812450680178</v>
      </c>
      <c r="E19" s="609">
        <f t="shared" si="11"/>
        <v>435.89018916372612</v>
      </c>
      <c r="F19" s="609">
        <f t="shared" si="11"/>
        <v>427.94825747888899</v>
      </c>
      <c r="G19" s="609">
        <f t="shared" si="11"/>
        <v>422.9508383047297</v>
      </c>
      <c r="H19" s="609">
        <f t="shared" si="11"/>
        <v>446.86537915699392</v>
      </c>
      <c r="I19" s="609">
        <f t="shared" ref="I19:R19" si="12">I18/4</f>
        <v>454.92485645513364</v>
      </c>
      <c r="J19" s="609">
        <f t="shared" si="12"/>
        <v>548.53321021302258</v>
      </c>
      <c r="K19" s="609">
        <f t="shared" si="12"/>
        <v>678.45455307737154</v>
      </c>
      <c r="L19" s="609">
        <f t="shared" si="12"/>
        <v>805.89034279138002</v>
      </c>
      <c r="M19" s="609">
        <f t="shared" si="12"/>
        <v>915.36969906383138</v>
      </c>
      <c r="N19" s="609">
        <f t="shared" si="12"/>
        <v>1005.9211160512456</v>
      </c>
      <c r="O19" s="609">
        <f t="shared" si="12"/>
        <v>1026.8449542728758</v>
      </c>
      <c r="P19" s="609">
        <f t="shared" si="12"/>
        <v>1040.2518985792849</v>
      </c>
      <c r="Q19" s="609">
        <f t="shared" si="12"/>
        <v>1049.8256584380122</v>
      </c>
      <c r="R19" s="624">
        <f t="shared" si="12"/>
        <v>1049.8256584380122</v>
      </c>
      <c r="S19" s="624">
        <f>S18/4</f>
        <v>1049.8256584380122</v>
      </c>
      <c r="T19" s="624">
        <f>T18/4</f>
        <v>1049.8256584380122</v>
      </c>
      <c r="U19" s="624">
        <f>U18/4</f>
        <v>1049.8256584380122</v>
      </c>
      <c r="V19" s="624">
        <f>V18/4</f>
        <v>1049.8256584380122</v>
      </c>
      <c r="W19" s="381"/>
      <c r="X19" s="381"/>
      <c r="AS19" s="385">
        <f>AS10*$AR$4</f>
        <v>-0.05</v>
      </c>
    </row>
    <row r="20" spans="1:45" x14ac:dyDescent="0.2">
      <c r="A20" s="385"/>
      <c r="B20" s="387"/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O20" s="388"/>
      <c r="P20" s="388"/>
      <c r="Q20" s="388"/>
      <c r="R20" s="596"/>
      <c r="S20" s="596"/>
      <c r="T20" s="596"/>
      <c r="U20" s="596"/>
      <c r="V20" s="596"/>
      <c r="W20" s="381"/>
      <c r="X20" s="381"/>
      <c r="AS20" s="385" t="e">
        <f>#REF!*$AR$4</f>
        <v>#REF!</v>
      </c>
    </row>
    <row r="21" spans="1:45" x14ac:dyDescent="0.2">
      <c r="A21" s="385"/>
      <c r="B21" s="441" t="s">
        <v>221</v>
      </c>
      <c r="C21" s="619" t="s">
        <v>222</v>
      </c>
      <c r="D21" s="619" t="s">
        <v>223</v>
      </c>
      <c r="E21" s="619" t="s">
        <v>224</v>
      </c>
      <c r="F21" s="619" t="s">
        <v>225</v>
      </c>
      <c r="G21" s="619" t="s">
        <v>226</v>
      </c>
      <c r="H21" s="619" t="s">
        <v>281</v>
      </c>
      <c r="I21" s="619" t="s">
        <v>282</v>
      </c>
      <c r="J21" s="619" t="s">
        <v>283</v>
      </c>
      <c r="K21" s="619" t="s">
        <v>284</v>
      </c>
      <c r="L21" s="619" t="s">
        <v>285</v>
      </c>
      <c r="M21" s="619" t="s">
        <v>286</v>
      </c>
      <c r="N21" s="619" t="s">
        <v>287</v>
      </c>
      <c r="O21" s="619" t="s">
        <v>288</v>
      </c>
      <c r="P21" s="619" t="s">
        <v>289</v>
      </c>
      <c r="Q21" s="619" t="s">
        <v>290</v>
      </c>
      <c r="R21" s="625"/>
      <c r="S21" s="625"/>
      <c r="T21" s="625"/>
      <c r="U21" s="625"/>
      <c r="V21" s="625"/>
      <c r="W21" s="381"/>
      <c r="X21" s="381"/>
      <c r="AS21" s="385" t="e">
        <f>#REF!*$AR$4</f>
        <v>#REF!</v>
      </c>
    </row>
    <row r="22" spans="1:45" x14ac:dyDescent="0.2">
      <c r="A22" s="385"/>
      <c r="B22" s="441" t="s">
        <v>269</v>
      </c>
      <c r="C22" s="610">
        <f>(C19*3)+(D19*1)</f>
        <v>446.62812450680178</v>
      </c>
      <c r="D22" s="610">
        <f>(D19*3)+(E19*1)</f>
        <v>1775.7745626841315</v>
      </c>
      <c r="E22" s="610">
        <f>(E19*3)+(F19*1)</f>
        <v>1735.6188249700674</v>
      </c>
      <c r="F22" s="610">
        <f>(F19*3)+(G19*1)</f>
        <v>1706.7956107413966</v>
      </c>
      <c r="G22" s="610">
        <f>(G19*3)+(H19*1)</f>
        <v>1715.7178940711831</v>
      </c>
      <c r="H22" s="610">
        <f t="shared" ref="H22:R22" si="13">(H19*3)+(I19*1)</f>
        <v>1795.5209939261154</v>
      </c>
      <c r="I22" s="610">
        <f t="shared" si="13"/>
        <v>1913.3077795784236</v>
      </c>
      <c r="J22" s="610">
        <f t="shared" si="13"/>
        <v>2324.0541837164392</v>
      </c>
      <c r="K22" s="610">
        <f t="shared" si="13"/>
        <v>2841.2540020234946</v>
      </c>
      <c r="L22" s="610">
        <f t="shared" si="13"/>
        <v>3333.0407274379713</v>
      </c>
      <c r="M22" s="610">
        <f t="shared" si="13"/>
        <v>3752.0302132427396</v>
      </c>
      <c r="N22" s="610">
        <f t="shared" si="13"/>
        <v>4044.6083024266127</v>
      </c>
      <c r="O22" s="610">
        <f t="shared" si="13"/>
        <v>4120.7867613979124</v>
      </c>
      <c r="P22" s="610">
        <f t="shared" si="13"/>
        <v>4170.5813541758671</v>
      </c>
      <c r="Q22" s="610">
        <f t="shared" si="13"/>
        <v>4199.3026337520487</v>
      </c>
      <c r="R22" s="626">
        <f t="shared" si="13"/>
        <v>4199.3026337520487</v>
      </c>
      <c r="S22" s="626">
        <f>(S19*3)+(T19*1)</f>
        <v>4199.3026337520487</v>
      </c>
      <c r="T22" s="626">
        <f>(T19*3)+(U19*1)</f>
        <v>4199.3026337520487</v>
      </c>
      <c r="U22" s="626">
        <f>(U19*3)+(V19*1)</f>
        <v>4199.3026337520487</v>
      </c>
      <c r="V22" s="626">
        <f>(V19*3)+(W19*1)</f>
        <v>3149.4769753140363</v>
      </c>
      <c r="W22" s="381"/>
      <c r="X22" s="381"/>
      <c r="AS22" s="385">
        <f>AS11*$AR$4</f>
        <v>-0.08</v>
      </c>
    </row>
    <row r="23" spans="1:45" ht="12.75" hidden="1" customHeight="1" thickBot="1" x14ac:dyDescent="0.25">
      <c r="A23" s="385"/>
      <c r="B23" s="445" t="s">
        <v>228</v>
      </c>
      <c r="C23" s="611"/>
      <c r="D23" s="611">
        <f>D22*0.85</f>
        <v>1509.4083782815117</v>
      </c>
      <c r="E23" s="611">
        <f>E22*0.85</f>
        <v>1475.2760012245571</v>
      </c>
      <c r="F23" s="611">
        <f>F22*0.85</f>
        <v>1450.7762691301871</v>
      </c>
      <c r="G23" s="611">
        <f>G22*0.85</f>
        <v>1458.3602099605055</v>
      </c>
      <c r="H23" s="612"/>
      <c r="I23" s="611"/>
      <c r="J23" s="611"/>
      <c r="K23" s="611"/>
      <c r="L23" s="611"/>
      <c r="M23" s="611"/>
      <c r="N23" s="611"/>
      <c r="O23" s="611"/>
      <c r="P23" s="611"/>
      <c r="Q23" s="611"/>
      <c r="R23" s="627"/>
      <c r="S23" s="627"/>
      <c r="T23" s="627"/>
      <c r="U23" s="627"/>
      <c r="V23" s="627"/>
      <c r="W23" s="381"/>
      <c r="X23" s="381"/>
      <c r="AS23" s="385">
        <f>AS8*$AR$4</f>
        <v>-0.09</v>
      </c>
    </row>
    <row r="24" spans="1:45" s="371" customFormat="1" ht="12.75" thickBot="1" x14ac:dyDescent="0.25">
      <c r="B24" s="451"/>
      <c r="C24" s="382"/>
      <c r="D24" s="382"/>
      <c r="E24" s="382"/>
      <c r="F24" s="382"/>
      <c r="G24" s="382"/>
      <c r="H24" s="382"/>
      <c r="I24" s="382"/>
      <c r="J24" s="382"/>
      <c r="K24" s="382"/>
      <c r="L24" s="382"/>
      <c r="M24" s="382"/>
      <c r="N24" s="382"/>
      <c r="O24" s="382"/>
      <c r="P24" s="382"/>
      <c r="Q24" s="382"/>
      <c r="R24" s="598"/>
      <c r="S24" s="598"/>
      <c r="T24" s="598"/>
      <c r="U24" s="598"/>
      <c r="V24" s="598"/>
      <c r="W24" s="381"/>
      <c r="X24" s="381"/>
      <c r="Z24" s="371" t="s">
        <v>229</v>
      </c>
      <c r="AS24" s="385">
        <f>AS13*$AR$4</f>
        <v>-0.1</v>
      </c>
    </row>
    <row r="25" spans="1:45" s="371" customFormat="1" x14ac:dyDescent="0.2">
      <c r="B25" s="453" t="s">
        <v>230</v>
      </c>
      <c r="C25" s="613"/>
      <c r="D25" s="614">
        <f t="shared" ref="D25:V25" si="14">D11*D6</f>
        <v>597.20819881779801</v>
      </c>
      <c r="E25" s="614">
        <f t="shared" si="14"/>
        <v>601.07311884520266</v>
      </c>
      <c r="F25" s="614">
        <f t="shared" si="14"/>
        <v>615.29939942420015</v>
      </c>
      <c r="G25" s="614">
        <f t="shared" si="14"/>
        <v>612.68171982689546</v>
      </c>
      <c r="H25" s="614">
        <f t="shared" si="14"/>
        <v>615.80530675124498</v>
      </c>
      <c r="I25" s="614">
        <f t="shared" si="14"/>
        <v>646.36375011343955</v>
      </c>
      <c r="J25" s="614">
        <f t="shared" si="14"/>
        <v>794.56947485722253</v>
      </c>
      <c r="K25" s="614">
        <f t="shared" si="14"/>
        <v>965.00871235560555</v>
      </c>
      <c r="L25" s="614">
        <f t="shared" si="14"/>
        <v>1170.5137591361683</v>
      </c>
      <c r="M25" s="614">
        <f t="shared" si="14"/>
        <v>1359.6790249440533</v>
      </c>
      <c r="N25" s="614">
        <f t="shared" si="14"/>
        <v>1479.3109237952872</v>
      </c>
      <c r="O25" s="614">
        <f t="shared" si="14"/>
        <v>1553.8686406986255</v>
      </c>
      <c r="P25" s="614">
        <f t="shared" si="14"/>
        <v>1623.3049967675965</v>
      </c>
      <c r="Q25" s="614">
        <f t="shared" si="14"/>
        <v>1683.3182006098625</v>
      </c>
      <c r="R25" s="628">
        <f t="shared" si="14"/>
        <v>1683.3182006098625</v>
      </c>
      <c r="S25" s="628">
        <f t="shared" si="14"/>
        <v>1683.3182006098625</v>
      </c>
      <c r="T25" s="628">
        <f t="shared" si="14"/>
        <v>1683.3182006098625</v>
      </c>
      <c r="U25" s="628">
        <f t="shared" si="14"/>
        <v>1683.3182006098625</v>
      </c>
      <c r="V25" s="628">
        <f t="shared" si="14"/>
        <v>1683.3182006098625</v>
      </c>
      <c r="W25" s="458"/>
      <c r="X25" s="458">
        <v>1809.4767628511495</v>
      </c>
      <c r="Y25" s="458">
        <v>1813.6247386583286</v>
      </c>
      <c r="Z25" s="459">
        <f>AVERAGE(J25:Y25)</f>
        <v>1511.2844158482142</v>
      </c>
      <c r="AA25" s="460" t="s">
        <v>231</v>
      </c>
      <c r="AB25" s="460"/>
      <c r="AC25" s="460"/>
      <c r="AD25" s="460"/>
      <c r="AE25" s="460"/>
    </row>
    <row r="26" spans="1:45" s="371" customFormat="1" x14ac:dyDescent="0.2">
      <c r="B26" s="387" t="s">
        <v>232</v>
      </c>
      <c r="C26" s="615"/>
      <c r="D26" s="616">
        <f t="shared" ref="D26:Q26" si="15">D25/4</f>
        <v>149.3020497044495</v>
      </c>
      <c r="E26" s="616">
        <f t="shared" si="15"/>
        <v>150.26827971130066</v>
      </c>
      <c r="F26" s="616">
        <f t="shared" si="15"/>
        <v>153.82484985605004</v>
      </c>
      <c r="G26" s="616">
        <f t="shared" si="15"/>
        <v>153.17042995672386</v>
      </c>
      <c r="H26" s="616">
        <f t="shared" si="15"/>
        <v>153.95132668781125</v>
      </c>
      <c r="I26" s="616">
        <f t="shared" si="15"/>
        <v>161.59093752835989</v>
      </c>
      <c r="J26" s="616">
        <f t="shared" si="15"/>
        <v>198.64236871430563</v>
      </c>
      <c r="K26" s="616">
        <f t="shared" si="15"/>
        <v>241.25217808890139</v>
      </c>
      <c r="L26" s="616">
        <f t="shared" si="15"/>
        <v>292.62843978404209</v>
      </c>
      <c r="M26" s="616">
        <f t="shared" si="15"/>
        <v>339.91975623601331</v>
      </c>
      <c r="N26" s="616">
        <f t="shared" si="15"/>
        <v>369.8277309488218</v>
      </c>
      <c r="O26" s="616">
        <f t="shared" si="15"/>
        <v>388.46716017465639</v>
      </c>
      <c r="P26" s="616">
        <f t="shared" si="15"/>
        <v>405.82624919189914</v>
      </c>
      <c r="Q26" s="616">
        <f t="shared" si="15"/>
        <v>420.82955015246563</v>
      </c>
      <c r="R26" s="629">
        <f>R25/4</f>
        <v>420.82955015246563</v>
      </c>
      <c r="S26" s="629">
        <f>S25/4</f>
        <v>420.82955015246563</v>
      </c>
      <c r="T26" s="629">
        <f>T25/4</f>
        <v>420.82955015246563</v>
      </c>
      <c r="U26" s="629">
        <f>U25/4</f>
        <v>420.82955015246563</v>
      </c>
      <c r="V26" s="629">
        <f>V25/4</f>
        <v>420.82955015246563</v>
      </c>
      <c r="W26" s="458"/>
      <c r="X26" s="458">
        <f>X25-F36</f>
        <v>99.411154705270746</v>
      </c>
      <c r="Y26" s="458">
        <f>Y25-G36</f>
        <v>93.698108231433025</v>
      </c>
      <c r="Z26" s="459">
        <f>AVERAGE(J26:Y26)</f>
        <v>330.31002979934249</v>
      </c>
      <c r="AA26" s="460" t="s">
        <v>233</v>
      </c>
      <c r="AB26" s="460"/>
      <c r="AC26" s="460"/>
      <c r="AD26" s="460"/>
      <c r="AE26" s="460"/>
    </row>
    <row r="27" spans="1:45" s="371" customFormat="1" x14ac:dyDescent="0.2">
      <c r="B27" s="387"/>
      <c r="C27" s="617">
        <f>C26/4</f>
        <v>0</v>
      </c>
      <c r="D27" s="616"/>
      <c r="E27" s="616"/>
      <c r="F27" s="616"/>
      <c r="G27" s="616"/>
      <c r="H27" s="616"/>
      <c r="I27" s="616"/>
      <c r="J27" s="616">
        <v>534.46691349621301</v>
      </c>
      <c r="K27" s="616">
        <v>2114.0991856521982</v>
      </c>
      <c r="L27" s="616">
        <v>2038.5671768158179</v>
      </c>
      <c r="M27" s="616"/>
      <c r="N27" s="616"/>
      <c r="O27" s="616"/>
      <c r="P27" s="616"/>
      <c r="Q27" s="616"/>
      <c r="R27" s="629"/>
      <c r="S27" s="629"/>
      <c r="T27" s="629"/>
      <c r="U27" s="629"/>
      <c r="V27" s="629"/>
      <c r="W27" s="458"/>
      <c r="X27" s="458">
        <v>1966.0798033019419</v>
      </c>
      <c r="Y27" s="458">
        <v>1787.7295009679995</v>
      </c>
      <c r="Z27" s="459">
        <f>AVERAGE(J27:Y27)</f>
        <v>1688.1885160468341</v>
      </c>
      <c r="AA27" s="460" t="s">
        <v>234</v>
      </c>
      <c r="AB27" s="460"/>
      <c r="AC27" s="460"/>
      <c r="AD27" s="460"/>
      <c r="AE27" s="460"/>
    </row>
    <row r="28" spans="1:45" s="371" customFormat="1" x14ac:dyDescent="0.2">
      <c r="B28" s="387" t="s">
        <v>221</v>
      </c>
      <c r="C28" s="615"/>
      <c r="D28" s="616"/>
      <c r="E28" s="616"/>
      <c r="F28" s="616"/>
      <c r="G28" s="616"/>
      <c r="H28" s="616"/>
      <c r="I28" s="616"/>
      <c r="J28" s="616"/>
      <c r="K28" s="616"/>
      <c r="L28" s="616"/>
      <c r="M28" s="616"/>
      <c r="N28" s="616"/>
      <c r="O28" s="616"/>
      <c r="P28" s="616"/>
      <c r="Q28" s="616"/>
      <c r="R28" s="629"/>
      <c r="S28" s="629"/>
      <c r="T28" s="629"/>
      <c r="U28" s="629"/>
      <c r="V28" s="629"/>
      <c r="W28" s="458"/>
      <c r="X28" s="458">
        <f>X25-X27</f>
        <v>-156.60304045079238</v>
      </c>
      <c r="Y28" s="458">
        <f>Y25-Y27</f>
        <v>25.895237690329168</v>
      </c>
      <c r="Z28" s="459">
        <f>AVERAGE(J28:Y28)</f>
        <v>-65.353901380231605</v>
      </c>
      <c r="AA28" s="460" t="s">
        <v>235</v>
      </c>
      <c r="AB28" s="460"/>
      <c r="AC28" s="460"/>
      <c r="AD28" s="460"/>
      <c r="AE28" s="460"/>
    </row>
    <row r="29" spans="1:45" s="371" customFormat="1" ht="12.75" thickBot="1" x14ac:dyDescent="0.25">
      <c r="B29" s="465" t="s">
        <v>227</v>
      </c>
      <c r="C29" s="618">
        <f>(C26*3)+(D26*1)</f>
        <v>149.3020497044495</v>
      </c>
      <c r="D29" s="618">
        <f>(D26*3)+(E26*1)</f>
        <v>598.17442882464923</v>
      </c>
      <c r="E29" s="618">
        <f>(E26*3)+(F26*1)</f>
        <v>604.629688989952</v>
      </c>
      <c r="F29" s="618">
        <f>(F26*3)+(G26*1)</f>
        <v>614.64497952487397</v>
      </c>
      <c r="G29" s="618">
        <f>(G26*3)+(H26*1)</f>
        <v>613.46261655798287</v>
      </c>
      <c r="H29" s="618">
        <f t="shared" ref="H29:R29" si="16">(H26*3)+(I26*1)</f>
        <v>623.44491759179357</v>
      </c>
      <c r="I29" s="618">
        <f t="shared" si="16"/>
        <v>683.41518129938527</v>
      </c>
      <c r="J29" s="618">
        <f t="shared" si="16"/>
        <v>837.17928423181831</v>
      </c>
      <c r="K29" s="618">
        <f t="shared" si="16"/>
        <v>1016.3849740507462</v>
      </c>
      <c r="L29" s="618">
        <f t="shared" si="16"/>
        <v>1217.8050755881395</v>
      </c>
      <c r="M29" s="618">
        <f t="shared" si="16"/>
        <v>1389.5869996568617</v>
      </c>
      <c r="N29" s="618">
        <f t="shared" si="16"/>
        <v>1497.9503530211218</v>
      </c>
      <c r="O29" s="618">
        <f t="shared" si="16"/>
        <v>1571.2277297158685</v>
      </c>
      <c r="P29" s="618">
        <f t="shared" si="16"/>
        <v>1638.3082977281631</v>
      </c>
      <c r="Q29" s="618">
        <f t="shared" si="16"/>
        <v>1683.3182006098625</v>
      </c>
      <c r="R29" s="630">
        <f t="shared" si="16"/>
        <v>1683.3182006098625</v>
      </c>
      <c r="S29" s="630">
        <f>(S26*3)+(T26*1)</f>
        <v>1683.3182006098625</v>
      </c>
      <c r="T29" s="630">
        <f>(T26*3)+(U26*1)</f>
        <v>1683.3182006098625</v>
      </c>
      <c r="U29" s="630">
        <f>(U26*3)+(V26*1)</f>
        <v>1683.3182006098625</v>
      </c>
      <c r="V29" s="630">
        <f>(V26*3)+(W26*1)</f>
        <v>1262.4886504573969</v>
      </c>
      <c r="W29" s="458"/>
      <c r="X29" s="458">
        <f>X26+X28</f>
        <v>-57.191885745521631</v>
      </c>
      <c r="Y29" s="458">
        <f>Y26+Y28</f>
        <v>119.59334592176219</v>
      </c>
      <c r="Z29" s="459">
        <f>AVERAGE(J29:Y29)</f>
        <v>1260.6615885117119</v>
      </c>
      <c r="AA29" s="460" t="s">
        <v>236</v>
      </c>
      <c r="AB29" s="460"/>
      <c r="AC29" s="460"/>
      <c r="AD29" s="460"/>
      <c r="AE29" s="460"/>
    </row>
    <row r="30" spans="1:45" s="382" customFormat="1" x14ac:dyDescent="0.2">
      <c r="B30" s="643"/>
      <c r="C30" s="637"/>
      <c r="D30" s="638"/>
      <c r="E30" s="638"/>
      <c r="F30" s="638"/>
      <c r="G30" s="638"/>
      <c r="H30" s="639"/>
      <c r="I30" s="637"/>
      <c r="J30" s="637"/>
      <c r="K30" s="637"/>
      <c r="L30" s="637"/>
      <c r="M30" s="637"/>
      <c r="N30" s="637"/>
      <c r="O30" s="637"/>
      <c r="P30" s="637"/>
      <c r="Q30" s="637"/>
      <c r="R30" s="640"/>
      <c r="S30" s="640"/>
      <c r="T30" s="640"/>
      <c r="U30" s="640"/>
      <c r="V30" s="640"/>
      <c r="W30" s="641"/>
      <c r="X30" s="641"/>
      <c r="Y30" s="641"/>
      <c r="Z30" s="642"/>
      <c r="AA30" s="642"/>
      <c r="AB30" s="642"/>
      <c r="AC30" s="642"/>
      <c r="AD30" s="642"/>
      <c r="AE30" s="642"/>
    </row>
    <row r="31" spans="1:45" s="371" customFormat="1" x14ac:dyDescent="0.2">
      <c r="B31" s="387"/>
      <c r="C31" s="615"/>
      <c r="D31" s="616"/>
      <c r="E31" s="616"/>
      <c r="F31" s="616"/>
      <c r="G31" s="616"/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29"/>
      <c r="S31" s="629"/>
      <c r="T31" s="629"/>
      <c r="U31" s="629"/>
      <c r="V31" s="629"/>
      <c r="W31" s="458"/>
      <c r="X31" s="458"/>
      <c r="Y31" s="458"/>
      <c r="Z31" s="459"/>
      <c r="AA31" s="460"/>
      <c r="AB31" s="460"/>
      <c r="AC31" s="460"/>
      <c r="AD31" s="460"/>
      <c r="AE31" s="460"/>
    </row>
    <row r="32" spans="1:45" s="371" customFormat="1" ht="12" customHeight="1" x14ac:dyDescent="0.2">
      <c r="B32" s="402" t="s">
        <v>237</v>
      </c>
      <c r="C32" s="462"/>
      <c r="D32" s="462"/>
      <c r="E32" s="462"/>
      <c r="F32" s="462"/>
      <c r="G32" s="462"/>
      <c r="H32" s="461"/>
      <c r="I32" s="462"/>
      <c r="J32" s="462" t="e">
        <f>#REF!*D$6</f>
        <v>#REF!</v>
      </c>
      <c r="K32" s="462" t="e">
        <f>#REF!*E$6</f>
        <v>#REF!</v>
      </c>
      <c r="L32" s="462" t="e">
        <f>#REF!*F$6</f>
        <v>#REF!</v>
      </c>
      <c r="M32" s="462"/>
      <c r="N32" s="462"/>
      <c r="O32" s="462"/>
      <c r="P32" s="462"/>
      <c r="Q32" s="462"/>
      <c r="R32" s="566"/>
      <c r="S32" s="566"/>
      <c r="T32" s="566"/>
      <c r="U32" s="566"/>
      <c r="V32" s="566"/>
      <c r="W32" s="470"/>
      <c r="X32" s="470" t="e">
        <f>#REF!*G$6</f>
        <v>#REF!</v>
      </c>
      <c r="Y32" s="470" t="e">
        <f>#REF!*H$6</f>
        <v>#REF!</v>
      </c>
      <c r="Z32" s="460"/>
      <c r="AA32" s="460"/>
      <c r="AB32" s="460"/>
      <c r="AC32" s="460"/>
      <c r="AD32" s="460"/>
      <c r="AE32" s="460"/>
    </row>
    <row r="33" spans="2:31" s="371" customFormat="1" ht="12" customHeight="1" x14ac:dyDescent="0.2">
      <c r="B33" s="1689"/>
      <c r="C33" s="1690" t="s">
        <v>238</v>
      </c>
      <c r="D33" s="1690"/>
      <c r="E33" s="1690"/>
      <c r="F33" s="1690"/>
      <c r="G33" s="1690"/>
      <c r="H33" s="538"/>
      <c r="I33" s="457"/>
      <c r="J33" s="470">
        <f>D13*D6</f>
        <v>219.77795251726999</v>
      </c>
      <c r="K33" s="470">
        <f>E13*E6</f>
        <v>223.92744596870267</v>
      </c>
      <c r="L33" s="470">
        <f>F13*F6</f>
        <v>224.67325155984392</v>
      </c>
      <c r="M33" s="470"/>
      <c r="N33" s="470"/>
      <c r="O33" s="470"/>
      <c r="P33" s="470"/>
      <c r="Q33" s="470"/>
      <c r="R33" s="568"/>
      <c r="S33" s="568"/>
      <c r="T33" s="568"/>
      <c r="U33" s="568"/>
      <c r="V33" s="568"/>
      <c r="W33" s="470"/>
      <c r="X33" s="470">
        <f>G13*G6</f>
        <v>-17.462711971733057</v>
      </c>
      <c r="Y33" s="470">
        <f>H13*H6</f>
        <v>-24.83950048361946</v>
      </c>
      <c r="Z33" s="460"/>
      <c r="AA33" s="460"/>
      <c r="AB33" s="460"/>
      <c r="AC33" s="460"/>
      <c r="AD33" s="460"/>
      <c r="AE33" s="460"/>
    </row>
    <row r="34" spans="2:31" s="371" customFormat="1" ht="12" customHeight="1" x14ac:dyDescent="0.2">
      <c r="B34" s="1689"/>
      <c r="C34" s="539" t="s">
        <v>239</v>
      </c>
      <c r="D34" s="539" t="s">
        <v>240</v>
      </c>
      <c r="E34" s="539" t="s">
        <v>241</v>
      </c>
      <c r="F34" s="539" t="s">
        <v>242</v>
      </c>
      <c r="G34" s="539" t="s">
        <v>243</v>
      </c>
      <c r="H34" s="540" t="s">
        <v>244</v>
      </c>
      <c r="I34" s="539"/>
      <c r="J34" s="539" t="e">
        <f>J33-J32</f>
        <v>#REF!</v>
      </c>
      <c r="K34" s="539" t="e">
        <f>K33-K32</f>
        <v>#REF!</v>
      </c>
      <c r="L34" s="539" t="e">
        <f>L33-L32</f>
        <v>#REF!</v>
      </c>
      <c r="M34" s="539"/>
      <c r="N34" s="539"/>
      <c r="O34" s="539"/>
      <c r="P34" s="539"/>
      <c r="Q34" s="539"/>
      <c r="R34" s="569"/>
      <c r="S34" s="569"/>
      <c r="T34" s="569"/>
      <c r="U34" s="569"/>
      <c r="V34" s="569"/>
      <c r="W34" s="470"/>
      <c r="X34" s="470" t="e">
        <f>X33-X32</f>
        <v>#REF!</v>
      </c>
      <c r="Y34" s="470" t="e">
        <f>Y33-Y32</f>
        <v>#REF!</v>
      </c>
      <c r="Z34" s="460"/>
      <c r="AA34" s="460"/>
      <c r="AB34" s="460"/>
      <c r="AC34" s="460"/>
      <c r="AD34" s="460"/>
      <c r="AE34" s="460"/>
    </row>
    <row r="35" spans="2:31" s="371" customFormat="1" ht="12" customHeight="1" x14ac:dyDescent="0.2">
      <c r="B35" s="541" t="s">
        <v>245</v>
      </c>
      <c r="C35" s="542">
        <v>478</v>
      </c>
      <c r="D35" s="542">
        <v>1891</v>
      </c>
      <c r="E35" s="542">
        <v>1822</v>
      </c>
      <c r="F35" s="542">
        <v>1809</v>
      </c>
      <c r="G35" s="543">
        <v>1819</v>
      </c>
      <c r="H35" s="544">
        <f>SUM(C35:G35)</f>
        <v>7819</v>
      </c>
      <c r="I35" s="542">
        <f>AVERAGE(C35:G35)</f>
        <v>1563.8</v>
      </c>
      <c r="J35" s="543"/>
      <c r="K35" s="542"/>
      <c r="L35" s="543"/>
      <c r="M35" s="542"/>
      <c r="N35" s="543"/>
      <c r="O35" s="542"/>
      <c r="P35" s="543"/>
      <c r="Q35" s="542"/>
      <c r="R35" s="570"/>
      <c r="S35" s="570"/>
      <c r="T35" s="570"/>
      <c r="U35" s="570"/>
      <c r="V35" s="570"/>
      <c r="W35" s="457"/>
      <c r="X35" s="457"/>
      <c r="Y35" s="460"/>
      <c r="Z35" s="460"/>
      <c r="AA35" s="460"/>
      <c r="AB35" s="460"/>
      <c r="AC35" s="460"/>
      <c r="AD35" s="460"/>
      <c r="AE35" s="460"/>
    </row>
    <row r="36" spans="2:31" s="371" customFormat="1" ht="12" customHeight="1" x14ac:dyDescent="0.2">
      <c r="B36" s="541" t="s">
        <v>246</v>
      </c>
      <c r="C36" s="545">
        <v>448.98575556164405</v>
      </c>
      <c r="D36" s="545">
        <v>1776.1326668222853</v>
      </c>
      <c r="E36" s="545">
        <v>1714.4221516240873</v>
      </c>
      <c r="F36" s="545">
        <v>1710.0656081458787</v>
      </c>
      <c r="G36" s="545">
        <v>1719.9266304268956</v>
      </c>
      <c r="H36" s="544">
        <f>SUM(C36:G36)</f>
        <v>7369.532812580791</v>
      </c>
      <c r="I36" s="545">
        <f>AVERAGE(C36:G36)</f>
        <v>1473.9065625161581</v>
      </c>
      <c r="J36" s="545"/>
      <c r="K36" s="545"/>
      <c r="L36" s="545"/>
      <c r="M36" s="545"/>
      <c r="N36" s="545"/>
      <c r="O36" s="545"/>
      <c r="P36" s="545"/>
      <c r="Q36" s="545"/>
      <c r="R36" s="571"/>
      <c r="S36" s="571"/>
      <c r="T36" s="571"/>
      <c r="U36" s="571"/>
      <c r="V36" s="571"/>
      <c r="W36" s="457"/>
      <c r="X36" s="457"/>
      <c r="Y36" s="460"/>
      <c r="Z36" s="460"/>
      <c r="AA36" s="460"/>
      <c r="AB36" s="460"/>
      <c r="AC36" s="460"/>
      <c r="AD36" s="460"/>
      <c r="AE36" s="460"/>
    </row>
    <row r="37" spans="2:31" s="371" customFormat="1" ht="24" customHeight="1" x14ac:dyDescent="0.2">
      <c r="B37" s="541" t="s">
        <v>271</v>
      </c>
      <c r="C37" s="545">
        <f>'[3]Proceeds Update June 2016'!C22</f>
        <v>505.36672623608308</v>
      </c>
      <c r="D37" s="545">
        <f>'[3]Proceeds Update June 2016'!D22</f>
        <v>1999.2688263508317</v>
      </c>
      <c r="E37" s="545">
        <f>'[3]Proceeds Update June 2016'!E22</f>
        <v>1930.507303932081</v>
      </c>
      <c r="F37" s="545">
        <f>'[3]Proceeds Update June 2016'!F22</f>
        <v>1865.4314897306472</v>
      </c>
      <c r="G37" s="545">
        <f>'[3]Proceeds Update June 2016'!G22</f>
        <v>1692.3149079550935</v>
      </c>
      <c r="H37" s="544">
        <f>SUM(C37:G37)</f>
        <v>7992.8892542047361</v>
      </c>
      <c r="I37" s="545">
        <f>AVERAGE(C37:G37)</f>
        <v>1598.5778508409471</v>
      </c>
      <c r="J37" s="545"/>
      <c r="K37" s="545"/>
      <c r="L37" s="545"/>
      <c r="M37" s="545"/>
      <c r="N37" s="545"/>
      <c r="O37" s="545"/>
      <c r="P37" s="545"/>
      <c r="Q37" s="545"/>
      <c r="R37" s="571"/>
      <c r="S37" s="571"/>
      <c r="T37" s="571"/>
      <c r="U37" s="571"/>
      <c r="V37" s="571"/>
      <c r="W37" s="457"/>
      <c r="X37" s="457"/>
      <c r="Y37" s="460"/>
      <c r="Z37" s="460"/>
      <c r="AA37" s="460"/>
      <c r="AB37" s="460"/>
      <c r="AC37" s="460"/>
      <c r="AD37" s="460"/>
      <c r="AE37" s="460"/>
    </row>
    <row r="38" spans="2:31" s="371" customFormat="1" ht="24" customHeight="1" x14ac:dyDescent="0.2">
      <c r="B38" s="541" t="s">
        <v>272</v>
      </c>
      <c r="C38" s="545">
        <f>C22</f>
        <v>446.62812450680178</v>
      </c>
      <c r="D38" s="545">
        <f>D22</f>
        <v>1775.7745626841315</v>
      </c>
      <c r="E38" s="545">
        <f>E22</f>
        <v>1735.6188249700674</v>
      </c>
      <c r="F38" s="545">
        <f>F22</f>
        <v>1706.7956107413966</v>
      </c>
      <c r="G38" s="545">
        <f>G22</f>
        <v>1715.7178940711831</v>
      </c>
      <c r="H38" s="544">
        <f>SUM(C38:G38)</f>
        <v>7380.5350169735802</v>
      </c>
      <c r="I38" s="545"/>
      <c r="J38" s="545"/>
      <c r="K38" s="545"/>
      <c r="L38" s="545"/>
      <c r="M38" s="545"/>
      <c r="N38" s="545"/>
      <c r="O38" s="545"/>
      <c r="P38" s="545"/>
      <c r="Q38" s="545"/>
      <c r="R38" s="571"/>
      <c r="S38" s="571"/>
      <c r="T38" s="571"/>
      <c r="U38" s="571"/>
      <c r="V38" s="571"/>
      <c r="W38" s="457"/>
      <c r="X38" s="457"/>
      <c r="Y38" s="460"/>
      <c r="Z38" s="460"/>
      <c r="AA38" s="460"/>
      <c r="AB38" s="460"/>
      <c r="AC38" s="460"/>
      <c r="AD38" s="460"/>
      <c r="AE38" s="460"/>
    </row>
    <row r="39" spans="2:31" s="371" customFormat="1" ht="12" customHeight="1" x14ac:dyDescent="0.2">
      <c r="B39" s="541" t="s">
        <v>273</v>
      </c>
      <c r="C39" s="546">
        <f t="shared" ref="C39:H39" si="17">(C38-C37)/C37</f>
        <v>-0.11622965794910969</v>
      </c>
      <c r="D39" s="546">
        <f t="shared" si="17"/>
        <v>-0.11178800005331617</v>
      </c>
      <c r="E39" s="546">
        <f t="shared" si="17"/>
        <v>-0.10095195110894546</v>
      </c>
      <c r="F39" s="546">
        <f t="shared" si="17"/>
        <v>-8.5039777586340792E-2</v>
      </c>
      <c r="G39" s="546">
        <f t="shared" si="17"/>
        <v>1.382897828653446E-2</v>
      </c>
      <c r="H39" s="547">
        <f t="shared" si="17"/>
        <v>-7.6612376045248093E-2</v>
      </c>
      <c r="I39" s="546"/>
      <c r="J39" s="546">
        <f>I35-I36</f>
        <v>89.893437483841808</v>
      </c>
      <c r="K39" s="546"/>
      <c r="L39" s="546"/>
      <c r="M39" s="546"/>
      <c r="N39" s="546"/>
      <c r="O39" s="546"/>
      <c r="P39" s="546"/>
      <c r="Q39" s="546"/>
      <c r="R39" s="572"/>
      <c r="S39" s="572"/>
      <c r="T39" s="572"/>
      <c r="U39" s="572"/>
      <c r="V39" s="572"/>
      <c r="W39" s="457"/>
      <c r="X39" s="457"/>
      <c r="Y39" s="460"/>
      <c r="Z39" s="460"/>
      <c r="AA39" s="460"/>
      <c r="AB39" s="460"/>
      <c r="AC39" s="460"/>
      <c r="AD39" s="460"/>
      <c r="AE39" s="460"/>
    </row>
    <row r="40" spans="2:31" s="371" customFormat="1" ht="12" customHeight="1" x14ac:dyDescent="0.2">
      <c r="B40" s="472"/>
      <c r="C40" s="473"/>
      <c r="D40" s="473"/>
      <c r="E40" s="473"/>
      <c r="F40" s="473"/>
      <c r="G40" s="473"/>
      <c r="H40" s="473"/>
      <c r="I40" s="473"/>
      <c r="J40" s="473">
        <f>I35-I37</f>
        <v>-34.777850840947167</v>
      </c>
      <c r="K40" s="473"/>
      <c r="L40" s="473"/>
      <c r="M40" s="473"/>
      <c r="N40" s="473"/>
      <c r="O40" s="473"/>
      <c r="P40" s="473"/>
      <c r="Q40" s="473"/>
      <c r="R40" s="573"/>
      <c r="S40" s="573"/>
      <c r="T40" s="573"/>
      <c r="U40" s="573"/>
      <c r="V40" s="573"/>
      <c r="W40" s="474"/>
      <c r="X40" s="474"/>
      <c r="Y40" s="474"/>
      <c r="Z40" s="460"/>
      <c r="AA40" s="460"/>
      <c r="AB40" s="460"/>
      <c r="AC40" s="460"/>
      <c r="AD40" s="460"/>
      <c r="AE40" s="460"/>
    </row>
    <row r="41" spans="2:31" s="371" customFormat="1" ht="12" customHeight="1" x14ac:dyDescent="0.2">
      <c r="B41" s="1689"/>
      <c r="C41" s="1690" t="s">
        <v>249</v>
      </c>
      <c r="D41" s="1690"/>
      <c r="E41" s="1690"/>
      <c r="F41" s="1690"/>
      <c r="G41" s="1690"/>
      <c r="H41" s="538"/>
      <c r="I41" s="381"/>
      <c r="J41" s="381"/>
      <c r="K41" s="381"/>
      <c r="L41" s="381"/>
      <c r="M41" s="381"/>
      <c r="N41" s="381"/>
      <c r="O41" s="381"/>
      <c r="P41" s="381"/>
      <c r="Q41" s="381"/>
      <c r="R41" s="574"/>
      <c r="S41" s="574"/>
      <c r="T41" s="574"/>
      <c r="U41" s="574"/>
      <c r="V41" s="574"/>
      <c r="W41" s="381"/>
      <c r="X41" s="381"/>
    </row>
    <row r="42" spans="2:31" s="371" customFormat="1" ht="12" customHeight="1" x14ac:dyDescent="0.2">
      <c r="B42" s="1689"/>
      <c r="C42" s="539" t="s">
        <v>239</v>
      </c>
      <c r="D42" s="539" t="s">
        <v>240</v>
      </c>
      <c r="E42" s="539" t="s">
        <v>241</v>
      </c>
      <c r="F42" s="539" t="s">
        <v>242</v>
      </c>
      <c r="G42" s="539" t="s">
        <v>243</v>
      </c>
      <c r="H42" s="540" t="s">
        <v>244</v>
      </c>
      <c r="I42" s="539"/>
      <c r="J42" s="539"/>
      <c r="K42" s="539"/>
      <c r="L42" s="539"/>
      <c r="M42" s="539"/>
      <c r="N42" s="539"/>
      <c r="O42" s="539"/>
      <c r="P42" s="539"/>
      <c r="Q42" s="539"/>
      <c r="R42" s="569"/>
      <c r="S42" s="569"/>
      <c r="T42" s="569"/>
      <c r="U42" s="569"/>
      <c r="V42" s="569"/>
      <c r="W42" s="381"/>
      <c r="X42" s="381"/>
    </row>
    <row r="43" spans="2:31" s="371" customFormat="1" ht="12" customHeight="1" x14ac:dyDescent="0.2">
      <c r="B43" s="541" t="s">
        <v>245</v>
      </c>
      <c r="C43" s="548">
        <f>C193</f>
        <v>133.42438005426965</v>
      </c>
      <c r="D43" s="548">
        <f>D193</f>
        <v>530.23509736987535</v>
      </c>
      <c r="E43" s="548">
        <f>E193</f>
        <v>521.34074184564395</v>
      </c>
      <c r="F43" s="548">
        <f>F193</f>
        <v>529.20369637712315</v>
      </c>
      <c r="G43" s="548">
        <f>G193</f>
        <v>543.59537700241958</v>
      </c>
      <c r="H43" s="544">
        <f>SUM(C43:G43)</f>
        <v>2257.7992926493316</v>
      </c>
      <c r="I43" s="548"/>
      <c r="J43" s="548"/>
      <c r="K43" s="548"/>
      <c r="L43" s="548"/>
      <c r="M43" s="548"/>
      <c r="N43" s="548"/>
      <c r="O43" s="548"/>
      <c r="P43" s="548"/>
      <c r="Q43" s="548"/>
      <c r="R43" s="575"/>
      <c r="S43" s="575"/>
      <c r="T43" s="575"/>
      <c r="U43" s="575"/>
      <c r="V43" s="575"/>
      <c r="W43" s="381"/>
      <c r="X43" s="381"/>
    </row>
    <row r="44" spans="2:31" s="371" customFormat="1" ht="12" customHeight="1" x14ac:dyDescent="0.2">
      <c r="B44" s="541" t="s">
        <v>246</v>
      </c>
      <c r="C44" s="545">
        <v>162.5245673143996</v>
      </c>
      <c r="D44" s="545">
        <v>645.06545667124203</v>
      </c>
      <c r="E44" s="545">
        <v>629.40061472938078</v>
      </c>
      <c r="F44" s="545">
        <v>629.85200994841773</v>
      </c>
      <c r="G44" s="545">
        <v>639.00997001532505</v>
      </c>
      <c r="H44" s="544">
        <f>SUM(C44:G44)</f>
        <v>2705.8526186787653</v>
      </c>
      <c r="I44" s="545"/>
      <c r="J44" s="545"/>
      <c r="K44" s="545"/>
      <c r="L44" s="545"/>
      <c r="M44" s="545"/>
      <c r="N44" s="545"/>
      <c r="O44" s="545"/>
      <c r="P44" s="545"/>
      <c r="Q44" s="545"/>
      <c r="R44" s="571"/>
      <c r="S44" s="571"/>
      <c r="T44" s="571"/>
      <c r="U44" s="571"/>
      <c r="V44" s="571"/>
      <c r="W44" s="381"/>
      <c r="X44" s="381"/>
    </row>
    <row r="45" spans="2:31" s="371" customFormat="1" ht="24" customHeight="1" x14ac:dyDescent="0.2">
      <c r="B45" s="541" t="s">
        <v>271</v>
      </c>
      <c r="C45" s="545">
        <f>'[3]Proceeds Update June 2016'!C29</f>
        <v>162.5245673143996</v>
      </c>
      <c r="D45" s="545">
        <f>'[3]Proceeds Update June 2016'!D29</f>
        <v>645.06545667124203</v>
      </c>
      <c r="E45" s="545">
        <f>'[3]Proceeds Update June 2016'!E29</f>
        <v>629.40061472938078</v>
      </c>
      <c r="F45" s="545">
        <f>'[3]Proceeds Update June 2016'!F29</f>
        <v>629.85200994841773</v>
      </c>
      <c r="G45" s="545">
        <f>'[3]Proceeds Update June 2016'!G29</f>
        <v>639.00997001532505</v>
      </c>
      <c r="H45" s="544">
        <f>SUM(C45:G45)</f>
        <v>2705.8526186787653</v>
      </c>
      <c r="I45" s="545"/>
      <c r="J45" s="545"/>
      <c r="K45" s="545"/>
      <c r="L45" s="545"/>
      <c r="M45" s="545"/>
      <c r="N45" s="545"/>
      <c r="O45" s="545"/>
      <c r="P45" s="545"/>
      <c r="Q45" s="545"/>
      <c r="R45" s="571"/>
      <c r="S45" s="571"/>
      <c r="T45" s="571"/>
      <c r="U45" s="571"/>
      <c r="V45" s="571"/>
      <c r="W45" s="381"/>
      <c r="X45" s="381"/>
    </row>
    <row r="46" spans="2:31" s="371" customFormat="1" ht="24" customHeight="1" x14ac:dyDescent="0.2">
      <c r="B46" s="541" t="s">
        <v>272</v>
      </c>
      <c r="C46" s="545">
        <f>C29</f>
        <v>149.3020497044495</v>
      </c>
      <c r="D46" s="545">
        <f>D29</f>
        <v>598.17442882464923</v>
      </c>
      <c r="E46" s="545">
        <f>E29</f>
        <v>604.629688989952</v>
      </c>
      <c r="F46" s="545">
        <f>F29</f>
        <v>614.64497952487397</v>
      </c>
      <c r="G46" s="545">
        <f>G29</f>
        <v>613.46261655798287</v>
      </c>
      <c r="H46" s="544">
        <f>SUM(C46:G46)</f>
        <v>2580.2137636019079</v>
      </c>
      <c r="I46" s="545"/>
      <c r="J46" s="545"/>
      <c r="K46" s="545"/>
      <c r="L46" s="545"/>
      <c r="M46" s="545"/>
      <c r="N46" s="545"/>
      <c r="O46" s="545"/>
      <c r="P46" s="545"/>
      <c r="Q46" s="545"/>
      <c r="R46" s="571"/>
      <c r="S46" s="571"/>
      <c r="T46" s="571"/>
      <c r="U46" s="571"/>
      <c r="V46" s="571"/>
      <c r="W46" s="381"/>
      <c r="X46" s="381"/>
    </row>
    <row r="47" spans="2:31" s="371" customFormat="1" ht="12" customHeight="1" x14ac:dyDescent="0.2">
      <c r="B47" s="541" t="s">
        <v>273</v>
      </c>
      <c r="C47" s="546">
        <f t="shared" ref="C47:H47" si="18">(C46-C45)/C45</f>
        <v>-8.135703929838177E-2</v>
      </c>
      <c r="D47" s="546">
        <f t="shared" si="18"/>
        <v>-7.2691890972687509E-2</v>
      </c>
      <c r="E47" s="546">
        <f t="shared" si="18"/>
        <v>-3.9356373603288211E-2</v>
      </c>
      <c r="F47" s="546">
        <f t="shared" si="18"/>
        <v>-2.4143815028532096E-2</v>
      </c>
      <c r="G47" s="546">
        <f t="shared" si="18"/>
        <v>-3.9979585070839339E-2</v>
      </c>
      <c r="H47" s="547">
        <f t="shared" si="18"/>
        <v>-4.6432261021742333E-2</v>
      </c>
      <c r="I47" s="546"/>
      <c r="J47" s="546"/>
      <c r="K47" s="546"/>
      <c r="L47" s="546"/>
      <c r="M47" s="546"/>
      <c r="N47" s="546"/>
      <c r="O47" s="546"/>
      <c r="P47" s="546"/>
      <c r="Q47" s="546"/>
      <c r="R47" s="572"/>
      <c r="S47" s="572"/>
      <c r="T47" s="572"/>
      <c r="U47" s="572"/>
      <c r="V47" s="572"/>
      <c r="W47" s="381"/>
      <c r="X47" s="381"/>
    </row>
    <row r="48" spans="2:31" s="371" customFormat="1" ht="12" customHeight="1" x14ac:dyDescent="0.2">
      <c r="B48" s="477"/>
      <c r="C48" s="478"/>
      <c r="D48" s="478"/>
      <c r="E48" s="478"/>
      <c r="F48" s="478"/>
      <c r="G48" s="478"/>
      <c r="H48" s="477"/>
      <c r="I48" s="478"/>
      <c r="J48" s="478"/>
      <c r="K48" s="478"/>
      <c r="L48" s="478"/>
      <c r="M48" s="478"/>
      <c r="N48" s="478"/>
      <c r="O48" s="478"/>
      <c r="P48" s="478"/>
      <c r="Q48" s="478"/>
      <c r="R48" s="576"/>
      <c r="S48" s="576"/>
      <c r="T48" s="576"/>
      <c r="U48" s="576"/>
      <c r="V48" s="576"/>
      <c r="W48" s="381"/>
      <c r="X48" s="381"/>
    </row>
    <row r="49" spans="2:24" s="371" customFormat="1" ht="12.75" customHeight="1" thickBot="1" x14ac:dyDescent="0.25">
      <c r="B49" s="479" t="s">
        <v>250</v>
      </c>
      <c r="C49" s="478"/>
      <c r="D49" s="478"/>
      <c r="E49" s="478"/>
      <c r="F49" s="478"/>
      <c r="G49" s="478"/>
      <c r="H49" s="477"/>
      <c r="I49" s="478"/>
      <c r="J49" s="478"/>
      <c r="K49" s="478"/>
      <c r="L49" s="478"/>
      <c r="M49" s="478"/>
      <c r="N49" s="478"/>
      <c r="O49" s="478"/>
      <c r="P49" s="478"/>
      <c r="Q49" s="478"/>
      <c r="R49" s="576"/>
      <c r="S49" s="576"/>
      <c r="T49" s="576"/>
      <c r="U49" s="576"/>
      <c r="V49" s="576"/>
      <c r="W49" s="381"/>
      <c r="X49" s="381"/>
    </row>
    <row r="50" spans="2:24" s="371" customFormat="1" ht="12.75" customHeight="1" thickBot="1" x14ac:dyDescent="0.25">
      <c r="B50" s="1691"/>
      <c r="C50" s="1693" t="s">
        <v>238</v>
      </c>
      <c r="D50" s="1694"/>
      <c r="E50" s="1694"/>
      <c r="F50" s="1694"/>
      <c r="G50" s="1695"/>
      <c r="H50" s="480"/>
      <c r="I50" s="381"/>
      <c r="J50" s="381"/>
      <c r="K50" s="381"/>
      <c r="L50" s="381"/>
      <c r="M50" s="381"/>
      <c r="N50" s="381"/>
      <c r="O50" s="381"/>
      <c r="P50" s="381"/>
      <c r="Q50" s="381"/>
      <c r="R50" s="574"/>
      <c r="S50" s="574"/>
      <c r="T50" s="574"/>
      <c r="U50" s="574"/>
      <c r="V50" s="574"/>
      <c r="W50" s="381"/>
      <c r="X50" s="381"/>
    </row>
    <row r="51" spans="2:24" s="371" customFormat="1" ht="12.75" customHeight="1" thickBot="1" x14ac:dyDescent="0.25">
      <c r="B51" s="1692"/>
      <c r="C51" s="536" t="s">
        <v>239</v>
      </c>
      <c r="D51" s="536" t="s">
        <v>240</v>
      </c>
      <c r="E51" s="536" t="s">
        <v>241</v>
      </c>
      <c r="F51" s="536" t="s">
        <v>242</v>
      </c>
      <c r="G51" s="481" t="s">
        <v>243</v>
      </c>
      <c r="H51" s="482" t="s">
        <v>244</v>
      </c>
      <c r="I51" s="536"/>
      <c r="J51" s="481"/>
      <c r="K51" s="536"/>
      <c r="L51" s="481"/>
      <c r="M51" s="536"/>
      <c r="N51" s="481"/>
      <c r="O51" s="536"/>
      <c r="P51" s="481"/>
      <c r="Q51" s="536"/>
      <c r="R51" s="577"/>
      <c r="S51" s="577"/>
      <c r="T51" s="577"/>
      <c r="U51" s="577"/>
      <c r="V51" s="577"/>
      <c r="W51" s="381"/>
      <c r="X51" s="381"/>
    </row>
    <row r="52" spans="2:24" s="371" customFormat="1" ht="12" customHeight="1" x14ac:dyDescent="0.2">
      <c r="B52" s="483" t="s">
        <v>247</v>
      </c>
      <c r="C52" s="484">
        <v>505.36672623608308</v>
      </c>
      <c r="D52" s="484">
        <v>1999.2688263508317</v>
      </c>
      <c r="E52" s="484">
        <v>1930.507303932081</v>
      </c>
      <c r="F52" s="484">
        <v>1865.4314897306472</v>
      </c>
      <c r="G52" s="484">
        <v>1692.3149079550938</v>
      </c>
      <c r="H52" s="484">
        <v>7992.889254204737</v>
      </c>
      <c r="I52" s="484"/>
      <c r="J52" s="484"/>
      <c r="K52" s="484"/>
      <c r="L52" s="484"/>
      <c r="M52" s="484"/>
      <c r="N52" s="484"/>
      <c r="O52" s="484"/>
      <c r="P52" s="484"/>
      <c r="Q52" s="484"/>
      <c r="R52" s="578"/>
      <c r="S52" s="578"/>
      <c r="T52" s="578"/>
      <c r="U52" s="578"/>
      <c r="V52" s="578"/>
      <c r="W52" s="381"/>
      <c r="X52" s="381"/>
    </row>
    <row r="53" spans="2:24" s="371" customFormat="1" ht="12" customHeight="1" x14ac:dyDescent="0.2">
      <c r="B53" s="485" t="s">
        <v>202</v>
      </c>
      <c r="C53" s="486">
        <v>480.09838992427888</v>
      </c>
      <c r="D53" s="486">
        <v>1899.3053850332901</v>
      </c>
      <c r="E53" s="486">
        <v>1833.9819387354769</v>
      </c>
      <c r="F53" s="486">
        <v>1772.1599152441145</v>
      </c>
      <c r="G53" s="487">
        <v>1607.6991625573389</v>
      </c>
      <c r="H53" s="487">
        <v>7593.2447914944987</v>
      </c>
      <c r="I53" s="486"/>
      <c r="J53" s="487"/>
      <c r="K53" s="486"/>
      <c r="L53" s="487"/>
      <c r="M53" s="486"/>
      <c r="N53" s="487"/>
      <c r="O53" s="486"/>
      <c r="P53" s="487"/>
      <c r="Q53" s="486"/>
      <c r="R53" s="579"/>
      <c r="S53" s="579"/>
      <c r="T53" s="579"/>
      <c r="U53" s="579"/>
      <c r="V53" s="579"/>
      <c r="W53" s="381"/>
      <c r="X53" s="381"/>
    </row>
    <row r="54" spans="2:24" s="371" customFormat="1" ht="12.75" customHeight="1" thickBot="1" x14ac:dyDescent="0.25">
      <c r="B54" s="488" t="s">
        <v>247</v>
      </c>
      <c r="C54" s="489">
        <f>C39</f>
        <v>-0.11622965794910969</v>
      </c>
      <c r="D54" s="489">
        <f>D39</f>
        <v>-0.11178800005331617</v>
      </c>
      <c r="E54" s="489">
        <f>E39</f>
        <v>-0.10095195110894546</v>
      </c>
      <c r="F54" s="489">
        <f>F39</f>
        <v>-8.5039777586340792E-2</v>
      </c>
      <c r="G54" s="490">
        <f>G39</f>
        <v>1.382897828653446E-2</v>
      </c>
      <c r="H54" s="490">
        <f>SUM(C54:G54)</f>
        <v>-0.40018040841117763</v>
      </c>
      <c r="I54" s="489"/>
      <c r="J54" s="490"/>
      <c r="K54" s="489"/>
      <c r="L54" s="490"/>
      <c r="M54" s="489"/>
      <c r="N54" s="490"/>
      <c r="O54" s="489"/>
      <c r="P54" s="490"/>
      <c r="Q54" s="489"/>
      <c r="R54" s="580"/>
      <c r="S54" s="580"/>
      <c r="T54" s="580"/>
      <c r="U54" s="580"/>
      <c r="V54" s="580"/>
      <c r="W54" s="381"/>
      <c r="X54" s="381"/>
    </row>
    <row r="55" spans="2:24" s="371" customFormat="1" ht="12.75" customHeight="1" thickBot="1" x14ac:dyDescent="0.25">
      <c r="B55" s="491" t="s">
        <v>248</v>
      </c>
      <c r="C55" s="492">
        <f t="shared" ref="C55:H55" si="19">(C53-C52)/C52</f>
        <v>-5.00000000000001E-2</v>
      </c>
      <c r="D55" s="492">
        <f t="shared" si="19"/>
        <v>-4.9999999999999975E-2</v>
      </c>
      <c r="E55" s="492">
        <f t="shared" si="19"/>
        <v>-5.000000000000001E-2</v>
      </c>
      <c r="F55" s="492">
        <f t="shared" si="19"/>
        <v>-5.0000000000000183E-2</v>
      </c>
      <c r="G55" s="492">
        <f t="shared" si="19"/>
        <v>-5.0000000000000086E-2</v>
      </c>
      <c r="H55" s="492">
        <f t="shared" si="19"/>
        <v>-5.0000000000000176E-2</v>
      </c>
      <c r="I55" s="492"/>
      <c r="J55" s="492"/>
      <c r="K55" s="492"/>
      <c r="L55" s="492"/>
      <c r="M55" s="492"/>
      <c r="N55" s="492"/>
      <c r="O55" s="492"/>
      <c r="P55" s="492"/>
      <c r="Q55" s="492"/>
      <c r="R55" s="581"/>
      <c r="S55" s="581"/>
      <c r="T55" s="581"/>
      <c r="U55" s="581"/>
      <c r="V55" s="581"/>
      <c r="W55" s="381"/>
      <c r="X55" s="381"/>
    </row>
    <row r="56" spans="2:24" s="371" customFormat="1" x14ac:dyDescent="0.2">
      <c r="B56" s="477"/>
      <c r="C56" s="478"/>
      <c r="D56" s="478"/>
      <c r="E56" s="478"/>
      <c r="F56" s="478"/>
      <c r="G56" s="478"/>
      <c r="H56" s="477"/>
      <c r="I56" s="478"/>
      <c r="J56" s="478"/>
      <c r="K56" s="478"/>
      <c r="L56" s="478"/>
      <c r="M56" s="478"/>
      <c r="N56" s="478"/>
      <c r="O56" s="478"/>
      <c r="P56" s="478"/>
      <c r="Q56" s="478"/>
      <c r="R56" s="576"/>
      <c r="S56" s="576"/>
      <c r="T56" s="576"/>
      <c r="U56" s="576"/>
      <c r="V56" s="576"/>
      <c r="W56" s="381"/>
      <c r="X56" s="381"/>
    </row>
    <row r="57" spans="2:24" s="371" customFormat="1" x14ac:dyDescent="0.2">
      <c r="B57" s="477"/>
      <c r="C57" s="478"/>
      <c r="D57" s="478"/>
      <c r="E57" s="478"/>
      <c r="F57" s="478"/>
      <c r="G57" s="478"/>
      <c r="H57" s="477"/>
      <c r="I57" s="478"/>
      <c r="J57" s="478"/>
      <c r="K57" s="478"/>
      <c r="L57" s="478"/>
      <c r="M57" s="478"/>
      <c r="N57" s="478"/>
      <c r="O57" s="478"/>
      <c r="P57" s="478"/>
      <c r="Q57" s="478"/>
      <c r="R57" s="576"/>
      <c r="S57" s="576"/>
      <c r="T57" s="576"/>
      <c r="U57" s="576"/>
      <c r="V57" s="576"/>
      <c r="W57" s="381"/>
      <c r="X57" s="381"/>
    </row>
    <row r="58" spans="2:24" s="371" customFormat="1" x14ac:dyDescent="0.2">
      <c r="B58" s="477"/>
      <c r="C58" s="478"/>
      <c r="D58" s="478"/>
      <c r="E58" s="478"/>
      <c r="F58" s="478"/>
      <c r="G58" s="478"/>
      <c r="H58" s="477"/>
      <c r="I58" s="478"/>
      <c r="J58" s="478"/>
      <c r="K58" s="478"/>
      <c r="L58" s="478"/>
      <c r="M58" s="478"/>
      <c r="N58" s="478"/>
      <c r="O58" s="478"/>
      <c r="P58" s="478"/>
      <c r="Q58" s="478"/>
      <c r="R58" s="576"/>
      <c r="S58" s="576"/>
      <c r="T58" s="576"/>
      <c r="U58" s="576"/>
      <c r="V58" s="576"/>
      <c r="W58" s="381"/>
      <c r="X58" s="381"/>
    </row>
    <row r="59" spans="2:24" s="371" customFormat="1" x14ac:dyDescent="0.2">
      <c r="B59" s="477"/>
      <c r="C59" s="478"/>
      <c r="D59" s="478"/>
      <c r="E59" s="478"/>
      <c r="F59" s="478"/>
      <c r="G59" s="478"/>
      <c r="H59" s="477"/>
      <c r="I59" s="478"/>
      <c r="J59" s="478"/>
      <c r="K59" s="478"/>
      <c r="L59" s="478"/>
      <c r="M59" s="478"/>
      <c r="N59" s="478"/>
      <c r="O59" s="478"/>
      <c r="P59" s="478"/>
      <c r="Q59" s="478"/>
      <c r="R59" s="576"/>
      <c r="S59" s="576"/>
      <c r="T59" s="576"/>
      <c r="U59" s="576"/>
      <c r="V59" s="576"/>
      <c r="W59" s="381"/>
      <c r="X59" s="381"/>
    </row>
    <row r="60" spans="2:24" s="371" customFormat="1" x14ac:dyDescent="0.2">
      <c r="B60" s="477"/>
      <c r="C60" s="478"/>
      <c r="D60" s="478"/>
      <c r="E60" s="478"/>
      <c r="F60" s="478"/>
      <c r="G60" s="478"/>
      <c r="H60" s="477"/>
      <c r="I60" s="478"/>
      <c r="J60" s="478"/>
      <c r="K60" s="478"/>
      <c r="L60" s="478"/>
      <c r="M60" s="478"/>
      <c r="N60" s="478"/>
      <c r="O60" s="478"/>
      <c r="P60" s="478"/>
      <c r="Q60" s="478"/>
      <c r="R60" s="576"/>
      <c r="S60" s="576"/>
      <c r="T60" s="576"/>
      <c r="U60" s="576"/>
      <c r="V60" s="576"/>
      <c r="W60" s="381"/>
      <c r="X60" s="381"/>
    </row>
    <row r="61" spans="2:24" s="371" customFormat="1" x14ac:dyDescent="0.2">
      <c r="B61" s="477"/>
      <c r="C61" s="478"/>
      <c r="D61" s="478"/>
      <c r="E61" s="478"/>
      <c r="F61" s="478"/>
      <c r="G61" s="478"/>
      <c r="H61" s="477"/>
      <c r="I61" s="478"/>
      <c r="J61" s="478"/>
      <c r="K61" s="478"/>
      <c r="L61" s="478"/>
      <c r="M61" s="478"/>
      <c r="N61" s="478"/>
      <c r="O61" s="478"/>
      <c r="P61" s="478"/>
      <c r="Q61" s="478"/>
      <c r="R61" s="576"/>
      <c r="S61" s="576"/>
      <c r="T61" s="576"/>
      <c r="U61" s="576"/>
      <c r="V61" s="576"/>
      <c r="W61" s="381"/>
      <c r="X61" s="381"/>
    </row>
    <row r="62" spans="2:24" s="371" customFormat="1" x14ac:dyDescent="0.2">
      <c r="B62" s="477"/>
      <c r="C62" s="478"/>
      <c r="D62" s="478"/>
      <c r="E62" s="478"/>
      <c r="F62" s="478"/>
      <c r="G62" s="478"/>
      <c r="H62" s="477"/>
      <c r="I62" s="478"/>
      <c r="J62" s="478"/>
      <c r="K62" s="478"/>
      <c r="L62" s="478"/>
      <c r="M62" s="478"/>
      <c r="N62" s="478"/>
      <c r="O62" s="478"/>
      <c r="P62" s="478"/>
      <c r="Q62" s="478"/>
      <c r="R62" s="576"/>
      <c r="S62" s="576"/>
      <c r="T62" s="576"/>
      <c r="U62" s="576"/>
      <c r="V62" s="576"/>
      <c r="W62" s="381"/>
      <c r="X62" s="381"/>
    </row>
    <row r="63" spans="2:24" s="371" customFormat="1" x14ac:dyDescent="0.2">
      <c r="B63" s="477"/>
      <c r="C63" s="478"/>
      <c r="D63" s="478"/>
      <c r="E63" s="478"/>
      <c r="F63" s="478"/>
      <c r="G63" s="478"/>
      <c r="H63" s="477"/>
      <c r="I63" s="478"/>
      <c r="J63" s="478"/>
      <c r="K63" s="478"/>
      <c r="L63" s="478"/>
      <c r="M63" s="478"/>
      <c r="N63" s="478"/>
      <c r="O63" s="478"/>
      <c r="P63" s="478"/>
      <c r="Q63" s="478"/>
      <c r="R63" s="576"/>
      <c r="S63" s="576"/>
      <c r="T63" s="576"/>
      <c r="U63" s="576"/>
      <c r="V63" s="576"/>
      <c r="W63" s="381"/>
      <c r="X63" s="381"/>
    </row>
    <row r="64" spans="2:24" s="371" customFormat="1" x14ac:dyDescent="0.2">
      <c r="B64" s="477"/>
      <c r="C64" s="478"/>
      <c r="D64" s="478"/>
      <c r="E64" s="478"/>
      <c r="F64" s="478"/>
      <c r="G64" s="478"/>
      <c r="H64" s="477"/>
      <c r="I64" s="478"/>
      <c r="J64" s="478"/>
      <c r="K64" s="478"/>
      <c r="L64" s="478"/>
      <c r="M64" s="478"/>
      <c r="N64" s="478"/>
      <c r="O64" s="478"/>
      <c r="P64" s="478"/>
      <c r="Q64" s="478"/>
      <c r="R64" s="576"/>
      <c r="S64" s="576"/>
      <c r="T64" s="576"/>
      <c r="U64" s="576"/>
      <c r="V64" s="576"/>
      <c r="W64" s="381"/>
      <c r="X64" s="381"/>
    </row>
    <row r="65" spans="2:24" s="371" customFormat="1" x14ac:dyDescent="0.2">
      <c r="B65" s="477"/>
      <c r="C65" s="478"/>
      <c r="D65" s="478"/>
      <c r="E65" s="478"/>
      <c r="F65" s="478"/>
      <c r="G65" s="478"/>
      <c r="H65" s="477"/>
      <c r="I65" s="478"/>
      <c r="J65" s="478"/>
      <c r="K65" s="478"/>
      <c r="L65" s="478"/>
      <c r="M65" s="478"/>
      <c r="N65" s="478"/>
      <c r="O65" s="478"/>
      <c r="P65" s="478"/>
      <c r="Q65" s="478"/>
      <c r="R65" s="576"/>
      <c r="S65" s="576"/>
      <c r="T65" s="576"/>
      <c r="U65" s="576"/>
      <c r="V65" s="576"/>
      <c r="W65" s="381"/>
      <c r="X65" s="381"/>
    </row>
    <row r="66" spans="2:24" s="371" customFormat="1" x14ac:dyDescent="0.2">
      <c r="B66" s="477"/>
      <c r="C66" s="478"/>
      <c r="D66" s="478"/>
      <c r="E66" s="478"/>
      <c r="F66" s="478"/>
      <c r="G66" s="478"/>
      <c r="H66" s="477"/>
      <c r="I66" s="478"/>
      <c r="J66" s="478"/>
      <c r="K66" s="478"/>
      <c r="L66" s="478"/>
      <c r="M66" s="478"/>
      <c r="N66" s="478"/>
      <c r="O66" s="478"/>
      <c r="P66" s="478"/>
      <c r="Q66" s="478"/>
      <c r="R66" s="576"/>
      <c r="S66" s="576"/>
      <c r="T66" s="576"/>
      <c r="U66" s="576"/>
      <c r="V66" s="576"/>
      <c r="W66" s="381"/>
      <c r="X66" s="381"/>
    </row>
    <row r="67" spans="2:24" s="371" customFormat="1" x14ac:dyDescent="0.2">
      <c r="B67" s="477"/>
      <c r="C67" s="478"/>
      <c r="D67" s="478"/>
      <c r="E67" s="478"/>
      <c r="F67" s="478"/>
      <c r="G67" s="478"/>
      <c r="H67" s="477"/>
      <c r="I67" s="478"/>
      <c r="J67" s="478"/>
      <c r="K67" s="478"/>
      <c r="L67" s="478"/>
      <c r="M67" s="478"/>
      <c r="N67" s="478"/>
      <c r="O67" s="478"/>
      <c r="P67" s="478"/>
      <c r="Q67" s="478"/>
      <c r="R67" s="576"/>
      <c r="S67" s="576"/>
      <c r="T67" s="576"/>
      <c r="U67" s="576"/>
      <c r="V67" s="576"/>
      <c r="W67" s="381"/>
      <c r="X67" s="381"/>
    </row>
    <row r="68" spans="2:24" s="371" customFormat="1" x14ac:dyDescent="0.2">
      <c r="B68" s="477"/>
      <c r="C68" s="478"/>
      <c r="D68" s="478"/>
      <c r="E68" s="478"/>
      <c r="F68" s="478"/>
      <c r="G68" s="478"/>
      <c r="H68" s="477"/>
      <c r="I68" s="478"/>
      <c r="J68" s="478"/>
      <c r="K68" s="478"/>
      <c r="L68" s="478"/>
      <c r="M68" s="478"/>
      <c r="N68" s="478"/>
      <c r="O68" s="478"/>
      <c r="P68" s="478"/>
      <c r="Q68" s="478"/>
      <c r="R68" s="576"/>
      <c r="S68" s="576"/>
      <c r="T68" s="576"/>
      <c r="U68" s="576"/>
      <c r="V68" s="576"/>
      <c r="W68" s="381"/>
      <c r="X68" s="381"/>
    </row>
    <row r="69" spans="2:24" s="371" customFormat="1" x14ac:dyDescent="0.2">
      <c r="B69" s="477"/>
      <c r="C69" s="478"/>
      <c r="D69" s="478"/>
      <c r="E69" s="478"/>
      <c r="F69" s="478"/>
      <c r="G69" s="478"/>
      <c r="H69" s="477"/>
      <c r="I69" s="478"/>
      <c r="J69" s="478"/>
      <c r="K69" s="478"/>
      <c r="L69" s="478"/>
      <c r="M69" s="478"/>
      <c r="N69" s="478"/>
      <c r="O69" s="478"/>
      <c r="P69" s="478"/>
      <c r="Q69" s="478"/>
      <c r="R69" s="576"/>
      <c r="S69" s="576"/>
      <c r="T69" s="576"/>
      <c r="U69" s="576"/>
      <c r="V69" s="576"/>
      <c r="W69" s="381"/>
      <c r="X69" s="381"/>
    </row>
    <row r="70" spans="2:24" s="371" customFormat="1" x14ac:dyDescent="0.2">
      <c r="B70" s="477"/>
      <c r="C70" s="478"/>
      <c r="D70" s="478"/>
      <c r="E70" s="478"/>
      <c r="F70" s="478"/>
      <c r="G70" s="478"/>
      <c r="H70" s="477"/>
      <c r="I70" s="478"/>
      <c r="J70" s="478"/>
      <c r="K70" s="478"/>
      <c r="L70" s="478"/>
      <c r="M70" s="478"/>
      <c r="N70" s="478"/>
      <c r="O70" s="478"/>
      <c r="P70" s="478"/>
      <c r="Q70" s="478"/>
      <c r="R70" s="576"/>
      <c r="S70" s="576"/>
      <c r="T70" s="576"/>
      <c r="U70" s="576"/>
      <c r="V70" s="576"/>
      <c r="W70" s="381"/>
      <c r="X70" s="381"/>
    </row>
    <row r="71" spans="2:24" s="371" customFormat="1" x14ac:dyDescent="0.2">
      <c r="B71" s="477"/>
      <c r="C71" s="478"/>
      <c r="D71" s="478"/>
      <c r="E71" s="478"/>
      <c r="F71" s="478"/>
      <c r="G71" s="478"/>
      <c r="H71" s="477"/>
      <c r="I71" s="478"/>
      <c r="J71" s="478"/>
      <c r="K71" s="478"/>
      <c r="L71" s="478"/>
      <c r="M71" s="478"/>
      <c r="N71" s="478"/>
      <c r="O71" s="478"/>
      <c r="P71" s="478"/>
      <c r="Q71" s="478"/>
      <c r="R71" s="576"/>
      <c r="S71" s="576"/>
      <c r="T71" s="576"/>
      <c r="U71" s="576"/>
      <c r="V71" s="576"/>
      <c r="W71" s="381"/>
      <c r="X71" s="381"/>
    </row>
    <row r="72" spans="2:24" s="371" customFormat="1" x14ac:dyDescent="0.2">
      <c r="B72" s="477"/>
      <c r="C72" s="478"/>
      <c r="D72" s="478"/>
      <c r="E72" s="478"/>
      <c r="F72" s="478"/>
      <c r="G72" s="478"/>
      <c r="H72" s="477"/>
      <c r="I72" s="478"/>
      <c r="J72" s="478"/>
      <c r="K72" s="478"/>
      <c r="L72" s="478"/>
      <c r="M72" s="478"/>
      <c r="N72" s="478"/>
      <c r="O72" s="478"/>
      <c r="P72" s="478"/>
      <c r="Q72" s="478"/>
      <c r="R72" s="576"/>
      <c r="S72" s="576"/>
      <c r="T72" s="576"/>
      <c r="U72" s="576"/>
      <c r="V72" s="576"/>
      <c r="W72" s="381"/>
      <c r="X72" s="381"/>
    </row>
    <row r="73" spans="2:24" s="371" customFormat="1" x14ac:dyDescent="0.2">
      <c r="B73" s="477"/>
      <c r="C73" s="478"/>
      <c r="D73" s="478"/>
      <c r="E73" s="478"/>
      <c r="F73" s="478"/>
      <c r="G73" s="478"/>
      <c r="H73" s="477"/>
      <c r="I73" s="478"/>
      <c r="J73" s="478"/>
      <c r="K73" s="478"/>
      <c r="L73" s="478"/>
      <c r="M73" s="478"/>
      <c r="N73" s="478"/>
      <c r="O73" s="478"/>
      <c r="P73" s="478"/>
      <c r="Q73" s="478"/>
      <c r="R73" s="576"/>
      <c r="S73" s="576"/>
      <c r="T73" s="576"/>
      <c r="U73" s="576"/>
      <c r="V73" s="576"/>
      <c r="W73" s="381"/>
      <c r="X73" s="381"/>
    </row>
    <row r="74" spans="2:24" s="371" customFormat="1" x14ac:dyDescent="0.2">
      <c r="B74" s="477"/>
      <c r="C74" s="478"/>
      <c r="D74" s="478"/>
      <c r="E74" s="478"/>
      <c r="F74" s="478"/>
      <c r="G74" s="478"/>
      <c r="H74" s="477"/>
      <c r="I74" s="478"/>
      <c r="J74" s="478"/>
      <c r="K74" s="478"/>
      <c r="L74" s="478"/>
      <c r="M74" s="478"/>
      <c r="N74" s="478"/>
      <c r="O74" s="478"/>
      <c r="P74" s="478"/>
      <c r="Q74" s="478"/>
      <c r="R74" s="576"/>
      <c r="S74" s="576"/>
      <c r="T74" s="576"/>
      <c r="U74" s="576"/>
      <c r="V74" s="576"/>
      <c r="W74" s="381"/>
      <c r="X74" s="381"/>
    </row>
    <row r="75" spans="2:24" s="371" customFormat="1" x14ac:dyDescent="0.2">
      <c r="B75" s="477"/>
      <c r="C75" s="478"/>
      <c r="D75" s="478"/>
      <c r="E75" s="478"/>
      <c r="F75" s="478"/>
      <c r="G75" s="478"/>
      <c r="H75" s="477"/>
      <c r="I75" s="478"/>
      <c r="J75" s="478"/>
      <c r="K75" s="478"/>
      <c r="L75" s="478"/>
      <c r="M75" s="478"/>
      <c r="N75" s="478"/>
      <c r="O75" s="478"/>
      <c r="P75" s="478"/>
      <c r="Q75" s="478"/>
      <c r="R75" s="576"/>
      <c r="S75" s="576"/>
      <c r="T75" s="576"/>
      <c r="U75" s="576"/>
      <c r="V75" s="576"/>
      <c r="W75" s="381"/>
      <c r="X75" s="381"/>
    </row>
    <row r="76" spans="2:24" s="371" customFormat="1" x14ac:dyDescent="0.2">
      <c r="B76" s="477"/>
      <c r="C76" s="478"/>
      <c r="D76" s="478"/>
      <c r="E76" s="478"/>
      <c r="F76" s="478"/>
      <c r="G76" s="478"/>
      <c r="H76" s="477"/>
      <c r="I76" s="478"/>
      <c r="J76" s="478"/>
      <c r="K76" s="478"/>
      <c r="L76" s="478"/>
      <c r="M76" s="478"/>
      <c r="N76" s="478"/>
      <c r="O76" s="478"/>
      <c r="P76" s="478"/>
      <c r="Q76" s="478"/>
      <c r="R76" s="576"/>
      <c r="S76" s="576"/>
      <c r="T76" s="576"/>
      <c r="U76" s="576"/>
      <c r="V76" s="576"/>
      <c r="W76" s="381"/>
      <c r="X76" s="381"/>
    </row>
    <row r="77" spans="2:24" s="371" customFormat="1" x14ac:dyDescent="0.2">
      <c r="B77" s="477"/>
      <c r="C77" s="478"/>
      <c r="D77" s="478"/>
      <c r="E77" s="478"/>
      <c r="F77" s="478"/>
      <c r="G77" s="478"/>
      <c r="H77" s="477"/>
      <c r="I77" s="478"/>
      <c r="J77" s="478"/>
      <c r="K77" s="478"/>
      <c r="L77" s="478"/>
      <c r="M77" s="478"/>
      <c r="N77" s="478"/>
      <c r="O77" s="478"/>
      <c r="P77" s="478"/>
      <c r="Q77" s="478"/>
      <c r="R77" s="576"/>
      <c r="S77" s="576"/>
      <c r="T77" s="576"/>
      <c r="U77" s="576"/>
      <c r="V77" s="576"/>
      <c r="W77" s="381"/>
      <c r="X77" s="381"/>
    </row>
    <row r="78" spans="2:24" s="371" customFormat="1" x14ac:dyDescent="0.2">
      <c r="B78" s="477"/>
      <c r="C78" s="478"/>
      <c r="D78" s="478"/>
      <c r="E78" s="478"/>
      <c r="F78" s="478"/>
      <c r="G78" s="478"/>
      <c r="H78" s="477"/>
      <c r="I78" s="478"/>
      <c r="J78" s="478"/>
      <c r="K78" s="478"/>
      <c r="L78" s="478"/>
      <c r="M78" s="478"/>
      <c r="N78" s="478"/>
      <c r="O78" s="478"/>
      <c r="P78" s="478"/>
      <c r="Q78" s="478"/>
      <c r="R78" s="576"/>
      <c r="S78" s="576"/>
      <c r="T78" s="576"/>
      <c r="U78" s="576"/>
      <c r="V78" s="576"/>
      <c r="W78" s="381"/>
      <c r="X78" s="381"/>
    </row>
    <row r="79" spans="2:24" s="371" customFormat="1" x14ac:dyDescent="0.2">
      <c r="B79" s="477"/>
      <c r="C79" s="478"/>
      <c r="D79" s="478"/>
      <c r="E79" s="478"/>
      <c r="F79" s="478"/>
      <c r="G79" s="478"/>
      <c r="H79" s="477"/>
      <c r="I79" s="478"/>
      <c r="J79" s="478"/>
      <c r="K79" s="478"/>
      <c r="L79" s="478"/>
      <c r="M79" s="478"/>
      <c r="N79" s="478"/>
      <c r="O79" s="478"/>
      <c r="P79" s="478"/>
      <c r="Q79" s="478"/>
      <c r="R79" s="576"/>
      <c r="S79" s="576"/>
      <c r="T79" s="576"/>
      <c r="U79" s="576"/>
      <c r="V79" s="576"/>
      <c r="W79" s="381"/>
      <c r="X79" s="381"/>
    </row>
    <row r="80" spans="2:24" s="371" customFormat="1" x14ac:dyDescent="0.2">
      <c r="B80" s="477"/>
      <c r="C80" s="478"/>
      <c r="D80" s="478"/>
      <c r="E80" s="478"/>
      <c r="F80" s="478"/>
      <c r="G80" s="478"/>
      <c r="H80" s="477"/>
      <c r="I80" s="478"/>
      <c r="J80" s="478"/>
      <c r="K80" s="478"/>
      <c r="L80" s="478"/>
      <c r="M80" s="478"/>
      <c r="N80" s="478"/>
      <c r="O80" s="478"/>
      <c r="P80" s="478"/>
      <c r="Q80" s="478"/>
      <c r="R80" s="576"/>
      <c r="S80" s="576"/>
      <c r="T80" s="576"/>
      <c r="U80" s="576"/>
      <c r="V80" s="576"/>
      <c r="W80" s="381"/>
      <c r="X80" s="381"/>
    </row>
    <row r="81" spans="2:24" s="371" customFormat="1" x14ac:dyDescent="0.2">
      <c r="B81" s="477"/>
      <c r="C81" s="478"/>
      <c r="D81" s="478"/>
      <c r="E81" s="478"/>
      <c r="F81" s="478"/>
      <c r="G81" s="478"/>
      <c r="H81" s="477"/>
      <c r="I81" s="478"/>
      <c r="J81" s="478"/>
      <c r="K81" s="478"/>
      <c r="L81" s="478"/>
      <c r="M81" s="478"/>
      <c r="N81" s="478"/>
      <c r="O81" s="478"/>
      <c r="P81" s="478"/>
      <c r="Q81" s="478"/>
      <c r="R81" s="576"/>
      <c r="S81" s="576"/>
      <c r="T81" s="576"/>
      <c r="U81" s="576"/>
      <c r="V81" s="576"/>
      <c r="W81" s="381"/>
      <c r="X81" s="381"/>
    </row>
    <row r="82" spans="2:24" s="371" customFormat="1" x14ac:dyDescent="0.2">
      <c r="B82" s="477"/>
      <c r="C82" s="478"/>
      <c r="D82" s="478"/>
      <c r="E82" s="478"/>
      <c r="F82" s="478"/>
      <c r="G82" s="478"/>
      <c r="H82" s="477"/>
      <c r="I82" s="478"/>
      <c r="J82" s="478"/>
      <c r="K82" s="478"/>
      <c r="L82" s="478"/>
      <c r="M82" s="478"/>
      <c r="N82" s="478"/>
      <c r="O82" s="478"/>
      <c r="P82" s="478"/>
      <c r="Q82" s="478"/>
      <c r="R82" s="576"/>
      <c r="S82" s="576"/>
      <c r="T82" s="576"/>
      <c r="U82" s="576"/>
      <c r="V82" s="576"/>
      <c r="W82" s="381"/>
      <c r="X82" s="381"/>
    </row>
    <row r="83" spans="2:24" s="371" customFormat="1" x14ac:dyDescent="0.2">
      <c r="B83" s="477"/>
      <c r="C83" s="478"/>
      <c r="D83" s="478"/>
      <c r="E83" s="478"/>
      <c r="F83" s="478"/>
      <c r="G83" s="478"/>
      <c r="H83" s="477"/>
      <c r="I83" s="478"/>
      <c r="J83" s="478"/>
      <c r="K83" s="478"/>
      <c r="L83" s="478"/>
      <c r="M83" s="478"/>
      <c r="N83" s="478"/>
      <c r="O83" s="478"/>
      <c r="P83" s="478"/>
      <c r="Q83" s="478"/>
      <c r="R83" s="576"/>
      <c r="S83" s="576"/>
      <c r="T83" s="576"/>
      <c r="U83" s="576"/>
      <c r="V83" s="576"/>
      <c r="W83" s="381"/>
      <c r="X83" s="381"/>
    </row>
    <row r="84" spans="2:24" s="371" customFormat="1" x14ac:dyDescent="0.2">
      <c r="B84" s="477"/>
      <c r="C84" s="478"/>
      <c r="D84" s="478"/>
      <c r="E84" s="478"/>
      <c r="F84" s="478"/>
      <c r="G84" s="478"/>
      <c r="H84" s="477"/>
      <c r="I84" s="478"/>
      <c r="J84" s="478"/>
      <c r="K84" s="478"/>
      <c r="L84" s="478"/>
      <c r="M84" s="478"/>
      <c r="N84" s="478"/>
      <c r="O84" s="478"/>
      <c r="P84" s="478"/>
      <c r="Q84" s="478"/>
      <c r="R84" s="576"/>
      <c r="S84" s="576"/>
      <c r="T84" s="576"/>
      <c r="U84" s="576"/>
      <c r="V84" s="576"/>
      <c r="W84" s="381"/>
      <c r="X84" s="381"/>
    </row>
    <row r="85" spans="2:24" s="371" customFormat="1" x14ac:dyDescent="0.2">
      <c r="B85" s="477"/>
      <c r="C85" s="478"/>
      <c r="D85" s="478"/>
      <c r="E85" s="478"/>
      <c r="F85" s="478"/>
      <c r="G85" s="478"/>
      <c r="H85" s="477"/>
      <c r="I85" s="478"/>
      <c r="J85" s="478"/>
      <c r="K85" s="478"/>
      <c r="L85" s="478"/>
      <c r="M85" s="478"/>
      <c r="N85" s="478"/>
      <c r="O85" s="478"/>
      <c r="P85" s="478"/>
      <c r="Q85" s="478"/>
      <c r="R85" s="576"/>
      <c r="S85" s="576"/>
      <c r="T85" s="576"/>
      <c r="U85" s="576"/>
      <c r="V85" s="576"/>
      <c r="W85" s="381"/>
      <c r="X85" s="381"/>
    </row>
    <row r="86" spans="2:24" s="371" customFormat="1" x14ac:dyDescent="0.2">
      <c r="B86" s="477"/>
      <c r="C86" s="478"/>
      <c r="D86" s="478"/>
      <c r="E86" s="478"/>
      <c r="F86" s="478"/>
      <c r="G86" s="478"/>
      <c r="H86" s="477"/>
      <c r="I86" s="478"/>
      <c r="J86" s="478"/>
      <c r="K86" s="478"/>
      <c r="L86" s="478"/>
      <c r="M86" s="478"/>
      <c r="N86" s="478"/>
      <c r="O86" s="478"/>
      <c r="P86" s="478"/>
      <c r="Q86" s="478"/>
      <c r="R86" s="576"/>
      <c r="S86" s="576"/>
      <c r="T86" s="576"/>
      <c r="U86" s="576"/>
      <c r="V86" s="576"/>
      <c r="W86" s="381"/>
      <c r="X86" s="381"/>
    </row>
    <row r="87" spans="2:24" s="371" customFormat="1" x14ac:dyDescent="0.2">
      <c r="B87" s="477"/>
      <c r="C87" s="478"/>
      <c r="D87" s="478"/>
      <c r="E87" s="478"/>
      <c r="F87" s="478"/>
      <c r="G87" s="478"/>
      <c r="H87" s="477"/>
      <c r="I87" s="478"/>
      <c r="J87" s="478"/>
      <c r="K87" s="478"/>
      <c r="L87" s="478"/>
      <c r="M87" s="478"/>
      <c r="N87" s="478"/>
      <c r="O87" s="478"/>
      <c r="P87" s="478"/>
      <c r="Q87" s="478"/>
      <c r="R87" s="576"/>
      <c r="S87" s="576"/>
      <c r="T87" s="576"/>
      <c r="U87" s="576"/>
      <c r="V87" s="576"/>
      <c r="W87" s="381"/>
      <c r="X87" s="381"/>
    </row>
    <row r="88" spans="2:24" s="371" customFormat="1" x14ac:dyDescent="0.2">
      <c r="B88" s="477"/>
      <c r="C88" s="478"/>
      <c r="D88" s="478"/>
      <c r="E88" s="478"/>
      <c r="F88" s="478"/>
      <c r="G88" s="478"/>
      <c r="H88" s="477"/>
      <c r="I88" s="478"/>
      <c r="J88" s="478"/>
      <c r="K88" s="478"/>
      <c r="L88" s="478"/>
      <c r="M88" s="478"/>
      <c r="N88" s="478"/>
      <c r="O88" s="478"/>
      <c r="P88" s="478"/>
      <c r="Q88" s="478"/>
      <c r="R88" s="576"/>
      <c r="S88" s="576"/>
      <c r="T88" s="576"/>
      <c r="U88" s="576"/>
      <c r="V88" s="576"/>
      <c r="W88" s="381"/>
      <c r="X88" s="381"/>
    </row>
    <row r="89" spans="2:24" s="371" customFormat="1" x14ac:dyDescent="0.2">
      <c r="B89" s="477"/>
      <c r="C89" s="478"/>
      <c r="D89" s="478"/>
      <c r="E89" s="478"/>
      <c r="F89" s="478"/>
      <c r="G89" s="478"/>
      <c r="H89" s="477"/>
      <c r="I89" s="478"/>
      <c r="J89" s="478"/>
      <c r="K89" s="478"/>
      <c r="L89" s="478"/>
      <c r="M89" s="478"/>
      <c r="N89" s="478"/>
      <c r="O89" s="478"/>
      <c r="P89" s="478"/>
      <c r="Q89" s="478"/>
      <c r="R89" s="576"/>
      <c r="S89" s="576"/>
      <c r="T89" s="576"/>
      <c r="U89" s="576"/>
      <c r="V89" s="576"/>
      <c r="W89" s="381"/>
      <c r="X89" s="381"/>
    </row>
    <row r="90" spans="2:24" s="371" customFormat="1" x14ac:dyDescent="0.2">
      <c r="B90" s="477"/>
      <c r="C90" s="478"/>
      <c r="D90" s="478"/>
      <c r="E90" s="478"/>
      <c r="F90" s="478"/>
      <c r="G90" s="478"/>
      <c r="H90" s="477"/>
      <c r="I90" s="478"/>
      <c r="J90" s="478"/>
      <c r="K90" s="478"/>
      <c r="L90" s="478"/>
      <c r="M90" s="478"/>
      <c r="N90" s="478"/>
      <c r="O90" s="478"/>
      <c r="P90" s="478"/>
      <c r="Q90" s="478"/>
      <c r="R90" s="576"/>
      <c r="S90" s="576"/>
      <c r="T90" s="576"/>
      <c r="U90" s="576"/>
      <c r="V90" s="576"/>
      <c r="W90" s="381"/>
      <c r="X90" s="381"/>
    </row>
    <row r="91" spans="2:24" s="371" customFormat="1" x14ac:dyDescent="0.2">
      <c r="B91" s="477"/>
      <c r="C91" s="478"/>
      <c r="D91" s="478"/>
      <c r="E91" s="478"/>
      <c r="F91" s="478"/>
      <c r="G91" s="478"/>
      <c r="H91" s="477"/>
      <c r="I91" s="478"/>
      <c r="J91" s="478"/>
      <c r="K91" s="478"/>
      <c r="L91" s="478"/>
      <c r="M91" s="478"/>
      <c r="N91" s="478"/>
      <c r="O91" s="478"/>
      <c r="P91" s="478"/>
      <c r="Q91" s="478"/>
      <c r="R91" s="576"/>
      <c r="S91" s="576"/>
      <c r="T91" s="576"/>
      <c r="U91" s="576"/>
      <c r="V91" s="576"/>
      <c r="W91" s="381"/>
      <c r="X91" s="381"/>
    </row>
    <row r="92" spans="2:24" s="371" customFormat="1" x14ac:dyDescent="0.2">
      <c r="B92" s="477"/>
      <c r="C92" s="478"/>
      <c r="D92" s="478"/>
      <c r="E92" s="478"/>
      <c r="F92" s="478"/>
      <c r="G92" s="478"/>
      <c r="H92" s="477"/>
      <c r="I92" s="478"/>
      <c r="J92" s="478"/>
      <c r="K92" s="478"/>
      <c r="L92" s="478"/>
      <c r="M92" s="478"/>
      <c r="N92" s="478"/>
      <c r="O92" s="478"/>
      <c r="P92" s="478"/>
      <c r="Q92" s="478"/>
      <c r="R92" s="576"/>
      <c r="S92" s="576"/>
      <c r="T92" s="576"/>
      <c r="U92" s="576"/>
      <c r="V92" s="576"/>
      <c r="W92" s="381"/>
      <c r="X92" s="381"/>
    </row>
    <row r="93" spans="2:24" s="371" customFormat="1" x14ac:dyDescent="0.2">
      <c r="B93" s="477"/>
      <c r="C93" s="478"/>
      <c r="D93" s="478"/>
      <c r="E93" s="478"/>
      <c r="F93" s="478"/>
      <c r="G93" s="478"/>
      <c r="H93" s="477"/>
      <c r="I93" s="478"/>
      <c r="J93" s="478"/>
      <c r="K93" s="478"/>
      <c r="L93" s="478"/>
      <c r="M93" s="478"/>
      <c r="N93" s="478"/>
      <c r="O93" s="478"/>
      <c r="P93" s="478"/>
      <c r="Q93" s="478"/>
      <c r="R93" s="576"/>
      <c r="S93" s="576"/>
      <c r="T93" s="576"/>
      <c r="U93" s="576"/>
      <c r="V93" s="576"/>
      <c r="W93" s="381"/>
      <c r="X93" s="381"/>
    </row>
    <row r="94" spans="2:24" s="371" customFormat="1" x14ac:dyDescent="0.2">
      <c r="B94" s="477"/>
      <c r="C94" s="478"/>
      <c r="D94" s="478"/>
      <c r="E94" s="478"/>
      <c r="F94" s="478"/>
      <c r="G94" s="478"/>
      <c r="H94" s="477"/>
      <c r="I94" s="478"/>
      <c r="J94" s="478"/>
      <c r="K94" s="478"/>
      <c r="L94" s="478"/>
      <c r="M94" s="478"/>
      <c r="N94" s="478"/>
      <c r="O94" s="478"/>
      <c r="P94" s="478"/>
      <c r="Q94" s="478"/>
      <c r="R94" s="576"/>
      <c r="S94" s="576"/>
      <c r="T94" s="576"/>
      <c r="U94" s="576"/>
      <c r="V94" s="576"/>
      <c r="W94" s="381"/>
      <c r="X94" s="381"/>
    </row>
    <row r="95" spans="2:24" s="371" customFormat="1" x14ac:dyDescent="0.2">
      <c r="B95" s="477"/>
      <c r="C95" s="478"/>
      <c r="D95" s="478"/>
      <c r="E95" s="478"/>
      <c r="F95" s="478"/>
      <c r="G95" s="478"/>
      <c r="H95" s="477"/>
      <c r="I95" s="478"/>
      <c r="J95" s="478"/>
      <c r="K95" s="478"/>
      <c r="L95" s="478"/>
      <c r="M95" s="478"/>
      <c r="N95" s="478"/>
      <c r="O95" s="478"/>
      <c r="P95" s="478"/>
      <c r="Q95" s="478"/>
      <c r="R95" s="576"/>
      <c r="S95" s="576"/>
      <c r="T95" s="576"/>
      <c r="U95" s="576"/>
      <c r="V95" s="576"/>
      <c r="W95" s="381"/>
      <c r="X95" s="381"/>
    </row>
    <row r="96" spans="2:24" s="371" customFormat="1" x14ac:dyDescent="0.2">
      <c r="B96" s="477"/>
      <c r="C96" s="478"/>
      <c r="D96" s="478"/>
      <c r="E96" s="478"/>
      <c r="F96" s="478"/>
      <c r="G96" s="478"/>
      <c r="H96" s="477"/>
      <c r="I96" s="478"/>
      <c r="J96" s="478"/>
      <c r="K96" s="478"/>
      <c r="L96" s="478"/>
      <c r="M96" s="478"/>
      <c r="N96" s="478"/>
      <c r="O96" s="478"/>
      <c r="P96" s="478"/>
      <c r="Q96" s="478"/>
      <c r="R96" s="576"/>
      <c r="S96" s="576"/>
      <c r="T96" s="576"/>
      <c r="U96" s="576"/>
      <c r="V96" s="576"/>
      <c r="W96" s="381"/>
      <c r="X96" s="381"/>
    </row>
    <row r="97" spans="2:24" s="371" customFormat="1" x14ac:dyDescent="0.2">
      <c r="B97" s="477"/>
      <c r="C97" s="478"/>
      <c r="D97" s="478"/>
      <c r="E97" s="478"/>
      <c r="F97" s="478"/>
      <c r="G97" s="478"/>
      <c r="H97" s="477"/>
      <c r="I97" s="478"/>
      <c r="J97" s="478"/>
      <c r="K97" s="478"/>
      <c r="L97" s="478"/>
      <c r="M97" s="478"/>
      <c r="N97" s="478"/>
      <c r="O97" s="478"/>
      <c r="P97" s="478"/>
      <c r="Q97" s="478"/>
      <c r="R97" s="576"/>
      <c r="S97" s="576"/>
      <c r="T97" s="576"/>
      <c r="U97" s="576"/>
      <c r="V97" s="576"/>
      <c r="W97" s="381"/>
      <c r="X97" s="381"/>
    </row>
    <row r="98" spans="2:24" s="371" customFormat="1" x14ac:dyDescent="0.2">
      <c r="B98" s="477"/>
      <c r="C98" s="478"/>
      <c r="D98" s="478"/>
      <c r="E98" s="478"/>
      <c r="F98" s="478"/>
      <c r="G98" s="478"/>
      <c r="H98" s="477"/>
      <c r="I98" s="478"/>
      <c r="J98" s="478"/>
      <c r="K98" s="478"/>
      <c r="L98" s="478"/>
      <c r="M98" s="478"/>
      <c r="N98" s="478"/>
      <c r="O98" s="478"/>
      <c r="P98" s="478"/>
      <c r="Q98" s="478"/>
      <c r="R98" s="576"/>
      <c r="S98" s="576"/>
      <c r="T98" s="576"/>
      <c r="U98" s="576"/>
      <c r="V98" s="576"/>
      <c r="W98" s="381"/>
      <c r="X98" s="381"/>
    </row>
    <row r="99" spans="2:24" s="371" customFormat="1" x14ac:dyDescent="0.2">
      <c r="B99" s="477"/>
      <c r="C99" s="478"/>
      <c r="D99" s="478"/>
      <c r="E99" s="478"/>
      <c r="F99" s="478"/>
      <c r="G99" s="478"/>
      <c r="H99" s="477"/>
      <c r="I99" s="478"/>
      <c r="J99" s="478"/>
      <c r="K99" s="478"/>
      <c r="L99" s="478"/>
      <c r="M99" s="478"/>
      <c r="N99" s="478"/>
      <c r="O99" s="478"/>
      <c r="P99" s="478"/>
      <c r="Q99" s="478"/>
      <c r="R99" s="576"/>
      <c r="S99" s="576"/>
      <c r="T99" s="576"/>
      <c r="U99" s="576"/>
      <c r="V99" s="576"/>
      <c r="W99" s="381"/>
      <c r="X99" s="381"/>
    </row>
    <row r="100" spans="2:24" s="371" customFormat="1" x14ac:dyDescent="0.2">
      <c r="B100" s="477"/>
      <c r="C100" s="478"/>
      <c r="D100" s="478"/>
      <c r="E100" s="478"/>
      <c r="F100" s="478"/>
      <c r="G100" s="478"/>
      <c r="H100" s="477"/>
      <c r="I100" s="478"/>
      <c r="J100" s="478"/>
      <c r="K100" s="478"/>
      <c r="L100" s="478"/>
      <c r="M100" s="478"/>
      <c r="N100" s="478"/>
      <c r="O100" s="478"/>
      <c r="P100" s="478"/>
      <c r="Q100" s="478"/>
      <c r="R100" s="576"/>
      <c r="S100" s="576"/>
      <c r="T100" s="576"/>
      <c r="U100" s="576"/>
      <c r="V100" s="576"/>
      <c r="W100" s="381"/>
      <c r="X100" s="381"/>
    </row>
    <row r="101" spans="2:24" s="371" customFormat="1" x14ac:dyDescent="0.2">
      <c r="B101" s="477"/>
      <c r="C101" s="478"/>
      <c r="D101" s="478"/>
      <c r="E101" s="478"/>
      <c r="F101" s="478"/>
      <c r="G101" s="478"/>
      <c r="H101" s="477"/>
      <c r="I101" s="478"/>
      <c r="J101" s="478"/>
      <c r="K101" s="478"/>
      <c r="L101" s="478"/>
      <c r="M101" s="478"/>
      <c r="N101" s="478"/>
      <c r="O101" s="478"/>
      <c r="P101" s="478"/>
      <c r="Q101" s="478"/>
      <c r="R101" s="576"/>
      <c r="S101" s="576"/>
      <c r="T101" s="576"/>
      <c r="U101" s="576"/>
      <c r="V101" s="576"/>
      <c r="W101" s="381"/>
      <c r="X101" s="381"/>
    </row>
    <row r="102" spans="2:24" s="371" customFormat="1" x14ac:dyDescent="0.2">
      <c r="B102" s="477"/>
      <c r="C102" s="478"/>
      <c r="D102" s="478"/>
      <c r="E102" s="478"/>
      <c r="F102" s="478"/>
      <c r="G102" s="478"/>
      <c r="H102" s="477"/>
      <c r="I102" s="478"/>
      <c r="J102" s="478"/>
      <c r="K102" s="478"/>
      <c r="L102" s="478"/>
      <c r="M102" s="478"/>
      <c r="N102" s="478"/>
      <c r="O102" s="478"/>
      <c r="P102" s="478"/>
      <c r="Q102" s="478"/>
      <c r="R102" s="576"/>
      <c r="S102" s="576"/>
      <c r="T102" s="576"/>
      <c r="U102" s="576"/>
      <c r="V102" s="576"/>
      <c r="W102" s="381"/>
      <c r="X102" s="381"/>
    </row>
    <row r="103" spans="2:24" s="371" customFormat="1" x14ac:dyDescent="0.2">
      <c r="B103" s="477"/>
      <c r="C103" s="478"/>
      <c r="D103" s="478"/>
      <c r="E103" s="478"/>
      <c r="F103" s="478"/>
      <c r="G103" s="478"/>
      <c r="H103" s="477"/>
      <c r="I103" s="478"/>
      <c r="J103" s="478"/>
      <c r="K103" s="478"/>
      <c r="L103" s="478"/>
      <c r="M103" s="478"/>
      <c r="N103" s="478"/>
      <c r="O103" s="478"/>
      <c r="P103" s="478"/>
      <c r="Q103" s="478"/>
      <c r="R103" s="576"/>
      <c r="S103" s="576"/>
      <c r="T103" s="576"/>
      <c r="U103" s="576"/>
      <c r="V103" s="576"/>
      <c r="W103" s="381"/>
      <c r="X103" s="381"/>
    </row>
    <row r="104" spans="2:24" s="371" customFormat="1" x14ac:dyDescent="0.2">
      <c r="B104" s="477"/>
      <c r="C104" s="478"/>
      <c r="D104" s="478"/>
      <c r="E104" s="478"/>
      <c r="F104" s="478"/>
      <c r="G104" s="478"/>
      <c r="H104" s="477"/>
      <c r="I104" s="478"/>
      <c r="J104" s="478"/>
      <c r="K104" s="478"/>
      <c r="L104" s="478"/>
      <c r="M104" s="478"/>
      <c r="N104" s="478"/>
      <c r="O104" s="478"/>
      <c r="P104" s="478"/>
      <c r="Q104" s="478"/>
      <c r="R104" s="576"/>
      <c r="S104" s="576"/>
      <c r="T104" s="576"/>
      <c r="U104" s="576"/>
      <c r="V104" s="576"/>
      <c r="W104" s="381"/>
      <c r="X104" s="381"/>
    </row>
    <row r="105" spans="2:24" s="371" customFormat="1" x14ac:dyDescent="0.2">
      <c r="B105" s="477"/>
      <c r="C105" s="478"/>
      <c r="D105" s="478"/>
      <c r="E105" s="478"/>
      <c r="F105" s="478"/>
      <c r="G105" s="478"/>
      <c r="H105" s="477"/>
      <c r="I105" s="478"/>
      <c r="J105" s="478"/>
      <c r="K105" s="478"/>
      <c r="L105" s="478"/>
      <c r="M105" s="478"/>
      <c r="N105" s="478"/>
      <c r="O105" s="478"/>
      <c r="P105" s="478"/>
      <c r="Q105" s="478"/>
      <c r="R105" s="576"/>
      <c r="S105" s="576"/>
      <c r="T105" s="576"/>
      <c r="U105" s="576"/>
      <c r="V105" s="576"/>
      <c r="W105" s="381"/>
      <c r="X105" s="381"/>
    </row>
    <row r="106" spans="2:24" s="371" customFormat="1" x14ac:dyDescent="0.2">
      <c r="B106" s="477"/>
      <c r="C106" s="478"/>
      <c r="D106" s="478"/>
      <c r="E106" s="478"/>
      <c r="F106" s="478"/>
      <c r="G106" s="478"/>
      <c r="H106" s="477"/>
      <c r="I106" s="478"/>
      <c r="J106" s="478"/>
      <c r="K106" s="478"/>
      <c r="L106" s="478"/>
      <c r="M106" s="478"/>
      <c r="N106" s="478"/>
      <c r="O106" s="478"/>
      <c r="P106" s="478"/>
      <c r="Q106" s="478"/>
      <c r="R106" s="576"/>
      <c r="S106" s="576"/>
      <c r="T106" s="576"/>
      <c r="U106" s="576"/>
      <c r="V106" s="576"/>
      <c r="W106" s="381"/>
      <c r="X106" s="381"/>
    </row>
    <row r="107" spans="2:24" s="371" customFormat="1" x14ac:dyDescent="0.2">
      <c r="B107" s="477"/>
      <c r="C107" s="478"/>
      <c r="D107" s="478"/>
      <c r="E107" s="478"/>
      <c r="F107" s="478"/>
      <c r="G107" s="478"/>
      <c r="H107" s="477"/>
      <c r="I107" s="478"/>
      <c r="J107" s="478"/>
      <c r="K107" s="478"/>
      <c r="L107" s="478"/>
      <c r="M107" s="478"/>
      <c r="N107" s="478"/>
      <c r="O107" s="478"/>
      <c r="P107" s="478"/>
      <c r="Q107" s="478"/>
      <c r="R107" s="576"/>
      <c r="S107" s="576"/>
      <c r="T107" s="576"/>
      <c r="U107" s="576"/>
      <c r="V107" s="576"/>
      <c r="W107" s="381"/>
      <c r="X107" s="381"/>
    </row>
    <row r="108" spans="2:24" s="371" customFormat="1" x14ac:dyDescent="0.2">
      <c r="B108" s="461"/>
      <c r="C108" s="668"/>
      <c r="D108" s="668"/>
      <c r="E108" s="668"/>
      <c r="F108" s="668"/>
      <c r="G108" s="668"/>
      <c r="H108" s="477"/>
      <c r="I108" s="478"/>
      <c r="J108" s="478"/>
      <c r="K108" s="478"/>
      <c r="L108" s="478"/>
      <c r="M108" s="478"/>
      <c r="N108" s="478"/>
      <c r="O108" s="478"/>
      <c r="P108" s="478"/>
      <c r="Q108" s="478"/>
      <c r="R108" s="576"/>
      <c r="S108" s="576"/>
      <c r="T108" s="576"/>
      <c r="U108" s="576"/>
      <c r="V108" s="576"/>
      <c r="W108" s="381"/>
      <c r="X108" s="381"/>
    </row>
    <row r="109" spans="2:24" s="371" customFormat="1" x14ac:dyDescent="0.2">
      <c r="B109" s="461"/>
      <c r="C109" s="667"/>
      <c r="D109" s="667"/>
      <c r="E109" s="667"/>
      <c r="F109" s="667"/>
      <c r="G109" s="667"/>
      <c r="H109" s="477"/>
      <c r="I109" s="478"/>
      <c r="J109" s="478"/>
      <c r="K109" s="478"/>
      <c r="L109" s="478"/>
      <c r="M109" s="478"/>
      <c r="N109" s="478"/>
      <c r="O109" s="478"/>
      <c r="P109" s="478"/>
      <c r="Q109" s="478"/>
      <c r="R109" s="576"/>
      <c r="S109" s="576"/>
      <c r="T109" s="576"/>
      <c r="U109" s="576"/>
      <c r="V109" s="576"/>
      <c r="W109" s="381"/>
      <c r="X109" s="381"/>
    </row>
    <row r="110" spans="2:24" s="371" customFormat="1" x14ac:dyDescent="0.2">
      <c r="B110" s="461"/>
      <c r="C110" s="667"/>
      <c r="D110" s="667"/>
      <c r="E110" s="667"/>
      <c r="F110" s="667"/>
      <c r="G110" s="667"/>
      <c r="H110" s="477"/>
      <c r="I110" s="478"/>
      <c r="J110" s="478"/>
      <c r="K110" s="478"/>
      <c r="L110" s="478"/>
      <c r="M110" s="478"/>
      <c r="N110" s="478"/>
      <c r="O110" s="478"/>
      <c r="P110" s="478"/>
      <c r="Q110" s="478"/>
      <c r="R110" s="576"/>
      <c r="S110" s="576"/>
      <c r="T110" s="576"/>
      <c r="U110" s="576"/>
      <c r="V110" s="576"/>
      <c r="W110" s="381"/>
      <c r="X110" s="381"/>
    </row>
    <row r="111" spans="2:24" s="371" customFormat="1" x14ac:dyDescent="0.2">
      <c r="B111" s="461"/>
      <c r="C111" s="667"/>
      <c r="D111" s="667"/>
      <c r="E111" s="667"/>
      <c r="F111" s="667"/>
      <c r="G111" s="667"/>
      <c r="H111" s="477"/>
      <c r="I111" s="478"/>
      <c r="J111" s="478"/>
      <c r="K111" s="478"/>
      <c r="L111" s="478"/>
      <c r="M111" s="478"/>
      <c r="N111" s="478"/>
      <c r="O111" s="478"/>
      <c r="P111" s="478"/>
      <c r="Q111" s="478"/>
      <c r="R111" s="576"/>
      <c r="S111" s="576"/>
      <c r="T111" s="576"/>
      <c r="U111" s="576"/>
      <c r="V111" s="576"/>
      <c r="W111" s="381"/>
      <c r="X111" s="381"/>
    </row>
    <row r="112" spans="2:24" s="371" customFormat="1" x14ac:dyDescent="0.2">
      <c r="B112" s="461"/>
      <c r="C112" s="667"/>
      <c r="D112" s="667"/>
      <c r="E112" s="667"/>
      <c r="F112" s="667"/>
      <c r="G112" s="667"/>
      <c r="H112" s="477"/>
      <c r="I112" s="478"/>
      <c r="J112" s="478"/>
      <c r="K112" s="478"/>
      <c r="L112" s="478"/>
      <c r="M112" s="478"/>
      <c r="N112" s="478"/>
      <c r="O112" s="478"/>
      <c r="P112" s="478"/>
      <c r="Q112" s="478"/>
      <c r="R112" s="576"/>
      <c r="S112" s="576"/>
      <c r="T112" s="576"/>
      <c r="U112" s="576"/>
      <c r="V112" s="576"/>
      <c r="W112" s="381"/>
      <c r="X112" s="381"/>
    </row>
    <row r="113" spans="2:24" s="371" customFormat="1" x14ac:dyDescent="0.2">
      <c r="B113" s="461"/>
      <c r="C113" s="667"/>
      <c r="D113" s="667"/>
      <c r="E113" s="667"/>
      <c r="F113" s="667"/>
      <c r="G113" s="667"/>
      <c r="H113" s="477"/>
      <c r="I113" s="478"/>
      <c r="J113" s="478"/>
      <c r="K113" s="478"/>
      <c r="L113" s="478"/>
      <c r="M113" s="478"/>
      <c r="N113" s="478"/>
      <c r="O113" s="478"/>
      <c r="P113" s="478"/>
      <c r="Q113" s="478"/>
      <c r="R113" s="576"/>
      <c r="S113" s="576"/>
      <c r="T113" s="576"/>
      <c r="U113" s="576"/>
      <c r="V113" s="576"/>
      <c r="W113" s="381"/>
      <c r="X113" s="381"/>
    </row>
    <row r="114" spans="2:24" s="371" customFormat="1" x14ac:dyDescent="0.2">
      <c r="B114" s="477"/>
      <c r="C114" s="478"/>
      <c r="D114" s="478"/>
      <c r="E114" s="478"/>
      <c r="F114" s="478"/>
      <c r="G114" s="478"/>
      <c r="H114" s="477"/>
      <c r="I114" s="478"/>
      <c r="J114" s="478"/>
      <c r="K114" s="478"/>
      <c r="L114" s="478"/>
      <c r="M114" s="478"/>
      <c r="N114" s="478"/>
      <c r="O114" s="478"/>
      <c r="P114" s="478"/>
      <c r="Q114" s="478"/>
      <c r="R114" s="576"/>
      <c r="S114" s="576"/>
      <c r="T114" s="576"/>
      <c r="U114" s="576"/>
      <c r="V114" s="576"/>
      <c r="W114" s="381"/>
      <c r="X114" s="381"/>
    </row>
    <row r="115" spans="2:24" s="371" customFormat="1" x14ac:dyDescent="0.2">
      <c r="B115" s="477"/>
      <c r="C115" s="478"/>
      <c r="D115" s="478"/>
      <c r="E115" s="478"/>
      <c r="F115" s="478"/>
      <c r="G115" s="478"/>
      <c r="H115" s="477"/>
      <c r="I115" s="478"/>
      <c r="J115" s="478"/>
      <c r="K115" s="478"/>
      <c r="L115" s="478"/>
      <c r="M115" s="478"/>
      <c r="N115" s="478"/>
      <c r="O115" s="478"/>
      <c r="P115" s="478"/>
      <c r="Q115" s="478"/>
      <c r="R115" s="576"/>
      <c r="S115" s="576"/>
      <c r="T115" s="576"/>
      <c r="U115" s="576"/>
      <c r="V115" s="576"/>
      <c r="W115" s="381"/>
      <c r="X115" s="381"/>
    </row>
    <row r="116" spans="2:24" s="371" customFormat="1" x14ac:dyDescent="0.2">
      <c r="B116" s="477"/>
      <c r="C116" s="478"/>
      <c r="D116" s="478"/>
      <c r="E116" s="478"/>
      <c r="F116" s="478"/>
      <c r="G116" s="478"/>
      <c r="H116" s="477"/>
      <c r="I116" s="478"/>
      <c r="J116" s="478"/>
      <c r="K116" s="478"/>
      <c r="L116" s="478"/>
      <c r="M116" s="478"/>
      <c r="N116" s="478"/>
      <c r="O116" s="478"/>
      <c r="P116" s="478"/>
      <c r="Q116" s="478"/>
      <c r="R116" s="576"/>
      <c r="S116" s="576"/>
      <c r="T116" s="576"/>
      <c r="U116" s="576"/>
      <c r="V116" s="576"/>
      <c r="W116" s="381"/>
      <c r="X116" s="381"/>
    </row>
    <row r="117" spans="2:24" s="371" customFormat="1" x14ac:dyDescent="0.2">
      <c r="B117" s="477"/>
      <c r="C117" s="478"/>
      <c r="D117" s="478"/>
      <c r="E117" s="478"/>
      <c r="F117" s="478"/>
      <c r="G117" s="478"/>
      <c r="H117" s="477"/>
      <c r="I117" s="478"/>
      <c r="J117" s="478"/>
      <c r="K117" s="478"/>
      <c r="L117" s="478"/>
      <c r="M117" s="478"/>
      <c r="N117" s="478"/>
      <c r="O117" s="478"/>
      <c r="P117" s="478"/>
      <c r="Q117" s="478"/>
      <c r="R117" s="576"/>
      <c r="S117" s="576"/>
      <c r="T117" s="576"/>
      <c r="U117" s="576"/>
      <c r="V117" s="576"/>
      <c r="W117" s="381"/>
      <c r="X117" s="381"/>
    </row>
    <row r="118" spans="2:24" s="371" customFormat="1" x14ac:dyDescent="0.2">
      <c r="B118" s="477"/>
      <c r="C118" s="478"/>
      <c r="D118" s="478"/>
      <c r="E118" s="478"/>
      <c r="F118" s="478"/>
      <c r="G118" s="478"/>
      <c r="H118" s="477"/>
      <c r="I118" s="478"/>
      <c r="J118" s="478"/>
      <c r="K118" s="478"/>
      <c r="L118" s="478"/>
      <c r="M118" s="478"/>
      <c r="N118" s="478"/>
      <c r="O118" s="478"/>
      <c r="P118" s="478"/>
      <c r="Q118" s="478"/>
      <c r="R118" s="576"/>
      <c r="S118" s="576"/>
      <c r="T118" s="576"/>
      <c r="U118" s="576"/>
      <c r="V118" s="576"/>
      <c r="W118" s="381"/>
      <c r="X118" s="381"/>
    </row>
    <row r="119" spans="2:24" s="371" customFormat="1" x14ac:dyDescent="0.2">
      <c r="B119" s="477"/>
      <c r="C119" s="478"/>
      <c r="D119" s="478"/>
      <c r="E119" s="478"/>
      <c r="F119" s="478"/>
      <c r="G119" s="478"/>
      <c r="H119" s="477"/>
      <c r="I119" s="478"/>
      <c r="J119" s="478"/>
      <c r="K119" s="478"/>
      <c r="L119" s="478"/>
      <c r="M119" s="478"/>
      <c r="N119" s="478"/>
      <c r="O119" s="478"/>
      <c r="P119" s="478"/>
      <c r="Q119" s="478"/>
      <c r="R119" s="576"/>
      <c r="S119" s="576"/>
      <c r="T119" s="576"/>
      <c r="U119" s="576"/>
      <c r="V119" s="576"/>
      <c r="W119" s="381"/>
      <c r="X119" s="381"/>
    </row>
    <row r="120" spans="2:24" s="371" customFormat="1" x14ac:dyDescent="0.2">
      <c r="B120" s="477"/>
      <c r="C120" s="478"/>
      <c r="D120" s="478"/>
      <c r="E120" s="478"/>
      <c r="F120" s="478"/>
      <c r="G120" s="478"/>
      <c r="H120" s="477"/>
      <c r="I120" s="478"/>
      <c r="J120" s="478"/>
      <c r="K120" s="478"/>
      <c r="L120" s="478"/>
      <c r="M120" s="478"/>
      <c r="N120" s="478"/>
      <c r="O120" s="478"/>
      <c r="P120" s="478"/>
      <c r="Q120" s="478"/>
      <c r="R120" s="576"/>
      <c r="S120" s="576"/>
      <c r="T120" s="576"/>
      <c r="U120" s="576"/>
      <c r="V120" s="576"/>
      <c r="W120" s="381"/>
      <c r="X120" s="381"/>
    </row>
    <row r="121" spans="2:24" s="371" customFormat="1" x14ac:dyDescent="0.2">
      <c r="B121" s="477"/>
      <c r="C121" s="478"/>
      <c r="D121" s="478"/>
      <c r="E121" s="478"/>
      <c r="F121" s="478"/>
      <c r="G121" s="478"/>
      <c r="H121" s="477"/>
      <c r="I121" s="478"/>
      <c r="J121" s="478"/>
      <c r="K121" s="478"/>
      <c r="L121" s="478"/>
      <c r="M121" s="478"/>
      <c r="N121" s="478"/>
      <c r="O121" s="478"/>
      <c r="P121" s="478"/>
      <c r="Q121" s="478"/>
      <c r="R121" s="576"/>
      <c r="S121" s="576"/>
      <c r="T121" s="576"/>
      <c r="U121" s="576"/>
      <c r="V121" s="576"/>
      <c r="W121" s="381"/>
      <c r="X121" s="381"/>
    </row>
    <row r="122" spans="2:24" s="371" customFormat="1" x14ac:dyDescent="0.2">
      <c r="B122" s="477"/>
      <c r="C122" s="478"/>
      <c r="D122" s="478"/>
      <c r="E122" s="478"/>
      <c r="F122" s="478"/>
      <c r="G122" s="478"/>
      <c r="H122" s="477"/>
      <c r="I122" s="478"/>
      <c r="J122" s="478"/>
      <c r="K122" s="478"/>
      <c r="L122" s="478"/>
      <c r="M122" s="478"/>
      <c r="N122" s="478"/>
      <c r="O122" s="478"/>
      <c r="P122" s="478"/>
      <c r="Q122" s="478"/>
      <c r="R122" s="576"/>
      <c r="S122" s="576"/>
      <c r="T122" s="576"/>
      <c r="U122" s="576"/>
      <c r="V122" s="576"/>
      <c r="W122" s="381"/>
      <c r="X122" s="381"/>
    </row>
    <row r="123" spans="2:24" s="371" customFormat="1" x14ac:dyDescent="0.2">
      <c r="B123" s="477"/>
      <c r="C123" s="478"/>
      <c r="D123" s="478"/>
      <c r="E123" s="478"/>
      <c r="F123" s="478"/>
      <c r="G123" s="478"/>
      <c r="H123" s="477"/>
      <c r="I123" s="478"/>
      <c r="J123" s="478"/>
      <c r="K123" s="478"/>
      <c r="L123" s="478"/>
      <c r="M123" s="478"/>
      <c r="N123" s="478"/>
      <c r="O123" s="478"/>
      <c r="P123" s="478"/>
      <c r="Q123" s="478"/>
      <c r="R123" s="576"/>
      <c r="S123" s="576"/>
      <c r="T123" s="576"/>
      <c r="U123" s="576"/>
      <c r="V123" s="576"/>
      <c r="W123" s="381"/>
      <c r="X123" s="381"/>
    </row>
    <row r="124" spans="2:24" s="371" customFormat="1" x14ac:dyDescent="0.2">
      <c r="B124" s="477"/>
      <c r="C124" s="478"/>
      <c r="D124" s="478"/>
      <c r="E124" s="478"/>
      <c r="F124" s="478"/>
      <c r="G124" s="478"/>
      <c r="H124" s="477"/>
      <c r="I124" s="478"/>
      <c r="J124" s="478"/>
      <c r="K124" s="478"/>
      <c r="L124" s="478"/>
      <c r="M124" s="478"/>
      <c r="N124" s="478"/>
      <c r="O124" s="478"/>
      <c r="P124" s="478"/>
      <c r="Q124" s="478"/>
      <c r="R124" s="576"/>
      <c r="S124" s="576"/>
      <c r="T124" s="576"/>
      <c r="U124" s="576"/>
      <c r="V124" s="576"/>
      <c r="W124" s="381"/>
      <c r="X124" s="381"/>
    </row>
    <row r="125" spans="2:24" s="371" customFormat="1" x14ac:dyDescent="0.2">
      <c r="B125" s="477"/>
      <c r="C125" s="478"/>
      <c r="D125" s="478"/>
      <c r="E125" s="478"/>
      <c r="F125" s="478"/>
      <c r="G125" s="478"/>
      <c r="H125" s="477"/>
      <c r="I125" s="478"/>
      <c r="J125" s="478"/>
      <c r="K125" s="478"/>
      <c r="L125" s="478"/>
      <c r="M125" s="478"/>
      <c r="N125" s="478"/>
      <c r="O125" s="478"/>
      <c r="P125" s="478"/>
      <c r="Q125" s="478"/>
      <c r="R125" s="576"/>
      <c r="S125" s="576"/>
      <c r="T125" s="576"/>
      <c r="U125" s="576"/>
      <c r="V125" s="576"/>
      <c r="W125" s="381"/>
      <c r="X125" s="381"/>
    </row>
    <row r="126" spans="2:24" s="371" customFormat="1" x14ac:dyDescent="0.2">
      <c r="B126" s="477"/>
      <c r="C126" s="478"/>
      <c r="D126" s="478"/>
      <c r="E126" s="478"/>
      <c r="F126" s="478"/>
      <c r="G126" s="478"/>
      <c r="H126" s="477"/>
      <c r="I126" s="478"/>
      <c r="J126" s="478"/>
      <c r="K126" s="478"/>
      <c r="L126" s="478"/>
      <c r="M126" s="478"/>
      <c r="N126" s="478"/>
      <c r="O126" s="478"/>
      <c r="P126" s="478"/>
      <c r="Q126" s="478"/>
      <c r="R126" s="576"/>
      <c r="S126" s="576"/>
      <c r="T126" s="576"/>
      <c r="U126" s="576"/>
      <c r="V126" s="576"/>
      <c r="W126" s="381"/>
      <c r="X126" s="381"/>
    </row>
    <row r="127" spans="2:24" s="371" customFormat="1" x14ac:dyDescent="0.2">
      <c r="B127" s="477"/>
      <c r="C127" s="478"/>
      <c r="D127" s="478"/>
      <c r="E127" s="478"/>
      <c r="F127" s="478"/>
      <c r="G127" s="478"/>
      <c r="H127" s="477"/>
      <c r="I127" s="478"/>
      <c r="J127" s="478"/>
      <c r="K127" s="478"/>
      <c r="L127" s="478"/>
      <c r="M127" s="478"/>
      <c r="N127" s="478"/>
      <c r="O127" s="478"/>
      <c r="P127" s="478"/>
      <c r="Q127" s="478"/>
      <c r="R127" s="576"/>
      <c r="S127" s="576"/>
      <c r="T127" s="576"/>
      <c r="U127" s="576"/>
      <c r="V127" s="576"/>
      <c r="W127" s="381"/>
      <c r="X127" s="381"/>
    </row>
    <row r="128" spans="2:24" s="371" customFormat="1" x14ac:dyDescent="0.2">
      <c r="B128" s="477"/>
      <c r="C128" s="478"/>
      <c r="D128" s="478"/>
      <c r="E128" s="478"/>
      <c r="F128" s="478"/>
      <c r="G128" s="478"/>
      <c r="H128" s="477"/>
      <c r="I128" s="478"/>
      <c r="J128" s="478"/>
      <c r="K128" s="478"/>
      <c r="L128" s="478"/>
      <c r="M128" s="478"/>
      <c r="N128" s="478"/>
      <c r="O128" s="478"/>
      <c r="P128" s="478"/>
      <c r="Q128" s="478"/>
      <c r="R128" s="576"/>
      <c r="S128" s="576"/>
      <c r="T128" s="576"/>
      <c r="U128" s="576"/>
      <c r="V128" s="576"/>
      <c r="W128" s="381"/>
      <c r="X128" s="381"/>
    </row>
    <row r="129" spans="2:24" s="371" customFormat="1" x14ac:dyDescent="0.2">
      <c r="B129" s="477"/>
      <c r="C129" s="478"/>
      <c r="D129" s="478"/>
      <c r="E129" s="478"/>
      <c r="F129" s="478"/>
      <c r="G129" s="478"/>
      <c r="H129" s="477"/>
      <c r="I129" s="478"/>
      <c r="J129" s="478"/>
      <c r="K129" s="478"/>
      <c r="L129" s="478"/>
      <c r="M129" s="478"/>
      <c r="N129" s="478"/>
      <c r="O129" s="478"/>
      <c r="P129" s="478"/>
      <c r="Q129" s="478"/>
      <c r="R129" s="576"/>
      <c r="S129" s="576"/>
      <c r="T129" s="576"/>
      <c r="U129" s="576"/>
      <c r="V129" s="576"/>
      <c r="W129" s="381"/>
      <c r="X129" s="381"/>
    </row>
    <row r="130" spans="2:24" s="371" customFormat="1" x14ac:dyDescent="0.2">
      <c r="B130" s="477"/>
      <c r="C130" s="478"/>
      <c r="D130" s="478"/>
      <c r="E130" s="478"/>
      <c r="F130" s="478"/>
      <c r="G130" s="478"/>
      <c r="H130" s="477"/>
      <c r="I130" s="478"/>
      <c r="J130" s="478"/>
      <c r="K130" s="478"/>
      <c r="L130" s="478"/>
      <c r="M130" s="478"/>
      <c r="N130" s="478"/>
      <c r="O130" s="478"/>
      <c r="P130" s="478"/>
      <c r="Q130" s="478"/>
      <c r="R130" s="576"/>
      <c r="S130" s="576"/>
      <c r="T130" s="576"/>
      <c r="U130" s="576"/>
      <c r="V130" s="576"/>
      <c r="W130" s="381"/>
      <c r="X130" s="381"/>
    </row>
    <row r="131" spans="2:24" s="371" customFormat="1" x14ac:dyDescent="0.2">
      <c r="B131" s="477"/>
      <c r="C131" s="478"/>
      <c r="D131" s="478"/>
      <c r="E131" s="478"/>
      <c r="F131" s="478"/>
      <c r="G131" s="478"/>
      <c r="H131" s="477"/>
      <c r="I131" s="478"/>
      <c r="J131" s="478"/>
      <c r="K131" s="478"/>
      <c r="L131" s="478"/>
      <c r="M131" s="478"/>
      <c r="N131" s="478"/>
      <c r="O131" s="478"/>
      <c r="P131" s="478"/>
      <c r="Q131" s="478"/>
      <c r="R131" s="576"/>
      <c r="S131" s="576"/>
      <c r="T131" s="576"/>
      <c r="U131" s="576"/>
      <c r="V131" s="576"/>
      <c r="W131" s="381"/>
      <c r="X131" s="381"/>
    </row>
    <row r="132" spans="2:24" s="371" customFormat="1" x14ac:dyDescent="0.2">
      <c r="B132" s="477"/>
      <c r="C132" s="478"/>
      <c r="D132" s="478"/>
      <c r="E132" s="478"/>
      <c r="F132" s="478"/>
      <c r="G132" s="478"/>
      <c r="H132" s="477"/>
      <c r="I132" s="478"/>
      <c r="J132" s="478"/>
      <c r="K132" s="478"/>
      <c r="L132" s="478"/>
      <c r="M132" s="478"/>
      <c r="N132" s="478"/>
      <c r="O132" s="478"/>
      <c r="P132" s="478"/>
      <c r="Q132" s="478"/>
      <c r="R132" s="576"/>
      <c r="S132" s="576"/>
      <c r="T132" s="576"/>
      <c r="U132" s="576"/>
      <c r="V132" s="576"/>
      <c r="W132" s="381"/>
      <c r="X132" s="381"/>
    </row>
    <row r="133" spans="2:24" s="371" customFormat="1" x14ac:dyDescent="0.2">
      <c r="B133" s="477"/>
      <c r="C133" s="478"/>
      <c r="D133" s="478"/>
      <c r="E133" s="478"/>
      <c r="F133" s="478"/>
      <c r="G133" s="478"/>
      <c r="H133" s="477"/>
      <c r="I133" s="478"/>
      <c r="J133" s="478"/>
      <c r="K133" s="478"/>
      <c r="L133" s="478"/>
      <c r="M133" s="478"/>
      <c r="N133" s="478"/>
      <c r="O133" s="478"/>
      <c r="P133" s="478"/>
      <c r="Q133" s="478"/>
      <c r="R133" s="576"/>
      <c r="S133" s="576"/>
      <c r="T133" s="576"/>
      <c r="U133" s="576"/>
      <c r="V133" s="576"/>
      <c r="W133" s="381"/>
      <c r="X133" s="381"/>
    </row>
    <row r="134" spans="2:24" s="371" customFormat="1" x14ac:dyDescent="0.2">
      <c r="B134" s="477"/>
      <c r="C134" s="478"/>
      <c r="D134" s="478"/>
      <c r="E134" s="478"/>
      <c r="F134" s="478"/>
      <c r="G134" s="478"/>
      <c r="H134" s="477"/>
      <c r="I134" s="478"/>
      <c r="J134" s="478"/>
      <c r="K134" s="478"/>
      <c r="L134" s="478"/>
      <c r="M134" s="478"/>
      <c r="N134" s="478"/>
      <c r="O134" s="478"/>
      <c r="P134" s="478"/>
      <c r="Q134" s="478"/>
      <c r="R134" s="576"/>
      <c r="S134" s="576"/>
      <c r="T134" s="576"/>
      <c r="U134" s="576"/>
      <c r="V134" s="576"/>
      <c r="W134" s="381"/>
      <c r="X134" s="381"/>
    </row>
    <row r="135" spans="2:24" s="371" customFormat="1" x14ac:dyDescent="0.2">
      <c r="B135" s="477"/>
      <c r="C135" s="478"/>
      <c r="D135" s="478"/>
      <c r="E135" s="478"/>
      <c r="F135" s="478"/>
      <c r="G135" s="478"/>
      <c r="H135" s="477"/>
      <c r="I135" s="478"/>
      <c r="J135" s="478"/>
      <c r="K135" s="478"/>
      <c r="L135" s="478"/>
      <c r="M135" s="478"/>
      <c r="N135" s="478"/>
      <c r="O135" s="478"/>
      <c r="P135" s="478"/>
      <c r="Q135" s="478"/>
      <c r="R135" s="576"/>
      <c r="S135" s="576"/>
      <c r="T135" s="576"/>
      <c r="U135" s="576"/>
      <c r="V135" s="576"/>
      <c r="W135" s="381"/>
      <c r="X135" s="381"/>
    </row>
    <row r="136" spans="2:24" s="371" customFormat="1" x14ac:dyDescent="0.2">
      <c r="B136" s="477"/>
      <c r="C136" s="478"/>
      <c r="D136" s="478"/>
      <c r="E136" s="478"/>
      <c r="F136" s="478"/>
      <c r="G136" s="478"/>
      <c r="H136" s="477"/>
      <c r="I136" s="478"/>
      <c r="J136" s="478"/>
      <c r="K136" s="478"/>
      <c r="L136" s="478"/>
      <c r="M136" s="478"/>
      <c r="N136" s="478"/>
      <c r="O136" s="478"/>
      <c r="P136" s="478"/>
      <c r="Q136" s="478"/>
      <c r="R136" s="576"/>
      <c r="S136" s="576"/>
      <c r="T136" s="576"/>
      <c r="U136" s="576"/>
      <c r="V136" s="576"/>
      <c r="W136" s="381"/>
      <c r="X136" s="381"/>
    </row>
    <row r="137" spans="2:24" s="371" customFormat="1" x14ac:dyDescent="0.2">
      <c r="B137" s="477"/>
      <c r="C137" s="478"/>
      <c r="D137" s="478"/>
      <c r="E137" s="478"/>
      <c r="F137" s="478"/>
      <c r="G137" s="478"/>
      <c r="H137" s="477"/>
      <c r="I137" s="478"/>
      <c r="J137" s="478"/>
      <c r="K137" s="478"/>
      <c r="L137" s="478"/>
      <c r="M137" s="478"/>
      <c r="N137" s="478"/>
      <c r="O137" s="478"/>
      <c r="P137" s="478"/>
      <c r="Q137" s="478"/>
      <c r="R137" s="576"/>
      <c r="S137" s="576"/>
      <c r="T137" s="576"/>
      <c r="U137" s="576"/>
      <c r="V137" s="576"/>
      <c r="W137" s="381"/>
      <c r="X137" s="381"/>
    </row>
    <row r="138" spans="2:24" s="371" customFormat="1" x14ac:dyDescent="0.2">
      <c r="B138" s="477"/>
      <c r="C138" s="478"/>
      <c r="D138" s="478"/>
      <c r="E138" s="478"/>
      <c r="F138" s="478"/>
      <c r="G138" s="478"/>
      <c r="H138" s="477"/>
      <c r="I138" s="478"/>
      <c r="J138" s="478"/>
      <c r="K138" s="478"/>
      <c r="L138" s="478"/>
      <c r="M138" s="478"/>
      <c r="N138" s="478"/>
      <c r="O138" s="478"/>
      <c r="P138" s="478"/>
      <c r="Q138" s="478"/>
      <c r="R138" s="576"/>
      <c r="S138" s="576"/>
      <c r="T138" s="576"/>
      <c r="U138" s="576"/>
      <c r="V138" s="576"/>
      <c r="W138" s="381"/>
      <c r="X138" s="381"/>
    </row>
    <row r="139" spans="2:24" s="371" customFormat="1" x14ac:dyDescent="0.2">
      <c r="B139" s="477"/>
      <c r="C139" s="478"/>
      <c r="D139" s="478"/>
      <c r="E139" s="478"/>
      <c r="F139" s="478"/>
      <c r="G139" s="478"/>
      <c r="H139" s="477"/>
      <c r="I139" s="478"/>
      <c r="J139" s="478"/>
      <c r="K139" s="478"/>
      <c r="L139" s="478"/>
      <c r="M139" s="478"/>
      <c r="N139" s="478"/>
      <c r="O139" s="478"/>
      <c r="P139" s="478"/>
      <c r="Q139" s="478"/>
      <c r="R139" s="576"/>
      <c r="S139" s="576"/>
      <c r="T139" s="576"/>
      <c r="U139" s="576"/>
      <c r="V139" s="576"/>
      <c r="W139" s="381"/>
      <c r="X139" s="381"/>
    </row>
    <row r="140" spans="2:24" s="371" customFormat="1" x14ac:dyDescent="0.2">
      <c r="B140" s="477"/>
      <c r="C140" s="478"/>
      <c r="D140" s="478"/>
      <c r="E140" s="478"/>
      <c r="F140" s="478"/>
      <c r="G140" s="478"/>
      <c r="H140" s="477"/>
      <c r="I140" s="478"/>
      <c r="J140" s="478"/>
      <c r="K140" s="478"/>
      <c r="L140" s="478"/>
      <c r="M140" s="478"/>
      <c r="N140" s="478"/>
      <c r="O140" s="478"/>
      <c r="P140" s="478"/>
      <c r="Q140" s="478"/>
      <c r="R140" s="576"/>
      <c r="S140" s="576"/>
      <c r="T140" s="576"/>
      <c r="U140" s="576"/>
      <c r="V140" s="576"/>
      <c r="W140" s="381"/>
      <c r="X140" s="381"/>
    </row>
    <row r="141" spans="2:24" s="371" customFormat="1" x14ac:dyDescent="0.2">
      <c r="B141" s="477"/>
      <c r="C141" s="478"/>
      <c r="D141" s="478"/>
      <c r="E141" s="478"/>
      <c r="F141" s="478"/>
      <c r="G141" s="478"/>
      <c r="H141" s="477"/>
      <c r="I141" s="478"/>
      <c r="J141" s="478"/>
      <c r="K141" s="478"/>
      <c r="L141" s="478"/>
      <c r="M141" s="478"/>
      <c r="N141" s="478"/>
      <c r="O141" s="478"/>
      <c r="P141" s="478"/>
      <c r="Q141" s="478"/>
      <c r="R141" s="576"/>
      <c r="S141" s="576"/>
      <c r="T141" s="576"/>
      <c r="U141" s="576"/>
      <c r="V141" s="576"/>
      <c r="W141" s="381"/>
      <c r="X141" s="381"/>
    </row>
    <row r="142" spans="2:24" s="371" customFormat="1" x14ac:dyDescent="0.2">
      <c r="B142" s="477"/>
      <c r="C142" s="478"/>
      <c r="D142" s="478"/>
      <c r="E142" s="478"/>
      <c r="F142" s="478"/>
      <c r="G142" s="478"/>
      <c r="H142" s="477"/>
      <c r="I142" s="478"/>
      <c r="J142" s="478"/>
      <c r="K142" s="478"/>
      <c r="L142" s="478"/>
      <c r="M142" s="478"/>
      <c r="N142" s="478"/>
      <c r="O142" s="478"/>
      <c r="P142" s="478"/>
      <c r="Q142" s="478"/>
      <c r="R142" s="576"/>
      <c r="S142" s="576"/>
      <c r="T142" s="576"/>
      <c r="U142" s="576"/>
      <c r="V142" s="576"/>
      <c r="W142" s="381"/>
      <c r="X142" s="381"/>
    </row>
    <row r="143" spans="2:24" s="371" customFormat="1" x14ac:dyDescent="0.2">
      <c r="B143" s="477"/>
      <c r="C143" s="478"/>
      <c r="D143" s="478"/>
      <c r="E143" s="478"/>
      <c r="F143" s="478"/>
      <c r="G143" s="478"/>
      <c r="H143" s="477"/>
      <c r="I143" s="478"/>
      <c r="J143" s="478"/>
      <c r="K143" s="478"/>
      <c r="L143" s="478"/>
      <c r="M143" s="478"/>
      <c r="N143" s="478"/>
      <c r="O143" s="478"/>
      <c r="P143" s="478"/>
      <c r="Q143" s="478"/>
      <c r="R143" s="576"/>
      <c r="S143" s="576"/>
      <c r="T143" s="576"/>
      <c r="U143" s="576"/>
      <c r="V143" s="576"/>
      <c r="W143" s="381"/>
      <c r="X143" s="381"/>
    </row>
    <row r="144" spans="2:24" s="371" customFormat="1" x14ac:dyDescent="0.2">
      <c r="B144" s="477"/>
      <c r="C144" s="478"/>
      <c r="D144" s="478"/>
      <c r="E144" s="478"/>
      <c r="F144" s="478"/>
      <c r="G144" s="478"/>
      <c r="H144" s="477"/>
      <c r="I144" s="478"/>
      <c r="J144" s="478"/>
      <c r="K144" s="478"/>
      <c r="L144" s="478"/>
      <c r="M144" s="478"/>
      <c r="N144" s="478"/>
      <c r="O144" s="478"/>
      <c r="P144" s="478"/>
      <c r="Q144" s="478"/>
      <c r="R144" s="576"/>
      <c r="S144" s="576"/>
      <c r="T144" s="576"/>
      <c r="U144" s="576"/>
      <c r="V144" s="576"/>
      <c r="W144" s="381"/>
      <c r="X144" s="381"/>
    </row>
    <row r="145" spans="2:24" s="371" customFormat="1" x14ac:dyDescent="0.2">
      <c r="B145" s="477"/>
      <c r="C145" s="478"/>
      <c r="D145" s="478"/>
      <c r="E145" s="478"/>
      <c r="F145" s="478"/>
      <c r="G145" s="478"/>
      <c r="H145" s="477"/>
      <c r="I145" s="478"/>
      <c r="J145" s="478"/>
      <c r="K145" s="478"/>
      <c r="L145" s="478"/>
      <c r="M145" s="478"/>
      <c r="N145" s="478"/>
      <c r="O145" s="478"/>
      <c r="P145" s="478"/>
      <c r="Q145" s="478"/>
      <c r="R145" s="576"/>
      <c r="S145" s="576"/>
      <c r="T145" s="576"/>
      <c r="U145" s="576"/>
      <c r="V145" s="576"/>
      <c r="W145" s="381"/>
      <c r="X145" s="381"/>
    </row>
    <row r="146" spans="2:24" s="371" customFormat="1" x14ac:dyDescent="0.2">
      <c r="B146" s="477"/>
      <c r="C146" s="478"/>
      <c r="D146" s="478"/>
      <c r="E146" s="478"/>
      <c r="F146" s="478"/>
      <c r="G146" s="478"/>
      <c r="H146" s="477"/>
      <c r="I146" s="478"/>
      <c r="J146" s="478"/>
      <c r="K146" s="478"/>
      <c r="L146" s="478"/>
      <c r="M146" s="478"/>
      <c r="N146" s="478"/>
      <c r="O146" s="478"/>
      <c r="P146" s="478"/>
      <c r="Q146" s="478"/>
      <c r="R146" s="576"/>
      <c r="S146" s="576"/>
      <c r="T146" s="576"/>
      <c r="U146" s="576"/>
      <c r="V146" s="576"/>
      <c r="W146" s="381"/>
      <c r="X146" s="381"/>
    </row>
    <row r="147" spans="2:24" s="371" customFormat="1" x14ac:dyDescent="0.2">
      <c r="B147" s="477"/>
      <c r="C147" s="478"/>
      <c r="D147" s="478"/>
      <c r="E147" s="478"/>
      <c r="F147" s="478"/>
      <c r="G147" s="478"/>
      <c r="H147" s="477"/>
      <c r="I147" s="478"/>
      <c r="J147" s="478"/>
      <c r="K147" s="478"/>
      <c r="L147" s="478"/>
      <c r="M147" s="478"/>
      <c r="N147" s="478"/>
      <c r="O147" s="478"/>
      <c r="P147" s="478"/>
      <c r="Q147" s="478"/>
      <c r="R147" s="576"/>
      <c r="S147" s="576"/>
      <c r="T147" s="576"/>
      <c r="U147" s="576"/>
      <c r="V147" s="576"/>
      <c r="W147" s="381"/>
      <c r="X147" s="381"/>
    </row>
    <row r="148" spans="2:24" s="371" customFormat="1" x14ac:dyDescent="0.2">
      <c r="B148" s="477"/>
      <c r="C148" s="478"/>
      <c r="D148" s="478"/>
      <c r="E148" s="478"/>
      <c r="F148" s="478"/>
      <c r="G148" s="478"/>
      <c r="H148" s="477"/>
      <c r="I148" s="478"/>
      <c r="J148" s="478"/>
      <c r="K148" s="478"/>
      <c r="L148" s="478"/>
      <c r="M148" s="478"/>
      <c r="N148" s="478"/>
      <c r="O148" s="478"/>
      <c r="P148" s="478"/>
      <c r="Q148" s="478"/>
      <c r="R148" s="576"/>
      <c r="S148" s="576"/>
      <c r="T148" s="576"/>
      <c r="U148" s="576"/>
      <c r="V148" s="576"/>
      <c r="W148" s="381"/>
      <c r="X148" s="381"/>
    </row>
    <row r="149" spans="2:24" s="371" customFormat="1" x14ac:dyDescent="0.2">
      <c r="B149" s="477"/>
      <c r="C149" s="478"/>
      <c r="D149" s="478"/>
      <c r="E149" s="478"/>
      <c r="F149" s="478"/>
      <c r="G149" s="478"/>
      <c r="H149" s="477"/>
      <c r="I149" s="478"/>
      <c r="J149" s="478"/>
      <c r="K149" s="478"/>
      <c r="L149" s="478"/>
      <c r="M149" s="478"/>
      <c r="N149" s="478"/>
      <c r="O149" s="478"/>
      <c r="P149" s="478"/>
      <c r="Q149" s="478"/>
      <c r="R149" s="576"/>
      <c r="S149" s="576"/>
      <c r="T149" s="576"/>
      <c r="U149" s="576"/>
      <c r="V149" s="576"/>
      <c r="W149" s="381"/>
      <c r="X149" s="381"/>
    </row>
    <row r="150" spans="2:24" s="371" customFormat="1" x14ac:dyDescent="0.2">
      <c r="B150" s="477"/>
      <c r="C150" s="478"/>
      <c r="D150" s="478"/>
      <c r="E150" s="478"/>
      <c r="F150" s="478"/>
      <c r="G150" s="478"/>
      <c r="H150" s="477"/>
      <c r="I150" s="478"/>
      <c r="J150" s="478"/>
      <c r="K150" s="478"/>
      <c r="L150" s="478"/>
      <c r="M150" s="478"/>
      <c r="N150" s="478"/>
      <c r="O150" s="478"/>
      <c r="P150" s="478"/>
      <c r="Q150" s="478"/>
      <c r="R150" s="576"/>
      <c r="S150" s="576"/>
      <c r="T150" s="576"/>
      <c r="U150" s="576"/>
      <c r="V150" s="576"/>
      <c r="W150" s="381"/>
      <c r="X150" s="381"/>
    </row>
    <row r="151" spans="2:24" s="371" customFormat="1" x14ac:dyDescent="0.2">
      <c r="B151" s="477"/>
      <c r="C151" s="478"/>
      <c r="D151" s="478"/>
      <c r="E151" s="478"/>
      <c r="F151" s="478"/>
      <c r="G151" s="478"/>
      <c r="H151" s="477"/>
      <c r="I151" s="478"/>
      <c r="J151" s="478"/>
      <c r="K151" s="478"/>
      <c r="L151" s="478"/>
      <c r="M151" s="478"/>
      <c r="N151" s="478"/>
      <c r="O151" s="478"/>
      <c r="P151" s="478"/>
      <c r="Q151" s="478"/>
      <c r="R151" s="576"/>
      <c r="S151" s="576"/>
      <c r="T151" s="576"/>
      <c r="U151" s="576"/>
      <c r="V151" s="576"/>
      <c r="W151" s="381"/>
      <c r="X151" s="381"/>
    </row>
    <row r="152" spans="2:24" s="371" customFormat="1" x14ac:dyDescent="0.2">
      <c r="B152" s="477"/>
      <c r="C152" s="478"/>
      <c r="D152" s="478"/>
      <c r="E152" s="478"/>
      <c r="F152" s="478"/>
      <c r="G152" s="478"/>
      <c r="H152" s="477"/>
      <c r="I152" s="478"/>
      <c r="J152" s="478"/>
      <c r="K152" s="478"/>
      <c r="L152" s="478"/>
      <c r="M152" s="478"/>
      <c r="N152" s="478"/>
      <c r="O152" s="478"/>
      <c r="P152" s="478"/>
      <c r="Q152" s="478"/>
      <c r="R152" s="576"/>
      <c r="S152" s="576"/>
      <c r="T152" s="576"/>
      <c r="U152" s="576"/>
      <c r="V152" s="576"/>
      <c r="W152" s="381"/>
      <c r="X152" s="381"/>
    </row>
    <row r="153" spans="2:24" s="371" customFormat="1" x14ac:dyDescent="0.2">
      <c r="B153" s="477"/>
      <c r="C153" s="478"/>
      <c r="D153" s="478"/>
      <c r="E153" s="478"/>
      <c r="F153" s="478"/>
      <c r="G153" s="478"/>
      <c r="H153" s="477"/>
      <c r="I153" s="478"/>
      <c r="J153" s="478"/>
      <c r="K153" s="478"/>
      <c r="L153" s="478"/>
      <c r="M153" s="478"/>
      <c r="N153" s="478"/>
      <c r="O153" s="478"/>
      <c r="P153" s="478"/>
      <c r="Q153" s="478"/>
      <c r="R153" s="576"/>
      <c r="S153" s="576"/>
      <c r="T153" s="576"/>
      <c r="U153" s="576"/>
      <c r="V153" s="576"/>
      <c r="W153" s="381"/>
      <c r="X153" s="381"/>
    </row>
    <row r="154" spans="2:24" s="371" customFormat="1" x14ac:dyDescent="0.2">
      <c r="B154" s="477"/>
      <c r="C154" s="478"/>
      <c r="D154" s="478"/>
      <c r="E154" s="478"/>
      <c r="F154" s="478"/>
      <c r="G154" s="478"/>
      <c r="H154" s="477"/>
      <c r="I154" s="478"/>
      <c r="J154" s="478"/>
      <c r="K154" s="478"/>
      <c r="L154" s="478"/>
      <c r="M154" s="478"/>
      <c r="N154" s="478"/>
      <c r="O154" s="478"/>
      <c r="P154" s="478"/>
      <c r="Q154" s="478"/>
      <c r="R154" s="576"/>
      <c r="S154" s="576"/>
      <c r="T154" s="576"/>
      <c r="U154" s="576"/>
      <c r="V154" s="576"/>
      <c r="W154" s="381"/>
      <c r="X154" s="381"/>
    </row>
    <row r="155" spans="2:24" s="371" customFormat="1" x14ac:dyDescent="0.2">
      <c r="B155" s="477"/>
      <c r="C155" s="478"/>
      <c r="D155" s="478"/>
      <c r="E155" s="478"/>
      <c r="F155" s="478"/>
      <c r="G155" s="478"/>
      <c r="H155" s="477"/>
      <c r="I155" s="478"/>
      <c r="J155" s="478"/>
      <c r="K155" s="478"/>
      <c r="L155" s="478"/>
      <c r="M155" s="478"/>
      <c r="N155" s="478"/>
      <c r="O155" s="478"/>
      <c r="P155" s="478"/>
      <c r="Q155" s="478"/>
      <c r="R155" s="576"/>
      <c r="S155" s="576"/>
      <c r="T155" s="576"/>
      <c r="U155" s="576"/>
      <c r="V155" s="576"/>
      <c r="W155" s="381"/>
      <c r="X155" s="381"/>
    </row>
    <row r="156" spans="2:24" s="371" customFormat="1" x14ac:dyDescent="0.2">
      <c r="B156" s="477"/>
      <c r="C156" s="478"/>
      <c r="D156" s="478"/>
      <c r="E156" s="478"/>
      <c r="F156" s="478"/>
      <c r="G156" s="478"/>
      <c r="H156" s="477"/>
      <c r="I156" s="478"/>
      <c r="J156" s="478"/>
      <c r="K156" s="478"/>
      <c r="L156" s="478"/>
      <c r="M156" s="478"/>
      <c r="N156" s="478"/>
      <c r="O156" s="478"/>
      <c r="P156" s="478"/>
      <c r="Q156" s="478"/>
      <c r="R156" s="576"/>
      <c r="S156" s="576"/>
      <c r="T156" s="576"/>
      <c r="U156" s="576"/>
      <c r="V156" s="576"/>
      <c r="W156" s="381"/>
      <c r="X156" s="381"/>
    </row>
    <row r="157" spans="2:24" s="371" customFormat="1" x14ac:dyDescent="0.2">
      <c r="B157" s="477"/>
      <c r="C157" s="478"/>
      <c r="D157" s="478"/>
      <c r="E157" s="478"/>
      <c r="F157" s="478"/>
      <c r="G157" s="478"/>
      <c r="H157" s="477"/>
      <c r="I157" s="478"/>
      <c r="J157" s="478"/>
      <c r="K157" s="478"/>
      <c r="L157" s="478"/>
      <c r="M157" s="478"/>
      <c r="N157" s="478"/>
      <c r="O157" s="478"/>
      <c r="P157" s="478"/>
      <c r="Q157" s="478"/>
      <c r="R157" s="576"/>
      <c r="S157" s="576"/>
      <c r="T157" s="576"/>
      <c r="U157" s="576"/>
      <c r="V157" s="576"/>
      <c r="W157" s="381"/>
      <c r="X157" s="381"/>
    </row>
    <row r="158" spans="2:24" s="371" customFormat="1" x14ac:dyDescent="0.2">
      <c r="B158" s="477"/>
      <c r="C158" s="478"/>
      <c r="D158" s="478"/>
      <c r="E158" s="478"/>
      <c r="F158" s="478"/>
      <c r="G158" s="478"/>
      <c r="H158" s="477"/>
      <c r="I158" s="478"/>
      <c r="J158" s="478"/>
      <c r="K158" s="478"/>
      <c r="L158" s="478"/>
      <c r="M158" s="478"/>
      <c r="N158" s="478"/>
      <c r="O158" s="478"/>
      <c r="P158" s="478"/>
      <c r="Q158" s="478"/>
      <c r="R158" s="576"/>
      <c r="S158" s="576"/>
      <c r="T158" s="576"/>
      <c r="U158" s="576"/>
      <c r="V158" s="576"/>
      <c r="W158" s="381"/>
      <c r="X158" s="381"/>
    </row>
    <row r="159" spans="2:24" s="371" customFormat="1" x14ac:dyDescent="0.2">
      <c r="B159" s="477"/>
      <c r="C159" s="478"/>
      <c r="D159" s="478"/>
      <c r="E159" s="478"/>
      <c r="F159" s="478"/>
      <c r="G159" s="478"/>
      <c r="H159" s="477"/>
      <c r="I159" s="478"/>
      <c r="J159" s="478"/>
      <c r="K159" s="478"/>
      <c r="L159" s="478"/>
      <c r="M159" s="478"/>
      <c r="N159" s="478"/>
      <c r="O159" s="478"/>
      <c r="P159" s="478"/>
      <c r="Q159" s="478"/>
      <c r="R159" s="576"/>
      <c r="S159" s="576"/>
      <c r="T159" s="576"/>
      <c r="U159" s="576"/>
      <c r="V159" s="576"/>
      <c r="W159" s="381"/>
      <c r="X159" s="381"/>
    </row>
    <row r="160" spans="2:24" s="371" customFormat="1" x14ac:dyDescent="0.2">
      <c r="B160" s="477"/>
      <c r="C160" s="478"/>
      <c r="D160" s="478"/>
      <c r="E160" s="478"/>
      <c r="F160" s="478"/>
      <c r="G160" s="478"/>
      <c r="H160" s="477"/>
      <c r="I160" s="478"/>
      <c r="J160" s="478"/>
      <c r="K160" s="478"/>
      <c r="L160" s="478"/>
      <c r="M160" s="478"/>
      <c r="N160" s="478"/>
      <c r="O160" s="478"/>
      <c r="P160" s="478"/>
      <c r="Q160" s="478"/>
      <c r="R160" s="576"/>
      <c r="S160" s="576"/>
      <c r="T160" s="576"/>
      <c r="U160" s="576"/>
      <c r="V160" s="576"/>
      <c r="W160" s="381"/>
      <c r="X160" s="381"/>
    </row>
    <row r="161" spans="1:43" s="371" customFormat="1" x14ac:dyDescent="0.2">
      <c r="B161" s="477"/>
      <c r="C161" s="478"/>
      <c r="D161" s="478"/>
      <c r="E161" s="478"/>
      <c r="F161" s="478"/>
      <c r="G161" s="478"/>
      <c r="H161" s="477"/>
      <c r="I161" s="478"/>
      <c r="J161" s="478"/>
      <c r="K161" s="478"/>
      <c r="L161" s="478"/>
      <c r="M161" s="478"/>
      <c r="N161" s="478"/>
      <c r="O161" s="478"/>
      <c r="P161" s="478"/>
      <c r="Q161" s="478"/>
      <c r="R161" s="576"/>
      <c r="S161" s="576"/>
      <c r="T161" s="576"/>
      <c r="U161" s="576"/>
      <c r="V161" s="576"/>
      <c r="W161" s="381"/>
      <c r="X161" s="381"/>
    </row>
    <row r="162" spans="1:43" s="371" customFormat="1" x14ac:dyDescent="0.2">
      <c r="B162" s="477"/>
      <c r="C162" s="478"/>
      <c r="D162" s="478"/>
      <c r="E162" s="478"/>
      <c r="F162" s="478"/>
      <c r="G162" s="478"/>
      <c r="H162" s="477"/>
      <c r="I162" s="478"/>
      <c r="J162" s="478"/>
      <c r="K162" s="478"/>
      <c r="L162" s="478"/>
      <c r="M162" s="478"/>
      <c r="N162" s="478"/>
      <c r="O162" s="478"/>
      <c r="P162" s="478"/>
      <c r="Q162" s="478"/>
      <c r="R162" s="576"/>
      <c r="S162" s="576"/>
      <c r="T162" s="576"/>
      <c r="U162" s="576"/>
      <c r="V162" s="576"/>
      <c r="W162" s="381"/>
      <c r="X162" s="381"/>
    </row>
    <row r="163" spans="1:43" s="371" customFormat="1" x14ac:dyDescent="0.2">
      <c r="B163" s="477"/>
      <c r="C163" s="478"/>
      <c r="D163" s="478"/>
      <c r="E163" s="478"/>
      <c r="F163" s="478"/>
      <c r="G163" s="478"/>
      <c r="H163" s="477"/>
      <c r="I163" s="478"/>
      <c r="J163" s="478"/>
      <c r="K163" s="478"/>
      <c r="L163" s="478"/>
      <c r="M163" s="478"/>
      <c r="N163" s="478"/>
      <c r="O163" s="478"/>
      <c r="P163" s="478"/>
      <c r="Q163" s="478"/>
      <c r="R163" s="576"/>
      <c r="S163" s="576"/>
      <c r="T163" s="576"/>
      <c r="U163" s="576"/>
      <c r="V163" s="576"/>
      <c r="W163" s="381"/>
      <c r="X163" s="381"/>
    </row>
    <row r="164" spans="1:43" s="371" customFormat="1" x14ac:dyDescent="0.2">
      <c r="B164" s="477"/>
      <c r="C164" s="478"/>
      <c r="D164" s="478"/>
      <c r="E164" s="478"/>
      <c r="F164" s="478"/>
      <c r="G164" s="478"/>
      <c r="H164" s="477"/>
      <c r="I164" s="478"/>
      <c r="J164" s="478"/>
      <c r="K164" s="478"/>
      <c r="L164" s="478"/>
      <c r="M164" s="478"/>
      <c r="N164" s="478"/>
      <c r="O164" s="478"/>
      <c r="P164" s="478"/>
      <c r="Q164" s="478"/>
      <c r="R164" s="576"/>
      <c r="S164" s="576"/>
      <c r="T164" s="576"/>
      <c r="U164" s="576"/>
      <c r="V164" s="576"/>
      <c r="W164" s="381"/>
      <c r="X164" s="381"/>
    </row>
    <row r="165" spans="1:43" s="371" customFormat="1" x14ac:dyDescent="0.2">
      <c r="B165" s="493"/>
      <c r="C165" s="493"/>
      <c r="D165" s="493"/>
      <c r="E165" s="493"/>
      <c r="F165" s="493"/>
      <c r="G165" s="493"/>
      <c r="H165" s="493"/>
      <c r="I165" s="493"/>
      <c r="J165" s="493"/>
      <c r="K165" s="493"/>
      <c r="L165" s="493"/>
      <c r="M165" s="493"/>
      <c r="N165" s="493"/>
      <c r="O165" s="493"/>
      <c r="P165" s="493"/>
      <c r="Q165" s="493"/>
      <c r="R165" s="582"/>
      <c r="S165" s="582"/>
      <c r="T165" s="582"/>
      <c r="U165" s="582"/>
      <c r="V165" s="582"/>
      <c r="W165" s="381"/>
      <c r="X165" s="381"/>
    </row>
    <row r="166" spans="1:43" s="371" customFormat="1" ht="12.75" thickBot="1" x14ac:dyDescent="0.25">
      <c r="B166" s="374" t="s">
        <v>251</v>
      </c>
      <c r="R166" s="551"/>
      <c r="S166" s="551"/>
      <c r="T166" s="551"/>
      <c r="U166" s="551"/>
      <c r="V166" s="551"/>
      <c r="W166" s="381"/>
      <c r="X166" s="381"/>
    </row>
    <row r="167" spans="1:43" x14ac:dyDescent="0.2">
      <c r="A167" s="385"/>
      <c r="B167" s="376" t="s">
        <v>252</v>
      </c>
      <c r="C167" s="377"/>
      <c r="D167" s="377"/>
      <c r="E167" s="377"/>
      <c r="F167" s="377"/>
      <c r="G167" s="377"/>
      <c r="H167" s="494" t="s">
        <v>251</v>
      </c>
      <c r="I167" s="377"/>
      <c r="J167" s="377"/>
      <c r="K167" s="377"/>
      <c r="L167" s="377"/>
      <c r="M167" s="377"/>
      <c r="N167" s="377"/>
      <c r="O167" s="377"/>
      <c r="P167" s="377"/>
      <c r="Q167" s="377"/>
      <c r="R167" s="552"/>
      <c r="S167" s="552"/>
      <c r="T167" s="552"/>
      <c r="U167" s="552"/>
      <c r="V167" s="552"/>
      <c r="W167" s="371"/>
      <c r="X167" s="371"/>
      <c r="Y167" s="385"/>
      <c r="Z167" s="385"/>
      <c r="AA167" s="385"/>
      <c r="AB167" s="385"/>
      <c r="AC167" s="385"/>
      <c r="AD167" s="385"/>
      <c r="AE167" s="385"/>
      <c r="AF167" s="385"/>
      <c r="AG167" s="385"/>
      <c r="AH167" s="385"/>
      <c r="AI167" s="385"/>
      <c r="AJ167" s="385"/>
      <c r="AK167" s="385"/>
      <c r="AL167" s="385"/>
      <c r="AM167" s="385"/>
      <c r="AN167" s="385"/>
      <c r="AO167" s="385"/>
      <c r="AP167" s="385"/>
      <c r="AQ167" s="385"/>
    </row>
    <row r="168" spans="1:43" x14ac:dyDescent="0.2">
      <c r="A168" s="385"/>
      <c r="B168" s="387"/>
      <c r="C168" s="388"/>
      <c r="D168" s="388"/>
      <c r="E168" s="388"/>
      <c r="F168" s="388"/>
      <c r="G168" s="388"/>
      <c r="H168" s="388"/>
      <c r="I168" s="388"/>
      <c r="J168" s="388"/>
      <c r="K168" s="388"/>
      <c r="L168" s="388"/>
      <c r="M168" s="388"/>
      <c r="N168" s="388"/>
      <c r="O168" s="388"/>
      <c r="P168" s="388"/>
      <c r="Q168" s="388"/>
      <c r="R168" s="553"/>
      <c r="S168" s="553"/>
      <c r="T168" s="553"/>
      <c r="U168" s="553"/>
      <c r="V168" s="553"/>
      <c r="W168" s="371"/>
      <c r="X168" s="371"/>
      <c r="Y168" s="385"/>
      <c r="Z168" s="385"/>
      <c r="AA168" s="385"/>
      <c r="AB168" s="385"/>
      <c r="AC168" s="385"/>
      <c r="AD168" s="385"/>
      <c r="AE168" s="385"/>
      <c r="AF168" s="385"/>
      <c r="AG168" s="385"/>
      <c r="AH168" s="385"/>
      <c r="AI168" s="385"/>
      <c r="AJ168" s="385"/>
      <c r="AK168" s="385"/>
      <c r="AL168" s="385"/>
      <c r="AM168" s="385"/>
      <c r="AN168" s="385"/>
      <c r="AO168" s="385"/>
      <c r="AP168" s="385"/>
      <c r="AQ168" s="385"/>
    </row>
    <row r="169" spans="1:43" x14ac:dyDescent="0.2">
      <c r="A169" s="385"/>
      <c r="B169" s="495" t="s">
        <v>206</v>
      </c>
      <c r="C169" s="392">
        <v>2016</v>
      </c>
      <c r="D169" s="392">
        <v>2017</v>
      </c>
      <c r="E169" s="392">
        <v>2018</v>
      </c>
      <c r="F169" s="392">
        <v>2019</v>
      </c>
      <c r="G169" s="392">
        <v>2020</v>
      </c>
      <c r="H169" s="392">
        <v>2021</v>
      </c>
      <c r="I169" s="392"/>
      <c r="J169" s="392"/>
      <c r="K169" s="392"/>
      <c r="L169" s="392"/>
      <c r="M169" s="392"/>
      <c r="N169" s="392"/>
      <c r="O169" s="392"/>
      <c r="P169" s="392"/>
      <c r="Q169" s="392"/>
      <c r="R169" s="554"/>
      <c r="S169" s="554"/>
      <c r="T169" s="554"/>
      <c r="U169" s="554"/>
      <c r="V169" s="554"/>
      <c r="W169" s="381"/>
      <c r="X169" s="381"/>
      <c r="Y169" s="385"/>
      <c r="Z169" s="385"/>
      <c r="AA169" s="385"/>
      <c r="AB169" s="385"/>
      <c r="AC169" s="385"/>
      <c r="AD169" s="385"/>
      <c r="AE169" s="385"/>
      <c r="AF169" s="385"/>
      <c r="AG169" s="385"/>
      <c r="AH169" s="385"/>
      <c r="AI169" s="385"/>
      <c r="AJ169" s="385"/>
      <c r="AK169" s="385"/>
      <c r="AL169" s="385"/>
      <c r="AM169" s="385"/>
      <c r="AN169" s="385"/>
      <c r="AO169" s="385"/>
      <c r="AP169" s="385"/>
      <c r="AQ169" s="385"/>
    </row>
    <row r="170" spans="1:43" x14ac:dyDescent="0.2">
      <c r="A170" s="385"/>
      <c r="B170" s="391" t="s">
        <v>207</v>
      </c>
      <c r="C170" s="402"/>
      <c r="D170" s="398">
        <v>18.09</v>
      </c>
      <c r="E170" s="398">
        <v>18.100000000000001</v>
      </c>
      <c r="F170" s="398">
        <v>18.82</v>
      </c>
      <c r="G170" s="398">
        <v>19.86</v>
      </c>
      <c r="H170" s="398">
        <v>20.88</v>
      </c>
      <c r="I170" s="398"/>
      <c r="J170" s="398"/>
      <c r="K170" s="398"/>
      <c r="L170" s="398"/>
      <c r="M170" s="398"/>
      <c r="N170" s="398"/>
      <c r="O170" s="398"/>
      <c r="P170" s="398"/>
      <c r="Q170" s="398"/>
      <c r="R170" s="555"/>
      <c r="S170" s="555"/>
      <c r="T170" s="555"/>
      <c r="U170" s="555"/>
      <c r="V170" s="555"/>
      <c r="W170" s="381"/>
      <c r="X170" s="381"/>
      <c r="Y170" s="385"/>
      <c r="Z170" s="385"/>
      <c r="AA170" s="385"/>
      <c r="AB170" s="385"/>
      <c r="AC170" s="385"/>
      <c r="AD170" s="385"/>
      <c r="AE170" s="385"/>
      <c r="AF170" s="385"/>
      <c r="AG170" s="385"/>
      <c r="AH170" s="385"/>
      <c r="AI170" s="385"/>
      <c r="AJ170" s="385"/>
      <c r="AK170" s="385"/>
      <c r="AL170" s="385"/>
      <c r="AM170" s="385"/>
      <c r="AN170" s="385"/>
      <c r="AO170" s="385"/>
      <c r="AP170" s="385"/>
      <c r="AQ170" s="385"/>
    </row>
    <row r="171" spans="1:43" x14ac:dyDescent="0.2">
      <c r="A171" s="385"/>
      <c r="B171" s="387" t="s">
        <v>253</v>
      </c>
      <c r="C171" s="388"/>
      <c r="D171" s="410">
        <v>142.33169192075729</v>
      </c>
      <c r="E171" s="410">
        <v>136.4436970825605</v>
      </c>
      <c r="F171" s="410">
        <v>130.55570224436374</v>
      </c>
      <c r="G171" s="410">
        <v>124.66770740616697</v>
      </c>
      <c r="H171" s="410">
        <v>120.6280483658439</v>
      </c>
      <c r="I171" s="410"/>
      <c r="J171" s="410"/>
      <c r="K171" s="410"/>
      <c r="L171" s="410"/>
      <c r="M171" s="410"/>
      <c r="N171" s="410"/>
      <c r="O171" s="410"/>
      <c r="P171" s="410"/>
      <c r="Q171" s="410"/>
      <c r="R171" s="557"/>
      <c r="S171" s="557"/>
      <c r="T171" s="557"/>
      <c r="U171" s="557"/>
      <c r="V171" s="557"/>
      <c r="W171" s="381"/>
      <c r="X171" s="381"/>
      <c r="Y171" s="385"/>
      <c r="Z171" s="385"/>
      <c r="AA171" s="385"/>
      <c r="AB171" s="385"/>
      <c r="AC171" s="385"/>
      <c r="AD171" s="385"/>
      <c r="AE171" s="385"/>
      <c r="AF171" s="385"/>
      <c r="AG171" s="385"/>
      <c r="AH171" s="385"/>
      <c r="AI171" s="385"/>
      <c r="AJ171" s="385"/>
      <c r="AK171" s="385"/>
      <c r="AL171" s="385"/>
      <c r="AM171" s="385"/>
      <c r="AN171" s="385"/>
      <c r="AO171" s="385"/>
      <c r="AP171" s="385"/>
      <c r="AQ171" s="385"/>
    </row>
    <row r="172" spans="1:43" x14ac:dyDescent="0.2">
      <c r="A172" s="385"/>
      <c r="B172" s="409" t="s">
        <v>210</v>
      </c>
      <c r="C172" s="388"/>
      <c r="D172" s="410">
        <f>D171*0.05</f>
        <v>7.1165845960378649</v>
      </c>
      <c r="E172" s="410">
        <f>E171*0.05</f>
        <v>6.8221848541280252</v>
      </c>
      <c r="F172" s="410">
        <f>F171*0.05</f>
        <v>6.5277851122181874</v>
      </c>
      <c r="G172" s="410">
        <f>G171*0.05</f>
        <v>6.2333853703083486</v>
      </c>
      <c r="H172" s="410">
        <f>H171*0.05</f>
        <v>6.0314024182921955</v>
      </c>
      <c r="I172" s="410"/>
      <c r="J172" s="410"/>
      <c r="K172" s="410"/>
      <c r="L172" s="410"/>
      <c r="M172" s="410"/>
      <c r="N172" s="410"/>
      <c r="O172" s="410"/>
      <c r="P172" s="410"/>
      <c r="Q172" s="410"/>
      <c r="R172" s="557"/>
      <c r="S172" s="557"/>
      <c r="T172" s="557"/>
      <c r="U172" s="557"/>
      <c r="V172" s="557"/>
      <c r="W172" s="381"/>
      <c r="X172" s="381"/>
      <c r="Y172" s="385"/>
      <c r="Z172" s="385"/>
      <c r="AA172" s="385"/>
      <c r="AB172" s="385"/>
      <c r="AC172" s="385"/>
      <c r="AD172" s="385"/>
      <c r="AE172" s="385"/>
      <c r="AF172" s="385"/>
      <c r="AG172" s="385"/>
      <c r="AH172" s="385"/>
      <c r="AI172" s="385"/>
      <c r="AJ172" s="385"/>
      <c r="AK172" s="385"/>
      <c r="AL172" s="385"/>
      <c r="AM172" s="385"/>
      <c r="AN172" s="385"/>
      <c r="AO172" s="385"/>
      <c r="AP172" s="385"/>
      <c r="AQ172" s="385"/>
    </row>
    <row r="173" spans="1:43" x14ac:dyDescent="0.2">
      <c r="A173" s="385"/>
      <c r="B173" s="416" t="s">
        <v>212</v>
      </c>
      <c r="C173" s="417"/>
      <c r="D173" s="418">
        <v>29.502350481872782</v>
      </c>
      <c r="E173" s="418">
        <v>28.720874520898647</v>
      </c>
      <c r="F173" s="418">
        <v>27.939398559924509</v>
      </c>
      <c r="G173" s="418">
        <v>27.157922598950375</v>
      </c>
      <c r="H173" s="418">
        <v>26.643317986791903</v>
      </c>
      <c r="I173" s="418"/>
      <c r="J173" s="418"/>
      <c r="K173" s="418"/>
      <c r="L173" s="418"/>
      <c r="M173" s="418"/>
      <c r="N173" s="418"/>
      <c r="O173" s="418"/>
      <c r="P173" s="418"/>
      <c r="Q173" s="418"/>
      <c r="R173" s="558"/>
      <c r="S173" s="558"/>
      <c r="T173" s="558"/>
      <c r="U173" s="558"/>
      <c r="V173" s="558"/>
      <c r="W173" s="381"/>
      <c r="X173" s="381"/>
      <c r="Z173" s="385"/>
      <c r="AA173" s="385"/>
      <c r="AB173" s="385"/>
      <c r="AC173" s="385"/>
      <c r="AD173" s="385"/>
      <c r="AE173" s="385"/>
      <c r="AF173" s="385"/>
      <c r="AG173" s="385"/>
      <c r="AH173" s="385"/>
      <c r="AI173" s="385"/>
      <c r="AJ173" s="385"/>
      <c r="AK173" s="385"/>
      <c r="AL173" s="385"/>
      <c r="AM173" s="385"/>
      <c r="AN173" s="385"/>
      <c r="AO173" s="385"/>
      <c r="AP173" s="385"/>
      <c r="AQ173" s="385"/>
    </row>
    <row r="174" spans="1:43" x14ac:dyDescent="0.2">
      <c r="A174" s="385"/>
      <c r="B174" s="416"/>
      <c r="C174" s="417"/>
      <c r="D174" s="423"/>
      <c r="E174" s="423"/>
      <c r="F174" s="423"/>
      <c r="G174" s="423"/>
      <c r="H174" s="423"/>
      <c r="I174" s="423"/>
      <c r="J174" s="423"/>
      <c r="K174" s="423"/>
      <c r="L174" s="423"/>
      <c r="M174" s="423"/>
      <c r="N174" s="423"/>
      <c r="O174" s="423"/>
      <c r="P174" s="423"/>
      <c r="Q174" s="423"/>
      <c r="R174" s="558"/>
      <c r="S174" s="558"/>
      <c r="T174" s="558"/>
      <c r="U174" s="558"/>
      <c r="V174" s="558"/>
      <c r="W174" s="381"/>
      <c r="X174" s="381"/>
      <c r="Z174" s="385"/>
      <c r="AA174" s="385"/>
      <c r="AB174" s="385"/>
      <c r="AC174" s="385"/>
      <c r="AD174" s="385"/>
      <c r="AE174" s="385"/>
      <c r="AF174" s="385"/>
      <c r="AG174" s="385"/>
      <c r="AH174" s="385"/>
      <c r="AI174" s="385"/>
      <c r="AJ174" s="385"/>
      <c r="AK174" s="385"/>
      <c r="AL174" s="385"/>
      <c r="AM174" s="385"/>
      <c r="AN174" s="385"/>
      <c r="AO174" s="385"/>
      <c r="AP174" s="385"/>
      <c r="AQ174" s="385"/>
    </row>
    <row r="175" spans="1:43" x14ac:dyDescent="0.2">
      <c r="A175" s="385"/>
      <c r="B175" s="409"/>
      <c r="C175" s="388"/>
      <c r="D175" s="410"/>
      <c r="E175" s="410"/>
      <c r="F175" s="410"/>
      <c r="G175" s="410"/>
      <c r="H175" s="410"/>
      <c r="I175" s="410"/>
      <c r="J175" s="410"/>
      <c r="K175" s="410"/>
      <c r="L175" s="410"/>
      <c r="M175" s="410"/>
      <c r="N175" s="410"/>
      <c r="O175" s="410"/>
      <c r="P175" s="410"/>
      <c r="Q175" s="410"/>
      <c r="R175" s="557"/>
      <c r="S175" s="557"/>
      <c r="T175" s="557"/>
      <c r="U175" s="557"/>
      <c r="V175" s="557"/>
      <c r="W175" s="381"/>
      <c r="X175" s="381"/>
      <c r="Z175" s="385"/>
      <c r="AA175" s="385"/>
      <c r="AB175" s="385"/>
      <c r="AC175" s="385"/>
      <c r="AD175" s="385"/>
      <c r="AE175" s="385"/>
      <c r="AF175" s="385"/>
      <c r="AG175" s="385"/>
      <c r="AH175" s="385"/>
      <c r="AI175" s="385"/>
      <c r="AJ175" s="385"/>
      <c r="AK175" s="385"/>
      <c r="AL175" s="385"/>
      <c r="AM175" s="385"/>
      <c r="AN175" s="385"/>
      <c r="AO175" s="385"/>
      <c r="AP175" s="385"/>
      <c r="AQ175" s="385"/>
    </row>
    <row r="176" spans="1:43" x14ac:dyDescent="0.2">
      <c r="A176" s="385"/>
      <c r="B176" s="409"/>
      <c r="C176" s="388"/>
      <c r="D176" s="410"/>
      <c r="E176" s="410"/>
      <c r="F176" s="410"/>
      <c r="G176" s="410"/>
      <c r="H176" s="410"/>
      <c r="I176" s="410"/>
      <c r="J176" s="410"/>
      <c r="K176" s="410"/>
      <c r="L176" s="410"/>
      <c r="M176" s="410"/>
      <c r="N176" s="410"/>
      <c r="O176" s="410"/>
      <c r="P176" s="410"/>
      <c r="Q176" s="410"/>
      <c r="R176" s="557"/>
      <c r="S176" s="557"/>
      <c r="T176" s="557"/>
      <c r="U176" s="557"/>
      <c r="V176" s="557"/>
      <c r="W176" s="381"/>
      <c r="X176" s="381"/>
      <c r="Z176" s="385"/>
      <c r="AA176" s="385"/>
      <c r="AB176" s="385"/>
      <c r="AC176" s="385"/>
      <c r="AD176" s="385"/>
      <c r="AE176" s="385"/>
      <c r="AF176" s="385"/>
      <c r="AG176" s="385"/>
      <c r="AH176" s="385"/>
      <c r="AI176" s="385"/>
      <c r="AJ176" s="385"/>
      <c r="AK176" s="385"/>
      <c r="AL176" s="385"/>
      <c r="AM176" s="385"/>
      <c r="AN176" s="385"/>
      <c r="AO176" s="385"/>
      <c r="AP176" s="385"/>
      <c r="AQ176" s="385"/>
    </row>
    <row r="177" spans="1:43" x14ac:dyDescent="0.2">
      <c r="A177" s="385"/>
      <c r="B177" s="409"/>
      <c r="C177" s="388"/>
      <c r="D177" s="410"/>
      <c r="E177" s="410"/>
      <c r="F177" s="410"/>
      <c r="G177" s="410"/>
      <c r="H177" s="410"/>
      <c r="I177" s="410"/>
      <c r="J177" s="410"/>
      <c r="K177" s="410"/>
      <c r="L177" s="410"/>
      <c r="M177" s="410"/>
      <c r="N177" s="410"/>
      <c r="O177" s="410"/>
      <c r="P177" s="410"/>
      <c r="Q177" s="410"/>
      <c r="R177" s="557"/>
      <c r="S177" s="557"/>
      <c r="T177" s="557"/>
      <c r="U177" s="557"/>
      <c r="V177" s="557"/>
      <c r="W177" s="381"/>
      <c r="X177" s="381"/>
      <c r="Z177" s="385"/>
      <c r="AA177" s="385"/>
      <c r="AB177" s="385"/>
      <c r="AC177" s="385"/>
      <c r="AD177" s="385"/>
      <c r="AE177" s="385"/>
      <c r="AF177" s="385"/>
      <c r="AG177" s="385"/>
      <c r="AH177" s="385"/>
      <c r="AI177" s="385"/>
      <c r="AJ177" s="385"/>
      <c r="AK177" s="385"/>
      <c r="AL177" s="385"/>
      <c r="AM177" s="385"/>
      <c r="AN177" s="385"/>
      <c r="AO177" s="385"/>
      <c r="AP177" s="385"/>
      <c r="AQ177" s="385"/>
    </row>
    <row r="178" spans="1:43" x14ac:dyDescent="0.2">
      <c r="A178" s="385"/>
      <c r="B178" s="409"/>
      <c r="C178" s="388"/>
      <c r="D178" s="428">
        <f>(D173+D174)/D171</f>
        <v>0.20727885746133137</v>
      </c>
      <c r="E178" s="428">
        <f>(E173+E174)/E171</f>
        <v>0.21049616167700277</v>
      </c>
      <c r="F178" s="428">
        <f>(F173+F174)/F171</f>
        <v>0.21400366341433155</v>
      </c>
      <c r="G178" s="428">
        <f>(G173+G174)/G171</f>
        <v>0.21784248033430145</v>
      </c>
      <c r="H178" s="428">
        <f>(H173+H174)/H171</f>
        <v>0.22087166581678708</v>
      </c>
      <c r="I178" s="428"/>
      <c r="J178" s="428"/>
      <c r="K178" s="428"/>
      <c r="L178" s="428"/>
      <c r="M178" s="428"/>
      <c r="N178" s="428"/>
      <c r="O178" s="428"/>
      <c r="P178" s="428"/>
      <c r="Q178" s="428"/>
      <c r="R178" s="559"/>
      <c r="S178" s="559"/>
      <c r="T178" s="559"/>
      <c r="U178" s="559"/>
      <c r="V178" s="559"/>
      <c r="W178" s="381"/>
      <c r="X178" s="381"/>
      <c r="Z178" s="385"/>
      <c r="AA178" s="385"/>
      <c r="AB178" s="385"/>
      <c r="AC178" s="385"/>
      <c r="AD178" s="385"/>
      <c r="AE178" s="385"/>
      <c r="AF178" s="385"/>
      <c r="AG178" s="385"/>
      <c r="AH178" s="385"/>
      <c r="AI178" s="385"/>
      <c r="AJ178" s="385"/>
      <c r="AK178" s="385"/>
      <c r="AL178" s="385"/>
      <c r="AM178" s="385"/>
      <c r="AN178" s="385"/>
      <c r="AO178" s="385"/>
      <c r="AP178" s="385"/>
      <c r="AQ178" s="385"/>
    </row>
    <row r="179" spans="1:43" x14ac:dyDescent="0.2">
      <c r="A179" s="385"/>
      <c r="B179" s="429" t="s">
        <v>216</v>
      </c>
      <c r="C179" s="430"/>
      <c r="D179" s="431">
        <f>D171-D172-D173-D174</f>
        <v>105.71275684284666</v>
      </c>
      <c r="E179" s="431">
        <f>E171-E172-E173-E174</f>
        <v>100.90063770753385</v>
      </c>
      <c r="F179" s="431">
        <f>F171-F172-F173-F174</f>
        <v>96.088518572221048</v>
      </c>
      <c r="G179" s="431">
        <f>G171-G172-G173-G174</f>
        <v>91.276399436908235</v>
      </c>
      <c r="H179" s="431">
        <f>H171-H172-H173</f>
        <v>87.953327960759808</v>
      </c>
      <c r="I179" s="431"/>
      <c r="J179" s="431"/>
      <c r="K179" s="431"/>
      <c r="L179" s="431"/>
      <c r="M179" s="431"/>
      <c r="N179" s="431"/>
      <c r="O179" s="431"/>
      <c r="P179" s="431"/>
      <c r="Q179" s="431"/>
      <c r="R179" s="560"/>
      <c r="S179" s="560"/>
      <c r="T179" s="560"/>
      <c r="U179" s="560"/>
      <c r="V179" s="560"/>
      <c r="W179" s="381"/>
      <c r="X179" s="381"/>
      <c r="Z179" s="385"/>
      <c r="AA179" s="385"/>
      <c r="AB179" s="385"/>
      <c r="AC179" s="385"/>
      <c r="AD179" s="385"/>
      <c r="AE179" s="385"/>
      <c r="AF179" s="385"/>
      <c r="AG179" s="385"/>
      <c r="AH179" s="385"/>
      <c r="AI179" s="385"/>
      <c r="AJ179" s="385"/>
      <c r="AK179" s="385"/>
      <c r="AL179" s="385"/>
      <c r="AM179" s="385"/>
      <c r="AN179" s="385"/>
      <c r="AO179" s="385"/>
      <c r="AP179" s="385"/>
      <c r="AQ179" s="385"/>
    </row>
    <row r="180" spans="1:43" x14ac:dyDescent="0.2">
      <c r="A180" s="385"/>
      <c r="B180" s="432" t="s">
        <v>217</v>
      </c>
      <c r="C180" s="430"/>
      <c r="D180" s="433">
        <v>7.5</v>
      </c>
      <c r="E180" s="433">
        <v>7.5</v>
      </c>
      <c r="F180" s="433">
        <v>7.5</v>
      </c>
      <c r="G180" s="433">
        <v>7.5</v>
      </c>
      <c r="H180" s="433">
        <v>7.5</v>
      </c>
      <c r="I180" s="433"/>
      <c r="J180" s="433"/>
      <c r="K180" s="433"/>
      <c r="L180" s="433"/>
      <c r="M180" s="433"/>
      <c r="N180" s="433"/>
      <c r="O180" s="433"/>
      <c r="P180" s="433"/>
      <c r="Q180" s="433"/>
      <c r="R180" s="561"/>
      <c r="S180" s="561"/>
      <c r="T180" s="561"/>
      <c r="U180" s="561"/>
      <c r="V180" s="561"/>
      <c r="W180" s="381"/>
      <c r="X180" s="381"/>
      <c r="Z180" s="385"/>
      <c r="AA180" s="385"/>
      <c r="AB180" s="385"/>
      <c r="AC180" s="385"/>
      <c r="AD180" s="385"/>
      <c r="AE180" s="385"/>
      <c r="AF180" s="385"/>
      <c r="AG180" s="385"/>
      <c r="AH180" s="385"/>
      <c r="AI180" s="385"/>
      <c r="AJ180" s="385"/>
      <c r="AK180" s="385"/>
      <c r="AL180" s="385"/>
      <c r="AM180" s="385"/>
      <c r="AN180" s="385"/>
      <c r="AO180" s="385"/>
      <c r="AP180" s="385"/>
      <c r="AQ180" s="385"/>
    </row>
    <row r="181" spans="1:43" x14ac:dyDescent="0.2">
      <c r="A181" s="385"/>
      <c r="B181" s="432" t="s">
        <v>218</v>
      </c>
      <c r="C181" s="430"/>
      <c r="D181" s="433">
        <f>D179-D180</f>
        <v>98.212756842846659</v>
      </c>
      <c r="E181" s="433">
        <f>E179-E180</f>
        <v>93.400637707533846</v>
      </c>
      <c r="F181" s="433">
        <f>F179-F180</f>
        <v>88.588518572221048</v>
      </c>
      <c r="G181" s="433">
        <f>G179-G180</f>
        <v>83.776399436908235</v>
      </c>
      <c r="H181" s="433">
        <f>H179-H180</f>
        <v>80.453327960759808</v>
      </c>
      <c r="I181" s="433"/>
      <c r="J181" s="433"/>
      <c r="K181" s="433"/>
      <c r="L181" s="433"/>
      <c r="M181" s="433"/>
      <c r="N181" s="433"/>
      <c r="O181" s="433"/>
      <c r="P181" s="433"/>
      <c r="Q181" s="433"/>
      <c r="R181" s="561"/>
      <c r="S181" s="561"/>
      <c r="T181" s="561"/>
      <c r="U181" s="561"/>
      <c r="V181" s="561"/>
      <c r="W181" s="381"/>
      <c r="X181" s="381"/>
      <c r="Z181" s="385"/>
      <c r="AA181" s="385"/>
      <c r="AB181" s="385"/>
      <c r="AC181" s="385"/>
      <c r="AD181" s="385"/>
      <c r="AE181" s="385"/>
      <c r="AF181" s="385"/>
      <c r="AG181" s="385"/>
      <c r="AH181" s="385"/>
      <c r="AI181" s="385"/>
      <c r="AJ181" s="385"/>
      <c r="AK181" s="385"/>
      <c r="AL181" s="385"/>
      <c r="AM181" s="385"/>
      <c r="AN181" s="385"/>
      <c r="AO181" s="385"/>
      <c r="AP181" s="385"/>
      <c r="AQ181" s="385"/>
    </row>
    <row r="182" spans="1:43" x14ac:dyDescent="0.2">
      <c r="A182" s="385"/>
      <c r="B182" s="436" t="s">
        <v>219</v>
      </c>
      <c r="C182" s="437">
        <v>0</v>
      </c>
      <c r="D182" s="438">
        <f>D179*D170</f>
        <v>1912.3437712870959</v>
      </c>
      <c r="E182" s="438">
        <f>E179*E170</f>
        <v>1826.3015425063627</v>
      </c>
      <c r="F182" s="438">
        <f>F179*F170</f>
        <v>1808.3859195292002</v>
      </c>
      <c r="G182" s="438">
        <f>G179*G170</f>
        <v>1812.7492928169975</v>
      </c>
      <c r="H182" s="438">
        <f>H179*H170</f>
        <v>1836.4654878206647</v>
      </c>
      <c r="I182" s="438"/>
      <c r="J182" s="438"/>
      <c r="K182" s="438"/>
      <c r="L182" s="438"/>
      <c r="M182" s="438"/>
      <c r="N182" s="438"/>
      <c r="O182" s="438"/>
      <c r="P182" s="438"/>
      <c r="Q182" s="438"/>
      <c r="R182" s="562"/>
      <c r="S182" s="562"/>
      <c r="T182" s="562"/>
      <c r="U182" s="562"/>
      <c r="V182" s="562"/>
      <c r="W182" s="381"/>
      <c r="X182" s="381"/>
      <c r="Z182" s="385"/>
      <c r="AA182" s="385"/>
      <c r="AB182" s="385"/>
      <c r="AC182" s="385"/>
      <c r="AD182" s="385"/>
      <c r="AE182" s="385"/>
      <c r="AF182" s="385"/>
      <c r="AG182" s="385"/>
      <c r="AH182" s="385"/>
      <c r="AI182" s="385"/>
      <c r="AJ182" s="385"/>
      <c r="AK182" s="385"/>
      <c r="AL182" s="385"/>
      <c r="AM182" s="385"/>
      <c r="AN182" s="385"/>
      <c r="AO182" s="385"/>
      <c r="AP182" s="385"/>
      <c r="AQ182" s="385"/>
    </row>
    <row r="183" spans="1:43" x14ac:dyDescent="0.2">
      <c r="A183" s="385"/>
      <c r="B183" s="387" t="s">
        <v>220</v>
      </c>
      <c r="C183" s="439">
        <f t="shared" ref="C183:H183" si="20">C182/4</f>
        <v>0</v>
      </c>
      <c r="D183" s="439">
        <f t="shared" si="20"/>
        <v>478.08594282177398</v>
      </c>
      <c r="E183" s="439">
        <f t="shared" si="20"/>
        <v>456.57538562659067</v>
      </c>
      <c r="F183" s="439">
        <f t="shared" si="20"/>
        <v>452.09647988230006</v>
      </c>
      <c r="G183" s="439">
        <f t="shared" si="20"/>
        <v>453.18732320424937</v>
      </c>
      <c r="H183" s="439">
        <f t="shared" si="20"/>
        <v>459.11637195516619</v>
      </c>
      <c r="I183" s="439"/>
      <c r="J183" s="439"/>
      <c r="K183" s="439"/>
      <c r="L183" s="439"/>
      <c r="M183" s="439"/>
      <c r="N183" s="439"/>
      <c r="O183" s="439"/>
      <c r="P183" s="439"/>
      <c r="Q183" s="439"/>
      <c r="R183" s="576"/>
      <c r="S183" s="576"/>
      <c r="T183" s="576"/>
      <c r="U183" s="576"/>
      <c r="V183" s="576"/>
      <c r="W183" s="381"/>
      <c r="X183" s="381"/>
      <c r="Z183" s="385"/>
      <c r="AA183" s="385"/>
      <c r="AB183" s="385"/>
      <c r="AC183" s="385"/>
      <c r="AD183" s="385"/>
      <c r="AE183" s="385"/>
      <c r="AF183" s="385"/>
      <c r="AG183" s="385"/>
      <c r="AH183" s="385"/>
      <c r="AI183" s="385"/>
      <c r="AJ183" s="385"/>
      <c r="AK183" s="385"/>
      <c r="AL183" s="385"/>
      <c r="AM183" s="385"/>
      <c r="AN183" s="385"/>
      <c r="AO183" s="385"/>
      <c r="AP183" s="385"/>
      <c r="AQ183" s="385"/>
    </row>
    <row r="184" spans="1:43" x14ac:dyDescent="0.2">
      <c r="A184" s="385"/>
      <c r="B184" s="387"/>
      <c r="C184" s="388"/>
      <c r="D184" s="388"/>
      <c r="E184" s="388"/>
      <c r="F184" s="388"/>
      <c r="G184" s="388"/>
      <c r="H184" s="388"/>
      <c r="I184" s="388"/>
      <c r="J184" s="388"/>
      <c r="K184" s="388"/>
      <c r="L184" s="388"/>
      <c r="M184" s="388"/>
      <c r="N184" s="388"/>
      <c r="O184" s="388"/>
      <c r="P184" s="388"/>
      <c r="Q184" s="388"/>
      <c r="R184" s="553"/>
      <c r="S184" s="553"/>
      <c r="T184" s="553"/>
      <c r="U184" s="553"/>
      <c r="V184" s="553"/>
      <c r="W184" s="381"/>
      <c r="X184" s="381"/>
      <c r="Z184" s="385"/>
      <c r="AA184" s="385"/>
      <c r="AB184" s="385"/>
      <c r="AC184" s="385"/>
      <c r="AD184" s="385"/>
      <c r="AE184" s="385"/>
      <c r="AF184" s="385"/>
      <c r="AG184" s="385"/>
      <c r="AH184" s="385"/>
      <c r="AI184" s="385"/>
      <c r="AJ184" s="385"/>
      <c r="AK184" s="385"/>
      <c r="AL184" s="385"/>
      <c r="AM184" s="385"/>
      <c r="AN184" s="385"/>
      <c r="AO184" s="385"/>
      <c r="AP184" s="385"/>
      <c r="AQ184" s="385"/>
    </row>
    <row r="185" spans="1:43" x14ac:dyDescent="0.2">
      <c r="A185" s="385"/>
      <c r="B185" s="441" t="s">
        <v>221</v>
      </c>
      <c r="C185" s="496" t="s">
        <v>222</v>
      </c>
      <c r="D185" s="496" t="s">
        <v>223</v>
      </c>
      <c r="E185" s="496" t="s">
        <v>224</v>
      </c>
      <c r="F185" s="496" t="s">
        <v>225</v>
      </c>
      <c r="G185" s="496" t="s">
        <v>226</v>
      </c>
      <c r="H185" s="388"/>
      <c r="I185" s="496"/>
      <c r="J185" s="496"/>
      <c r="K185" s="496"/>
      <c r="L185" s="496"/>
      <c r="M185" s="496"/>
      <c r="N185" s="496"/>
      <c r="O185" s="496"/>
      <c r="P185" s="496"/>
      <c r="Q185" s="496"/>
      <c r="R185" s="583"/>
      <c r="S185" s="583"/>
      <c r="T185" s="583"/>
      <c r="U185" s="583"/>
      <c r="V185" s="583"/>
      <c r="W185" s="381"/>
      <c r="X185" s="381"/>
      <c r="Z185" s="385"/>
      <c r="AA185" s="385"/>
      <c r="AB185" s="385"/>
      <c r="AC185" s="385"/>
      <c r="AD185" s="385"/>
      <c r="AE185" s="385"/>
      <c r="AF185" s="385"/>
      <c r="AG185" s="385"/>
      <c r="AH185" s="385"/>
      <c r="AI185" s="385"/>
      <c r="AJ185" s="385"/>
      <c r="AK185" s="385"/>
      <c r="AL185" s="385"/>
      <c r="AM185" s="385"/>
      <c r="AN185" s="385"/>
      <c r="AO185" s="385"/>
      <c r="AP185" s="385"/>
      <c r="AQ185" s="385"/>
    </row>
    <row r="186" spans="1:43" x14ac:dyDescent="0.2">
      <c r="A186" s="385"/>
      <c r="B186" s="441" t="s">
        <v>254</v>
      </c>
      <c r="C186" s="444">
        <f>(C183*3)+(D183*1)</f>
        <v>478.08594282177398</v>
      </c>
      <c r="D186" s="444">
        <f>(D183*3)+(E183*1)</f>
        <v>1890.8332140919124</v>
      </c>
      <c r="E186" s="444">
        <f>(E183*3)+(F183*1)</f>
        <v>1821.8226367620723</v>
      </c>
      <c r="F186" s="444">
        <f>(F183*3)+(G183*1)</f>
        <v>1809.4767628511495</v>
      </c>
      <c r="G186" s="444">
        <f>(G183*3)+(H183*1)</f>
        <v>1818.6783415679142</v>
      </c>
      <c r="H186" s="388"/>
      <c r="I186" s="444"/>
      <c r="J186" s="444"/>
      <c r="K186" s="444"/>
      <c r="L186" s="444"/>
      <c r="M186" s="444"/>
      <c r="N186" s="444"/>
      <c r="O186" s="444"/>
      <c r="P186" s="444"/>
      <c r="Q186" s="444"/>
      <c r="R186" s="563"/>
      <c r="S186" s="563"/>
      <c r="T186" s="563"/>
      <c r="U186" s="563"/>
      <c r="V186" s="563"/>
      <c r="W186" s="381"/>
      <c r="X186" s="381"/>
      <c r="Z186" s="385"/>
      <c r="AA186" s="385"/>
      <c r="AB186" s="385"/>
      <c r="AC186" s="385"/>
      <c r="AD186" s="385"/>
      <c r="AE186" s="385"/>
      <c r="AF186" s="385"/>
      <c r="AG186" s="385"/>
      <c r="AH186" s="385"/>
      <c r="AI186" s="385"/>
      <c r="AJ186" s="385"/>
      <c r="AK186" s="385"/>
      <c r="AL186" s="385"/>
      <c r="AM186" s="385"/>
      <c r="AN186" s="385"/>
      <c r="AO186" s="385"/>
      <c r="AP186" s="385"/>
      <c r="AQ186" s="385"/>
    </row>
    <row r="187" spans="1:43" ht="12.75" thickBot="1" x14ac:dyDescent="0.25">
      <c r="A187" s="385"/>
      <c r="B187" s="445" t="s">
        <v>228</v>
      </c>
      <c r="C187" s="446"/>
      <c r="D187" s="446">
        <f>D186*0.85</f>
        <v>1607.2082319781255</v>
      </c>
      <c r="E187" s="446">
        <f>E186*0.85</f>
        <v>1548.5492412477615</v>
      </c>
      <c r="F187" s="446">
        <f>F186*0.85</f>
        <v>1538.055248423477</v>
      </c>
      <c r="G187" s="446">
        <f>G186*0.85</f>
        <v>1545.8765903327271</v>
      </c>
      <c r="H187" s="447"/>
      <c r="I187" s="446"/>
      <c r="J187" s="446"/>
      <c r="K187" s="446"/>
      <c r="L187" s="446"/>
      <c r="M187" s="446"/>
      <c r="N187" s="446"/>
      <c r="O187" s="446"/>
      <c r="P187" s="446"/>
      <c r="Q187" s="446"/>
      <c r="R187" s="564"/>
      <c r="S187" s="564"/>
      <c r="T187" s="564"/>
      <c r="U187" s="564"/>
      <c r="V187" s="564"/>
      <c r="W187" s="381"/>
      <c r="X187" s="381"/>
      <c r="Z187" s="385"/>
      <c r="AA187" s="385"/>
      <c r="AB187" s="385"/>
      <c r="AC187" s="385"/>
      <c r="AD187" s="385"/>
      <c r="AE187" s="385"/>
      <c r="AF187" s="385"/>
      <c r="AG187" s="385"/>
      <c r="AH187" s="385"/>
      <c r="AI187" s="385"/>
      <c r="AJ187" s="385"/>
      <c r="AK187" s="385"/>
      <c r="AL187" s="385"/>
      <c r="AM187" s="385"/>
      <c r="AN187" s="385"/>
      <c r="AO187" s="385"/>
      <c r="AP187" s="385"/>
      <c r="AQ187" s="385"/>
    </row>
    <row r="188" spans="1:43" s="381" customFormat="1" ht="12.75" thickBot="1" x14ac:dyDescent="0.25">
      <c r="B188" s="477"/>
      <c r="C188" s="478"/>
      <c r="D188" s="478"/>
      <c r="E188" s="478"/>
      <c r="F188" s="478"/>
      <c r="G188" s="478"/>
      <c r="H188" s="477"/>
      <c r="I188" s="478"/>
      <c r="J188" s="478"/>
      <c r="K188" s="478"/>
      <c r="L188" s="478"/>
      <c r="M188" s="478"/>
      <c r="N188" s="478"/>
      <c r="O188" s="478"/>
      <c r="P188" s="478"/>
      <c r="Q188" s="478"/>
      <c r="R188" s="576"/>
      <c r="S188" s="576"/>
      <c r="T188" s="576"/>
      <c r="U188" s="576"/>
      <c r="V188" s="576"/>
      <c r="Y188" s="371"/>
    </row>
    <row r="189" spans="1:43" s="371" customFormat="1" ht="12.75" customHeight="1" x14ac:dyDescent="0.2">
      <c r="B189" s="453" t="s">
        <v>230</v>
      </c>
      <c r="C189" s="454">
        <f t="shared" ref="C189:H189" si="21">C170*C173</f>
        <v>0</v>
      </c>
      <c r="D189" s="455">
        <f t="shared" si="21"/>
        <v>533.69752021707859</v>
      </c>
      <c r="E189" s="455">
        <f t="shared" si="21"/>
        <v>519.84782882826551</v>
      </c>
      <c r="F189" s="455">
        <f t="shared" si="21"/>
        <v>525.81948089777927</v>
      </c>
      <c r="G189" s="455">
        <f t="shared" si="21"/>
        <v>539.35634281515445</v>
      </c>
      <c r="H189" s="455">
        <f t="shared" si="21"/>
        <v>556.31247956421487</v>
      </c>
      <c r="I189" s="455"/>
      <c r="J189" s="455"/>
      <c r="K189" s="455"/>
      <c r="L189" s="455"/>
      <c r="M189" s="455"/>
      <c r="N189" s="455"/>
      <c r="O189" s="455"/>
      <c r="P189" s="455"/>
      <c r="Q189" s="455"/>
      <c r="R189" s="565"/>
      <c r="S189" s="565"/>
      <c r="T189" s="565"/>
      <c r="U189" s="565"/>
      <c r="V189" s="565"/>
      <c r="W189" s="381"/>
      <c r="X189" s="381"/>
    </row>
    <row r="190" spans="1:43" s="371" customFormat="1" x14ac:dyDescent="0.2">
      <c r="B190" s="387" t="s">
        <v>232</v>
      </c>
      <c r="C190" s="461"/>
      <c r="D190" s="462">
        <f t="shared" ref="D190:H191" si="22">D189/4</f>
        <v>133.42438005426965</v>
      </c>
      <c r="E190" s="462">
        <f t="shared" si="22"/>
        <v>129.96195720706638</v>
      </c>
      <c r="F190" s="462">
        <f t="shared" si="22"/>
        <v>131.45487022444482</v>
      </c>
      <c r="G190" s="462">
        <f t="shared" si="22"/>
        <v>134.83908570378861</v>
      </c>
      <c r="H190" s="462">
        <f t="shared" si="22"/>
        <v>139.07811989105372</v>
      </c>
      <c r="I190" s="462"/>
      <c r="J190" s="462"/>
      <c r="K190" s="462"/>
      <c r="L190" s="462"/>
      <c r="M190" s="462"/>
      <c r="N190" s="462"/>
      <c r="O190" s="462"/>
      <c r="P190" s="462"/>
      <c r="Q190" s="462"/>
      <c r="R190" s="566"/>
      <c r="S190" s="566"/>
      <c r="T190" s="566"/>
      <c r="U190" s="566"/>
      <c r="V190" s="566"/>
      <c r="W190" s="381"/>
      <c r="X190" s="381"/>
      <c r="Y190" s="381"/>
    </row>
    <row r="191" spans="1:43" s="371" customFormat="1" x14ac:dyDescent="0.2">
      <c r="B191" s="387"/>
      <c r="C191" s="464">
        <f>C190/4</f>
        <v>0</v>
      </c>
      <c r="D191" s="462">
        <f t="shared" si="22"/>
        <v>33.356095013567412</v>
      </c>
      <c r="E191" s="462">
        <f t="shared" si="22"/>
        <v>32.490489301766594</v>
      </c>
      <c r="F191" s="462">
        <f t="shared" si="22"/>
        <v>32.863717556111204</v>
      </c>
      <c r="G191" s="462">
        <f t="shared" si="22"/>
        <v>33.709771425947153</v>
      </c>
      <c r="H191" s="462">
        <f t="shared" si="22"/>
        <v>34.769529972763429</v>
      </c>
      <c r="I191" s="462"/>
      <c r="J191" s="462"/>
      <c r="K191" s="462"/>
      <c r="L191" s="462"/>
      <c r="M191" s="462"/>
      <c r="N191" s="462"/>
      <c r="O191" s="462"/>
      <c r="P191" s="462"/>
      <c r="Q191" s="462"/>
      <c r="R191" s="566"/>
      <c r="S191" s="566"/>
      <c r="T191" s="566"/>
      <c r="U191" s="566"/>
      <c r="V191" s="566"/>
    </row>
    <row r="192" spans="1:43" s="371" customFormat="1" x14ac:dyDescent="0.2">
      <c r="B192" s="387" t="s">
        <v>221</v>
      </c>
      <c r="C192" s="461"/>
      <c r="D192" s="461"/>
      <c r="E192" s="461"/>
      <c r="F192" s="461"/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61"/>
      <c r="R192" s="553"/>
      <c r="S192" s="553"/>
      <c r="T192" s="553"/>
      <c r="U192" s="553"/>
      <c r="V192" s="553"/>
    </row>
    <row r="193" spans="2:22" s="371" customFormat="1" ht="12.75" thickBot="1" x14ac:dyDescent="0.25">
      <c r="B193" s="465" t="s">
        <v>227</v>
      </c>
      <c r="C193" s="466">
        <f>(C190*3)+(D190*1)</f>
        <v>133.42438005426965</v>
      </c>
      <c r="D193" s="466">
        <f>(D190*3)+(E190*1)</f>
        <v>530.23509736987535</v>
      </c>
      <c r="E193" s="466">
        <f>(E190*3)+(F190*1)</f>
        <v>521.34074184564395</v>
      </c>
      <c r="F193" s="466">
        <f>(F190*3)+(G190*1)</f>
        <v>529.20369637712315</v>
      </c>
      <c r="G193" s="466">
        <f>(G190*3)+(H190*1)</f>
        <v>543.59537700241958</v>
      </c>
      <c r="H193" s="467"/>
      <c r="I193" s="466"/>
      <c r="J193" s="466"/>
      <c r="K193" s="466"/>
      <c r="L193" s="466"/>
      <c r="M193" s="466"/>
      <c r="N193" s="466"/>
      <c r="O193" s="466"/>
      <c r="P193" s="466"/>
      <c r="Q193" s="466"/>
      <c r="R193" s="567"/>
      <c r="S193" s="567"/>
      <c r="T193" s="567"/>
      <c r="U193" s="567"/>
      <c r="V193" s="567"/>
    </row>
    <row r="194" spans="2:22" s="371" customFormat="1" x14ac:dyDescent="0.2">
      <c r="R194" s="551"/>
      <c r="S194" s="551"/>
      <c r="T194" s="551"/>
      <c r="U194" s="551"/>
      <c r="V194" s="551"/>
    </row>
    <row r="195" spans="2:22" s="371" customFormat="1" x14ac:dyDescent="0.2">
      <c r="R195" s="551"/>
      <c r="S195" s="551"/>
      <c r="T195" s="551"/>
      <c r="U195" s="551"/>
      <c r="V195" s="551"/>
    </row>
    <row r="196" spans="2:22" s="371" customFormat="1" ht="12.75" customHeight="1" x14ac:dyDescent="0.2">
      <c r="R196" s="551"/>
      <c r="S196" s="551"/>
      <c r="T196" s="551"/>
      <c r="U196" s="551"/>
      <c r="V196" s="551"/>
    </row>
    <row r="197" spans="2:22" s="371" customFormat="1" x14ac:dyDescent="0.2">
      <c r="R197" s="551"/>
      <c r="S197" s="551"/>
      <c r="T197" s="551"/>
      <c r="U197" s="551"/>
      <c r="V197" s="551"/>
    </row>
    <row r="198" spans="2:22" s="371" customFormat="1" x14ac:dyDescent="0.2">
      <c r="R198" s="551"/>
      <c r="S198" s="551"/>
      <c r="T198" s="551"/>
      <c r="U198" s="551"/>
      <c r="V198" s="551"/>
    </row>
    <row r="199" spans="2:22" s="371" customFormat="1" x14ac:dyDescent="0.2">
      <c r="R199" s="551"/>
      <c r="S199" s="551"/>
      <c r="T199" s="551"/>
      <c r="U199" s="551"/>
      <c r="V199" s="551"/>
    </row>
    <row r="200" spans="2:22" s="371" customFormat="1" x14ac:dyDescent="0.2">
      <c r="R200" s="551"/>
      <c r="S200" s="551"/>
      <c r="T200" s="551"/>
      <c r="U200" s="551"/>
      <c r="V200" s="551"/>
    </row>
    <row r="201" spans="2:22" s="371" customFormat="1" x14ac:dyDescent="0.2">
      <c r="R201" s="551"/>
      <c r="S201" s="551"/>
      <c r="T201" s="551"/>
      <c r="U201" s="551"/>
      <c r="V201" s="551"/>
    </row>
    <row r="202" spans="2:22" s="371" customFormat="1" x14ac:dyDescent="0.2">
      <c r="R202" s="551"/>
      <c r="S202" s="551"/>
      <c r="T202" s="551"/>
      <c r="U202" s="551"/>
      <c r="V202" s="551"/>
    </row>
    <row r="203" spans="2:22" s="371" customFormat="1" ht="12.75" customHeight="1" x14ac:dyDescent="0.2">
      <c r="R203" s="551"/>
      <c r="S203" s="551"/>
      <c r="T203" s="551"/>
      <c r="U203" s="551"/>
      <c r="V203" s="551"/>
    </row>
    <row r="204" spans="2:22" s="371" customFormat="1" x14ac:dyDescent="0.2">
      <c r="R204" s="551"/>
      <c r="S204" s="551"/>
      <c r="T204" s="551"/>
      <c r="U204" s="551"/>
      <c r="V204" s="551"/>
    </row>
    <row r="205" spans="2:22" s="371" customFormat="1" x14ac:dyDescent="0.2">
      <c r="R205" s="551"/>
      <c r="S205" s="551"/>
      <c r="T205" s="551"/>
      <c r="U205" s="551"/>
      <c r="V205" s="551"/>
    </row>
    <row r="206" spans="2:22" s="371" customFormat="1" x14ac:dyDescent="0.2">
      <c r="R206" s="551"/>
      <c r="S206" s="551"/>
      <c r="T206" s="551"/>
      <c r="U206" s="551"/>
      <c r="V206" s="551"/>
    </row>
    <row r="207" spans="2:22" s="371" customFormat="1" x14ac:dyDescent="0.2">
      <c r="R207" s="551"/>
      <c r="S207" s="551"/>
      <c r="T207" s="551"/>
      <c r="U207" s="551"/>
      <c r="V207" s="551"/>
    </row>
    <row r="208" spans="2:22" s="371" customFormat="1" x14ac:dyDescent="0.2">
      <c r="R208" s="551"/>
      <c r="S208" s="551"/>
      <c r="T208" s="551"/>
      <c r="U208" s="551"/>
      <c r="V208" s="551"/>
    </row>
    <row r="209" spans="2:22" s="371" customFormat="1" x14ac:dyDescent="0.2">
      <c r="B209" s="497"/>
      <c r="C209" s="498"/>
      <c r="D209" s="498"/>
      <c r="E209" s="498"/>
      <c r="F209" s="498"/>
      <c r="G209" s="498"/>
      <c r="H209" s="499"/>
      <c r="I209" s="498"/>
      <c r="J209" s="498"/>
      <c r="K209" s="498"/>
      <c r="L209" s="498"/>
      <c r="M209" s="498"/>
      <c r="N209" s="498"/>
      <c r="O209" s="498"/>
      <c r="P209" s="498"/>
      <c r="Q209" s="498"/>
      <c r="R209" s="584"/>
      <c r="S209" s="584"/>
      <c r="T209" s="584"/>
      <c r="U209" s="584"/>
      <c r="V209" s="584"/>
    </row>
    <row r="210" spans="2:22" s="371" customFormat="1" ht="12.75" customHeight="1" x14ac:dyDescent="0.2">
      <c r="B210" s="497"/>
      <c r="C210" s="498"/>
      <c r="D210" s="498"/>
      <c r="E210" s="498"/>
      <c r="F210" s="498"/>
      <c r="G210" s="498"/>
      <c r="H210" s="499"/>
      <c r="I210" s="498"/>
      <c r="J210" s="498"/>
      <c r="K210" s="498"/>
      <c r="L210" s="498"/>
      <c r="M210" s="498"/>
      <c r="N210" s="498"/>
      <c r="O210" s="498"/>
      <c r="P210" s="498"/>
      <c r="Q210" s="498"/>
      <c r="R210" s="584"/>
      <c r="S210" s="584"/>
      <c r="T210" s="584"/>
      <c r="U210" s="584"/>
      <c r="V210" s="584"/>
    </row>
    <row r="211" spans="2:22" s="371" customFormat="1" x14ac:dyDescent="0.2">
      <c r="B211" s="497"/>
      <c r="C211" s="498"/>
      <c r="D211" s="498"/>
      <c r="E211" s="498"/>
      <c r="F211" s="498"/>
      <c r="G211" s="498"/>
      <c r="H211" s="499"/>
      <c r="I211" s="498"/>
      <c r="J211" s="498"/>
      <c r="K211" s="498"/>
      <c r="L211" s="498"/>
      <c r="M211" s="498"/>
      <c r="N211" s="498"/>
      <c r="O211" s="498"/>
      <c r="P211" s="498"/>
      <c r="Q211" s="498"/>
      <c r="R211" s="584"/>
      <c r="S211" s="584"/>
      <c r="T211" s="584"/>
      <c r="U211" s="584"/>
      <c r="V211" s="584"/>
    </row>
    <row r="212" spans="2:22" s="371" customFormat="1" x14ac:dyDescent="0.2">
      <c r="B212" s="497"/>
      <c r="C212" s="498"/>
      <c r="D212" s="498"/>
      <c r="E212" s="498"/>
      <c r="F212" s="498"/>
      <c r="G212" s="498"/>
      <c r="I212" s="498"/>
      <c r="J212" s="498"/>
      <c r="K212" s="498"/>
      <c r="L212" s="498"/>
      <c r="M212" s="498"/>
      <c r="N212" s="498"/>
      <c r="O212" s="498"/>
      <c r="P212" s="498"/>
      <c r="Q212" s="498"/>
      <c r="R212" s="584"/>
      <c r="S212" s="584"/>
      <c r="T212" s="584"/>
      <c r="U212" s="584"/>
      <c r="V212" s="584"/>
    </row>
    <row r="213" spans="2:22" s="371" customFormat="1" ht="12.75" thickBot="1" x14ac:dyDescent="0.25">
      <c r="B213" s="371" t="s">
        <v>255</v>
      </c>
      <c r="C213" s="498"/>
      <c r="D213" s="498"/>
      <c r="E213" s="498"/>
      <c r="F213" s="498"/>
      <c r="G213" s="498"/>
      <c r="I213" s="498"/>
      <c r="J213" s="498"/>
      <c r="K213" s="498"/>
      <c r="L213" s="498"/>
      <c r="M213" s="498"/>
      <c r="N213" s="498"/>
      <c r="O213" s="498"/>
      <c r="P213" s="498"/>
      <c r="Q213" s="498"/>
      <c r="R213" s="584"/>
      <c r="S213" s="584"/>
      <c r="T213" s="584"/>
      <c r="U213" s="584"/>
      <c r="V213" s="584"/>
    </row>
    <row r="214" spans="2:22" s="371" customFormat="1" ht="12.75" thickBot="1" x14ac:dyDescent="0.25">
      <c r="B214" s="1696"/>
      <c r="C214" s="1698" t="s">
        <v>256</v>
      </c>
      <c r="D214" s="1699"/>
      <c r="E214" s="1699"/>
      <c r="F214" s="1699"/>
      <c r="G214" s="1700"/>
      <c r="R214" s="551"/>
      <c r="S214" s="551"/>
      <c r="T214" s="551"/>
      <c r="U214" s="551"/>
      <c r="V214" s="551"/>
    </row>
    <row r="215" spans="2:22" s="371" customFormat="1" ht="12.75" thickBot="1" x14ac:dyDescent="0.25">
      <c r="B215" s="1697"/>
      <c r="C215" s="500" t="s">
        <v>239</v>
      </c>
      <c r="D215" s="500" t="s">
        <v>240</v>
      </c>
      <c r="E215" s="500" t="s">
        <v>241</v>
      </c>
      <c r="F215" s="500" t="s">
        <v>242</v>
      </c>
      <c r="G215" s="500" t="s">
        <v>243</v>
      </c>
      <c r="I215" s="500"/>
      <c r="J215" s="500"/>
      <c r="K215" s="500"/>
      <c r="L215" s="500"/>
      <c r="M215" s="500"/>
      <c r="N215" s="500"/>
      <c r="O215" s="500"/>
      <c r="P215" s="500"/>
      <c r="Q215" s="500"/>
      <c r="R215" s="585"/>
      <c r="S215" s="585"/>
      <c r="T215" s="585"/>
      <c r="U215" s="585"/>
      <c r="V215" s="585"/>
    </row>
    <row r="216" spans="2:22" s="371" customFormat="1" x14ac:dyDescent="0.2">
      <c r="B216" s="501" t="s">
        <v>245</v>
      </c>
      <c r="C216" s="502">
        <v>478</v>
      </c>
      <c r="D216" s="503">
        <v>1891</v>
      </c>
      <c r="E216" s="503">
        <v>1822</v>
      </c>
      <c r="F216" s="503">
        <v>1809</v>
      </c>
      <c r="G216" s="503">
        <v>1819</v>
      </c>
      <c r="I216" s="503"/>
      <c r="J216" s="503"/>
      <c r="K216" s="503"/>
      <c r="L216" s="503"/>
      <c r="M216" s="503"/>
      <c r="N216" s="503"/>
      <c r="O216" s="503"/>
      <c r="P216" s="503"/>
      <c r="Q216" s="503"/>
      <c r="R216" s="586"/>
      <c r="S216" s="586"/>
      <c r="T216" s="586"/>
      <c r="U216" s="586"/>
      <c r="V216" s="586"/>
    </row>
    <row r="217" spans="2:22" s="371" customFormat="1" ht="12.75" thickBot="1" x14ac:dyDescent="0.25">
      <c r="B217" s="504" t="s">
        <v>257</v>
      </c>
      <c r="C217" s="505">
        <f>C168</f>
        <v>0</v>
      </c>
      <c r="D217" s="505">
        <f>D168</f>
        <v>0</v>
      </c>
      <c r="E217" s="505">
        <f>E168</f>
        <v>0</v>
      </c>
      <c r="F217" s="505">
        <f>F168</f>
        <v>0</v>
      </c>
      <c r="G217" s="505">
        <f>G168</f>
        <v>0</v>
      </c>
      <c r="I217" s="505"/>
      <c r="J217" s="505"/>
      <c r="K217" s="505"/>
      <c r="L217" s="505"/>
      <c r="M217" s="505"/>
      <c r="N217" s="505"/>
      <c r="O217" s="505"/>
      <c r="P217" s="505"/>
      <c r="Q217" s="505"/>
      <c r="R217" s="587"/>
      <c r="S217" s="587"/>
      <c r="T217" s="587"/>
      <c r="U217" s="587"/>
      <c r="V217" s="587"/>
    </row>
    <row r="218" spans="2:22" s="371" customFormat="1" ht="12.75" customHeight="1" thickBot="1" x14ac:dyDescent="0.25">
      <c r="B218" s="504" t="s">
        <v>258</v>
      </c>
      <c r="C218" s="506">
        <f>(C217-C216)/C216</f>
        <v>-1</v>
      </c>
      <c r="D218" s="506">
        <f>(D217-D216)/D216</f>
        <v>-1</v>
      </c>
      <c r="E218" s="506">
        <f>(E217-E216)/E216</f>
        <v>-1</v>
      </c>
      <c r="F218" s="506">
        <f>(F217-F216)/F216</f>
        <v>-1</v>
      </c>
      <c r="G218" s="506">
        <f>(G217-G216)/G216</f>
        <v>-1</v>
      </c>
      <c r="I218" s="506"/>
      <c r="J218" s="506"/>
      <c r="K218" s="506"/>
      <c r="L218" s="506"/>
      <c r="M218" s="506"/>
      <c r="N218" s="506"/>
      <c r="O218" s="506"/>
      <c r="P218" s="506"/>
      <c r="Q218" s="506"/>
      <c r="R218" s="588"/>
      <c r="S218" s="588"/>
      <c r="T218" s="588"/>
      <c r="U218" s="588"/>
      <c r="V218" s="588"/>
    </row>
    <row r="219" spans="2:22" s="371" customFormat="1" x14ac:dyDescent="0.2">
      <c r="B219" s="497"/>
      <c r="C219" s="498"/>
      <c r="D219" s="498"/>
      <c r="E219" s="498"/>
      <c r="F219" s="498"/>
      <c r="G219" s="498"/>
      <c r="I219" s="498"/>
      <c r="J219" s="498"/>
      <c r="K219" s="498"/>
      <c r="L219" s="498"/>
      <c r="M219" s="498"/>
      <c r="N219" s="498"/>
      <c r="O219" s="498"/>
      <c r="P219" s="498"/>
      <c r="Q219" s="498"/>
      <c r="R219" s="584"/>
      <c r="S219" s="584"/>
      <c r="T219" s="584"/>
      <c r="U219" s="584"/>
      <c r="V219" s="584"/>
    </row>
    <row r="220" spans="2:22" s="371" customFormat="1" ht="12.75" thickBot="1" x14ac:dyDescent="0.25">
      <c r="B220" s="497"/>
      <c r="C220" s="498"/>
      <c r="D220" s="498"/>
      <c r="E220" s="498"/>
      <c r="F220" s="498"/>
      <c r="G220" s="498"/>
      <c r="I220" s="498"/>
      <c r="J220" s="498"/>
      <c r="K220" s="498"/>
      <c r="L220" s="498"/>
      <c r="M220" s="498"/>
      <c r="N220" s="498"/>
      <c r="O220" s="498"/>
      <c r="P220" s="498"/>
      <c r="Q220" s="498"/>
      <c r="R220" s="584"/>
      <c r="S220" s="584"/>
      <c r="T220" s="584"/>
      <c r="U220" s="584"/>
      <c r="V220" s="584"/>
    </row>
    <row r="221" spans="2:22" s="371" customFormat="1" ht="12.75" thickBot="1" x14ac:dyDescent="0.25">
      <c r="B221" s="1696"/>
      <c r="C221" s="1698" t="s">
        <v>256</v>
      </c>
      <c r="D221" s="1699"/>
      <c r="E221" s="1699"/>
      <c r="F221" s="1699"/>
      <c r="G221" s="1700"/>
      <c r="R221" s="551"/>
      <c r="S221" s="551"/>
      <c r="T221" s="551"/>
      <c r="U221" s="551"/>
      <c r="V221" s="551"/>
    </row>
    <row r="222" spans="2:22" s="371" customFormat="1" ht="12.75" thickBot="1" x14ac:dyDescent="0.25">
      <c r="B222" s="1697"/>
      <c r="C222" s="500" t="s">
        <v>239</v>
      </c>
      <c r="D222" s="500" t="s">
        <v>240</v>
      </c>
      <c r="E222" s="500" t="s">
        <v>241</v>
      </c>
      <c r="F222" s="500" t="s">
        <v>242</v>
      </c>
      <c r="G222" s="500" t="s">
        <v>243</v>
      </c>
      <c r="I222" s="500"/>
      <c r="J222" s="500"/>
      <c r="K222" s="500"/>
      <c r="L222" s="500"/>
      <c r="M222" s="500"/>
      <c r="N222" s="500"/>
      <c r="O222" s="500"/>
      <c r="P222" s="500"/>
      <c r="Q222" s="500"/>
      <c r="R222" s="585"/>
      <c r="S222" s="585"/>
      <c r="T222" s="585"/>
      <c r="U222" s="585"/>
      <c r="V222" s="585"/>
    </row>
    <row r="223" spans="2:22" s="371" customFormat="1" x14ac:dyDescent="0.2">
      <c r="B223" s="501" t="s">
        <v>245</v>
      </c>
      <c r="C223" s="502">
        <v>478</v>
      </c>
      <c r="D223" s="503">
        <v>1891</v>
      </c>
      <c r="E223" s="503">
        <v>1822</v>
      </c>
      <c r="F223" s="503">
        <v>1809</v>
      </c>
      <c r="G223" s="503">
        <v>1819</v>
      </c>
      <c r="I223" s="503"/>
      <c r="J223" s="503"/>
      <c r="K223" s="503"/>
      <c r="L223" s="503"/>
      <c r="M223" s="503"/>
      <c r="N223" s="503"/>
      <c r="O223" s="503"/>
      <c r="P223" s="503"/>
      <c r="Q223" s="503"/>
      <c r="R223" s="586"/>
      <c r="S223" s="586"/>
      <c r="T223" s="586"/>
      <c r="U223" s="586"/>
      <c r="V223" s="586"/>
    </row>
    <row r="224" spans="2:22" s="371" customFormat="1" ht="12.75" thickBot="1" x14ac:dyDescent="0.25">
      <c r="B224" s="504" t="s">
        <v>257</v>
      </c>
      <c r="C224" s="505">
        <f>C175</f>
        <v>0</v>
      </c>
      <c r="D224" s="505">
        <f>D175</f>
        <v>0</v>
      </c>
      <c r="E224" s="505">
        <f>E175</f>
        <v>0</v>
      </c>
      <c r="F224" s="505">
        <f>F175</f>
        <v>0</v>
      </c>
      <c r="G224" s="505">
        <f>G175</f>
        <v>0</v>
      </c>
      <c r="I224" s="505"/>
      <c r="J224" s="505"/>
      <c r="K224" s="505"/>
      <c r="L224" s="505"/>
      <c r="M224" s="505"/>
      <c r="N224" s="505"/>
      <c r="O224" s="505"/>
      <c r="P224" s="505"/>
      <c r="Q224" s="505"/>
      <c r="R224" s="587"/>
      <c r="S224" s="587"/>
      <c r="T224" s="587"/>
      <c r="U224" s="587"/>
      <c r="V224" s="587"/>
    </row>
    <row r="225" spans="2:22" s="371" customFormat="1" ht="12.75" thickBot="1" x14ac:dyDescent="0.25">
      <c r="B225" s="504" t="s">
        <v>258</v>
      </c>
      <c r="C225" s="506">
        <f>(C224-C223)/C223</f>
        <v>-1</v>
      </c>
      <c r="D225" s="506">
        <f>(D224-D223)/D223</f>
        <v>-1</v>
      </c>
      <c r="E225" s="506">
        <f>(E224-E223)/E223</f>
        <v>-1</v>
      </c>
      <c r="F225" s="506">
        <f>(F224-F223)/F223</f>
        <v>-1</v>
      </c>
      <c r="G225" s="506">
        <f>(G224-G223)/G223</f>
        <v>-1</v>
      </c>
      <c r="I225" s="506"/>
      <c r="J225" s="506"/>
      <c r="K225" s="506"/>
      <c r="L225" s="506"/>
      <c r="M225" s="506"/>
      <c r="N225" s="506"/>
      <c r="O225" s="506"/>
      <c r="P225" s="506"/>
      <c r="Q225" s="506"/>
      <c r="R225" s="588"/>
      <c r="S225" s="588"/>
      <c r="T225" s="588"/>
      <c r="U225" s="588"/>
      <c r="V225" s="588"/>
    </row>
    <row r="226" spans="2:22" s="371" customFormat="1" x14ac:dyDescent="0.2">
      <c r="B226" s="497"/>
      <c r="C226" s="498"/>
      <c r="D226" s="498"/>
      <c r="E226" s="498"/>
      <c r="F226" s="498"/>
      <c r="G226" s="498"/>
      <c r="I226" s="498"/>
      <c r="J226" s="498"/>
      <c r="K226" s="498"/>
      <c r="L226" s="498"/>
      <c r="M226" s="498"/>
      <c r="N226" s="498"/>
      <c r="O226" s="498"/>
      <c r="P226" s="498"/>
      <c r="Q226" s="498"/>
      <c r="R226" s="584"/>
      <c r="S226" s="584"/>
      <c r="T226" s="584"/>
      <c r="U226" s="584"/>
      <c r="V226" s="584"/>
    </row>
    <row r="227" spans="2:22" s="371" customFormat="1" ht="12.75" thickBot="1" x14ac:dyDescent="0.25">
      <c r="B227" s="497"/>
      <c r="C227" s="498"/>
      <c r="D227" s="498"/>
      <c r="E227" s="498"/>
      <c r="F227" s="498"/>
      <c r="G227" s="498"/>
      <c r="I227" s="498"/>
      <c r="J227" s="498"/>
      <c r="K227" s="498"/>
      <c r="L227" s="498"/>
      <c r="M227" s="498"/>
      <c r="N227" s="498"/>
      <c r="O227" s="498"/>
      <c r="P227" s="498"/>
      <c r="Q227" s="498"/>
      <c r="R227" s="584"/>
      <c r="S227" s="584"/>
      <c r="T227" s="584"/>
      <c r="U227" s="584"/>
      <c r="V227" s="584"/>
    </row>
    <row r="228" spans="2:22" s="371" customFormat="1" ht="12.75" thickBot="1" x14ac:dyDescent="0.25">
      <c r="B228" s="1696"/>
      <c r="C228" s="1698" t="s">
        <v>256</v>
      </c>
      <c r="D228" s="1699"/>
      <c r="E228" s="1699"/>
      <c r="F228" s="1699"/>
      <c r="G228" s="1700"/>
      <c r="R228" s="551"/>
      <c r="S228" s="551"/>
      <c r="T228" s="551"/>
      <c r="U228" s="551"/>
      <c r="V228" s="551"/>
    </row>
    <row r="229" spans="2:22" s="371" customFormat="1" ht="12.75" thickBot="1" x14ac:dyDescent="0.25">
      <c r="B229" s="1697"/>
      <c r="C229" s="500" t="s">
        <v>239</v>
      </c>
      <c r="D229" s="500" t="s">
        <v>240</v>
      </c>
      <c r="E229" s="500" t="s">
        <v>241</v>
      </c>
      <c r="F229" s="500" t="s">
        <v>242</v>
      </c>
      <c r="G229" s="500" t="s">
        <v>243</v>
      </c>
      <c r="I229" s="500"/>
      <c r="J229" s="500"/>
      <c r="K229" s="500"/>
      <c r="L229" s="500"/>
      <c r="M229" s="500"/>
      <c r="N229" s="500"/>
      <c r="O229" s="500"/>
      <c r="P229" s="500"/>
      <c r="Q229" s="500"/>
      <c r="R229" s="585"/>
      <c r="S229" s="585"/>
      <c r="T229" s="585"/>
      <c r="U229" s="585"/>
      <c r="V229" s="585"/>
    </row>
    <row r="230" spans="2:22" s="371" customFormat="1" x14ac:dyDescent="0.2">
      <c r="B230" s="501" t="s">
        <v>245</v>
      </c>
      <c r="C230" s="502">
        <v>478</v>
      </c>
      <c r="D230" s="503">
        <v>1891</v>
      </c>
      <c r="E230" s="503">
        <v>1822</v>
      </c>
      <c r="F230" s="503">
        <v>1809</v>
      </c>
      <c r="G230" s="503">
        <v>1819</v>
      </c>
      <c r="I230" s="503"/>
      <c r="J230" s="503"/>
      <c r="K230" s="503"/>
      <c r="L230" s="503"/>
      <c r="M230" s="503"/>
      <c r="N230" s="503"/>
      <c r="O230" s="503"/>
      <c r="P230" s="503"/>
      <c r="Q230" s="503"/>
      <c r="R230" s="586"/>
      <c r="S230" s="586"/>
      <c r="T230" s="586"/>
      <c r="U230" s="586"/>
      <c r="V230" s="586"/>
    </row>
    <row r="231" spans="2:22" s="371" customFormat="1" ht="12.75" thickBot="1" x14ac:dyDescent="0.25">
      <c r="B231" s="504" t="s">
        <v>257</v>
      </c>
      <c r="C231" s="505">
        <f>C182</f>
        <v>0</v>
      </c>
      <c r="D231" s="505">
        <f>D182</f>
        <v>1912.3437712870959</v>
      </c>
      <c r="E231" s="505">
        <f>E182</f>
        <v>1826.3015425063627</v>
      </c>
      <c r="F231" s="505">
        <f>F182</f>
        <v>1808.3859195292002</v>
      </c>
      <c r="G231" s="505">
        <f>G182</f>
        <v>1812.7492928169975</v>
      </c>
      <c r="I231" s="505"/>
      <c r="J231" s="505"/>
      <c r="K231" s="505"/>
      <c r="L231" s="505"/>
      <c r="M231" s="505"/>
      <c r="N231" s="505"/>
      <c r="O231" s="505"/>
      <c r="P231" s="505"/>
      <c r="Q231" s="505"/>
      <c r="R231" s="587"/>
      <c r="S231" s="587"/>
      <c r="T231" s="587"/>
      <c r="U231" s="587"/>
      <c r="V231" s="587"/>
    </row>
    <row r="232" spans="2:22" s="371" customFormat="1" ht="12.75" thickBot="1" x14ac:dyDescent="0.25">
      <c r="B232" s="504" t="s">
        <v>258</v>
      </c>
      <c r="C232" s="506">
        <f>(C231-C230)/C230</f>
        <v>-1</v>
      </c>
      <c r="D232" s="506">
        <f>(D231-D230)/D230</f>
        <v>1.1287028708141689E-2</v>
      </c>
      <c r="E232" s="506">
        <f>(E231-E230)/E230</f>
        <v>2.3608905084317746E-3</v>
      </c>
      <c r="F232" s="506">
        <f>(F231-F230)/F230</f>
        <v>-3.3945852448853686E-4</v>
      </c>
      <c r="G232" s="506">
        <f>(G231-G230)/G230</f>
        <v>-3.4363425964829756E-3</v>
      </c>
      <c r="I232" s="506"/>
      <c r="J232" s="506"/>
      <c r="K232" s="506"/>
      <c r="L232" s="506"/>
      <c r="M232" s="506"/>
      <c r="N232" s="506"/>
      <c r="O232" s="506"/>
      <c r="P232" s="506"/>
      <c r="Q232" s="506"/>
      <c r="R232" s="588"/>
      <c r="S232" s="588"/>
      <c r="T232" s="588"/>
      <c r="U232" s="588"/>
      <c r="V232" s="588"/>
    </row>
    <row r="233" spans="2:22" s="371" customFormat="1" x14ac:dyDescent="0.2">
      <c r="B233" s="497"/>
      <c r="C233" s="498"/>
      <c r="D233" s="498"/>
      <c r="E233" s="498"/>
      <c r="F233" s="498"/>
      <c r="G233" s="498"/>
      <c r="I233" s="498"/>
      <c r="J233" s="498"/>
      <c r="K233" s="498"/>
      <c r="L233" s="498"/>
      <c r="M233" s="498"/>
      <c r="N233" s="498"/>
      <c r="O233" s="498"/>
      <c r="P233" s="498"/>
      <c r="Q233" s="498"/>
      <c r="R233" s="584"/>
      <c r="S233" s="584"/>
      <c r="T233" s="584"/>
      <c r="U233" s="584"/>
      <c r="V233" s="584"/>
    </row>
    <row r="234" spans="2:22" s="371" customFormat="1" ht="12.75" thickBot="1" x14ac:dyDescent="0.25">
      <c r="B234" s="497"/>
      <c r="C234" s="498"/>
      <c r="D234" s="498"/>
      <c r="E234" s="498"/>
      <c r="F234" s="498"/>
      <c r="G234" s="498"/>
      <c r="I234" s="498"/>
      <c r="J234" s="498"/>
      <c r="K234" s="498"/>
      <c r="L234" s="498"/>
      <c r="M234" s="498"/>
      <c r="N234" s="498"/>
      <c r="O234" s="498"/>
      <c r="P234" s="498"/>
      <c r="Q234" s="498"/>
      <c r="R234" s="584"/>
      <c r="S234" s="584"/>
      <c r="T234" s="584"/>
      <c r="U234" s="584"/>
      <c r="V234" s="584"/>
    </row>
    <row r="235" spans="2:22" s="371" customFormat="1" ht="12.75" thickBot="1" x14ac:dyDescent="0.25">
      <c r="B235" s="1696"/>
      <c r="C235" s="1698" t="s">
        <v>256</v>
      </c>
      <c r="D235" s="1699"/>
      <c r="E235" s="1699"/>
      <c r="F235" s="1699"/>
      <c r="G235" s="1700"/>
      <c r="R235" s="551"/>
      <c r="S235" s="551"/>
      <c r="T235" s="551"/>
      <c r="U235" s="551"/>
      <c r="V235" s="551"/>
    </row>
    <row r="236" spans="2:22" s="371" customFormat="1" ht="12.75" thickBot="1" x14ac:dyDescent="0.25">
      <c r="B236" s="1697"/>
      <c r="C236" s="500" t="s">
        <v>239</v>
      </c>
      <c r="D236" s="500" t="s">
        <v>240</v>
      </c>
      <c r="E236" s="500" t="s">
        <v>241</v>
      </c>
      <c r="F236" s="500" t="s">
        <v>242</v>
      </c>
      <c r="G236" s="500" t="s">
        <v>243</v>
      </c>
      <c r="I236" s="500"/>
      <c r="J236" s="500"/>
      <c r="K236" s="500"/>
      <c r="L236" s="500"/>
      <c r="M236" s="500"/>
      <c r="N236" s="500"/>
      <c r="O236" s="500"/>
      <c r="P236" s="500"/>
      <c r="Q236" s="500"/>
      <c r="R236" s="585"/>
      <c r="S236" s="585"/>
      <c r="T236" s="585"/>
      <c r="U236" s="585"/>
      <c r="V236" s="585"/>
    </row>
    <row r="237" spans="2:22" s="371" customFormat="1" x14ac:dyDescent="0.2">
      <c r="B237" s="501" t="s">
        <v>245</v>
      </c>
      <c r="C237" s="502">
        <v>478</v>
      </c>
      <c r="D237" s="503">
        <v>1891</v>
      </c>
      <c r="E237" s="503">
        <v>1822</v>
      </c>
      <c r="F237" s="503">
        <v>1809</v>
      </c>
      <c r="G237" s="503">
        <v>1819</v>
      </c>
      <c r="I237" s="503"/>
      <c r="J237" s="503"/>
      <c r="K237" s="503"/>
      <c r="L237" s="503"/>
      <c r="M237" s="503"/>
      <c r="N237" s="503"/>
      <c r="O237" s="503"/>
      <c r="P237" s="503"/>
      <c r="Q237" s="503"/>
      <c r="R237" s="586"/>
      <c r="S237" s="586"/>
      <c r="T237" s="586"/>
      <c r="U237" s="586"/>
      <c r="V237" s="586"/>
    </row>
    <row r="238" spans="2:22" s="371" customFormat="1" ht="12.75" thickBot="1" x14ac:dyDescent="0.25">
      <c r="B238" s="504" t="s">
        <v>257</v>
      </c>
      <c r="C238" s="505">
        <f>C192</f>
        <v>0</v>
      </c>
      <c r="D238" s="505">
        <f>D192</f>
        <v>0</v>
      </c>
      <c r="E238" s="505">
        <f>E192</f>
        <v>0</v>
      </c>
      <c r="F238" s="505">
        <f>F192</f>
        <v>0</v>
      </c>
      <c r="G238" s="505">
        <f>G192</f>
        <v>0</v>
      </c>
      <c r="I238" s="505"/>
      <c r="J238" s="505"/>
      <c r="K238" s="505"/>
      <c r="L238" s="505"/>
      <c r="M238" s="505"/>
      <c r="N238" s="505"/>
      <c r="O238" s="505"/>
      <c r="P238" s="505"/>
      <c r="Q238" s="505"/>
      <c r="R238" s="587"/>
      <c r="S238" s="587"/>
      <c r="T238" s="587"/>
      <c r="U238" s="587"/>
      <c r="V238" s="587"/>
    </row>
    <row r="239" spans="2:22" s="371" customFormat="1" ht="12.75" thickBot="1" x14ac:dyDescent="0.25">
      <c r="B239" s="504" t="s">
        <v>258</v>
      </c>
      <c r="C239" s="506">
        <f>(C238-C237)/C237</f>
        <v>-1</v>
      </c>
      <c r="D239" s="506">
        <f>(D238-D237)/D237</f>
        <v>-1</v>
      </c>
      <c r="E239" s="506">
        <f>(E238-E237)/E237</f>
        <v>-1</v>
      </c>
      <c r="F239" s="506">
        <f>(F238-F237)/F237</f>
        <v>-1</v>
      </c>
      <c r="G239" s="506">
        <f>(G238-G237)/G237</f>
        <v>-1</v>
      </c>
      <c r="I239" s="506"/>
      <c r="J239" s="506"/>
      <c r="K239" s="506"/>
      <c r="L239" s="506"/>
      <c r="M239" s="506"/>
      <c r="N239" s="506"/>
      <c r="O239" s="506"/>
      <c r="P239" s="506"/>
      <c r="Q239" s="506"/>
      <c r="R239" s="588"/>
      <c r="S239" s="588"/>
      <c r="T239" s="588"/>
      <c r="U239" s="588"/>
      <c r="V239" s="588"/>
    </row>
    <row r="240" spans="2:22" s="371" customFormat="1" x14ac:dyDescent="0.2">
      <c r="R240" s="551"/>
      <c r="S240" s="551"/>
      <c r="T240" s="551"/>
      <c r="U240" s="551"/>
      <c r="V240" s="551"/>
    </row>
    <row r="241" spans="2:22" s="371" customFormat="1" x14ac:dyDescent="0.2">
      <c r="C241" s="507"/>
      <c r="D241" s="507"/>
      <c r="E241" s="507"/>
      <c r="F241" s="507"/>
      <c r="G241" s="507"/>
      <c r="I241" s="507"/>
      <c r="J241" s="507"/>
      <c r="K241" s="507"/>
      <c r="L241" s="507"/>
      <c r="M241" s="507"/>
      <c r="N241" s="507"/>
      <c r="O241" s="507"/>
      <c r="P241" s="507"/>
      <c r="Q241" s="507"/>
      <c r="R241" s="589"/>
      <c r="S241" s="589"/>
      <c r="T241" s="589"/>
      <c r="U241" s="589"/>
      <c r="V241" s="589"/>
    </row>
    <row r="242" spans="2:22" s="371" customFormat="1" ht="12.75" thickBot="1" x14ac:dyDescent="0.25">
      <c r="R242" s="551"/>
      <c r="S242" s="551"/>
      <c r="T242" s="551"/>
      <c r="U242" s="551"/>
      <c r="V242" s="551"/>
    </row>
    <row r="243" spans="2:22" s="371" customFormat="1" ht="12.75" thickBot="1" x14ac:dyDescent="0.25">
      <c r="B243" s="1701"/>
      <c r="C243" s="1703" t="s">
        <v>259</v>
      </c>
      <c r="D243" s="1704"/>
      <c r="E243" s="1704"/>
      <c r="F243" s="1704"/>
      <c r="G243" s="1705"/>
      <c r="R243" s="551"/>
      <c r="S243" s="551"/>
      <c r="T243" s="551"/>
      <c r="U243" s="551"/>
      <c r="V243" s="551"/>
    </row>
    <row r="244" spans="2:22" s="371" customFormat="1" ht="12.75" thickBot="1" x14ac:dyDescent="0.25">
      <c r="B244" s="1702"/>
      <c r="C244" s="508" t="s">
        <v>239</v>
      </c>
      <c r="D244" s="508" t="s">
        <v>240</v>
      </c>
      <c r="E244" s="508" t="s">
        <v>241</v>
      </c>
      <c r="F244" s="508" t="s">
        <v>242</v>
      </c>
      <c r="G244" s="508" t="s">
        <v>243</v>
      </c>
      <c r="I244" s="508"/>
      <c r="J244" s="508"/>
      <c r="K244" s="508"/>
      <c r="L244" s="508"/>
      <c r="M244" s="508"/>
      <c r="N244" s="508"/>
      <c r="O244" s="508"/>
      <c r="P244" s="508"/>
      <c r="Q244" s="508"/>
      <c r="R244" s="590"/>
      <c r="S244" s="590"/>
      <c r="T244" s="590"/>
      <c r="U244" s="590"/>
      <c r="V244" s="590"/>
    </row>
    <row r="245" spans="2:22" s="371" customFormat="1" ht="12.75" thickBot="1" x14ac:dyDescent="0.25">
      <c r="B245" s="509" t="s">
        <v>260</v>
      </c>
      <c r="C245" s="510">
        <v>133</v>
      </c>
      <c r="D245" s="510">
        <v>530</v>
      </c>
      <c r="E245" s="510">
        <v>521</v>
      </c>
      <c r="F245" s="510">
        <v>529</v>
      </c>
      <c r="G245" s="510">
        <v>544</v>
      </c>
      <c r="I245" s="510"/>
      <c r="J245" s="510"/>
      <c r="K245" s="510"/>
      <c r="L245" s="510"/>
      <c r="M245" s="510"/>
      <c r="N245" s="510"/>
      <c r="O245" s="510"/>
      <c r="P245" s="510"/>
      <c r="Q245" s="510"/>
      <c r="R245" s="591"/>
      <c r="S245" s="591"/>
      <c r="T245" s="591"/>
      <c r="U245" s="591"/>
      <c r="V245" s="591"/>
    </row>
    <row r="246" spans="2:22" s="371" customFormat="1" ht="12.75" thickBot="1" x14ac:dyDescent="0.25">
      <c r="B246" s="509" t="s">
        <v>257</v>
      </c>
      <c r="C246" s="511">
        <v>163</v>
      </c>
      <c r="D246" s="511">
        <v>645</v>
      </c>
      <c r="E246" s="511">
        <v>629</v>
      </c>
      <c r="F246" s="511">
        <v>629</v>
      </c>
      <c r="G246" s="511">
        <v>637</v>
      </c>
      <c r="I246" s="511"/>
      <c r="J246" s="511"/>
      <c r="K246" s="511"/>
      <c r="L246" s="511"/>
      <c r="M246" s="511"/>
      <c r="N246" s="511"/>
      <c r="O246" s="511"/>
      <c r="P246" s="511"/>
      <c r="Q246" s="511"/>
      <c r="R246" s="592"/>
      <c r="S246" s="592"/>
      <c r="T246" s="592"/>
      <c r="U246" s="592"/>
      <c r="V246" s="592"/>
    </row>
    <row r="247" spans="2:22" s="371" customFormat="1" ht="12.75" thickBot="1" x14ac:dyDescent="0.25">
      <c r="B247" s="509" t="s">
        <v>261</v>
      </c>
      <c r="C247" s="510">
        <v>23</v>
      </c>
      <c r="D247" s="510">
        <v>22</v>
      </c>
      <c r="E247" s="510">
        <v>21</v>
      </c>
      <c r="F247" s="510">
        <v>19</v>
      </c>
      <c r="G247" s="510">
        <v>17</v>
      </c>
      <c r="I247" s="510"/>
      <c r="J247" s="510"/>
      <c r="K247" s="510"/>
      <c r="L247" s="510"/>
      <c r="M247" s="510"/>
      <c r="N247" s="510"/>
      <c r="O247" s="510"/>
      <c r="P247" s="510"/>
      <c r="Q247" s="510"/>
      <c r="R247" s="591"/>
      <c r="S247" s="591"/>
      <c r="T247" s="591"/>
      <c r="U247" s="591"/>
      <c r="V247" s="591"/>
    </row>
    <row r="248" spans="2:22" s="371" customFormat="1" x14ac:dyDescent="0.2">
      <c r="R248" s="551"/>
      <c r="S248" s="551"/>
      <c r="T248" s="551"/>
      <c r="U248" s="551"/>
      <c r="V248" s="551"/>
    </row>
    <row r="249" spans="2:22" s="371" customFormat="1" x14ac:dyDescent="0.2">
      <c r="C249" s="512">
        <f>D11*D6</f>
        <v>597.20819881779801</v>
      </c>
      <c r="D249" s="512">
        <f>E11*E6</f>
        <v>601.07311884520266</v>
      </c>
      <c r="E249" s="512">
        <f>F11*F6</f>
        <v>615.29939942420015</v>
      </c>
      <c r="F249" s="512">
        <f>G11*G6</f>
        <v>612.68171982689546</v>
      </c>
      <c r="G249" s="512">
        <f>H11*H6</f>
        <v>615.80530675124498</v>
      </c>
      <c r="I249" s="512"/>
      <c r="J249" s="512"/>
      <c r="K249" s="512"/>
      <c r="L249" s="512"/>
      <c r="M249" s="512"/>
      <c r="N249" s="512"/>
      <c r="O249" s="512"/>
      <c r="P249" s="512"/>
      <c r="Q249" s="512"/>
      <c r="R249" s="593"/>
      <c r="S249" s="593"/>
      <c r="T249" s="593"/>
      <c r="U249" s="593"/>
      <c r="V249" s="593"/>
    </row>
    <row r="250" spans="2:22" s="371" customFormat="1" x14ac:dyDescent="0.2">
      <c r="C250" s="512">
        <f>C249/4</f>
        <v>149.3020497044495</v>
      </c>
      <c r="D250" s="512">
        <f>D249/4</f>
        <v>150.26827971130066</v>
      </c>
      <c r="E250" s="512">
        <f>E249/4</f>
        <v>153.82484985605004</v>
      </c>
      <c r="F250" s="512">
        <f>F249/4</f>
        <v>153.17042995672386</v>
      </c>
      <c r="G250" s="512">
        <f>G249/4</f>
        <v>153.95132668781125</v>
      </c>
      <c r="I250" s="512"/>
      <c r="J250" s="512"/>
      <c r="K250" s="512"/>
      <c r="L250" s="512"/>
      <c r="M250" s="512"/>
      <c r="N250" s="512"/>
      <c r="O250" s="512"/>
      <c r="P250" s="512"/>
      <c r="Q250" s="512"/>
      <c r="R250" s="593"/>
      <c r="S250" s="593"/>
      <c r="T250" s="593"/>
      <c r="U250" s="593"/>
      <c r="V250" s="593"/>
    </row>
    <row r="251" spans="2:22" s="371" customFormat="1" x14ac:dyDescent="0.2">
      <c r="C251" s="513">
        <f>C250</f>
        <v>149.3020497044495</v>
      </c>
      <c r="D251" s="513">
        <f>C250*3+D250</f>
        <v>598.17442882464923</v>
      </c>
      <c r="E251" s="513">
        <f>D250*3+E250</f>
        <v>604.629688989952</v>
      </c>
      <c r="F251" s="513">
        <f>E250*3+F250</f>
        <v>614.64497952487397</v>
      </c>
      <c r="G251" s="513">
        <f>F250*3+G250</f>
        <v>613.46261655798287</v>
      </c>
      <c r="I251" s="513"/>
      <c r="J251" s="513"/>
      <c r="K251" s="513"/>
      <c r="L251" s="513"/>
      <c r="M251" s="513"/>
      <c r="N251" s="513"/>
      <c r="O251" s="513"/>
      <c r="P251" s="513"/>
      <c r="Q251" s="513"/>
      <c r="R251" s="594"/>
      <c r="S251" s="594"/>
      <c r="T251" s="594"/>
      <c r="U251" s="594"/>
      <c r="V251" s="594"/>
    </row>
    <row r="252" spans="2:22" s="371" customFormat="1" x14ac:dyDescent="0.2">
      <c r="R252" s="551"/>
      <c r="S252" s="551"/>
      <c r="T252" s="551"/>
      <c r="U252" s="551"/>
      <c r="V252" s="551"/>
    </row>
    <row r="253" spans="2:22" s="371" customFormat="1" x14ac:dyDescent="0.2">
      <c r="C253" s="507">
        <f>(C251-C245)/C245</f>
        <v>0.12257180228909399</v>
      </c>
      <c r="D253" s="507">
        <f>(D251-D245)/D245</f>
        <v>0.12863099778235704</v>
      </c>
      <c r="E253" s="507">
        <f>(E251-E245)/E245</f>
        <v>0.16051763721679846</v>
      </c>
      <c r="F253" s="507">
        <f>(F251-F245)/F245</f>
        <v>0.16189977225874097</v>
      </c>
      <c r="G253" s="507">
        <f>(G251-G245)/G245</f>
        <v>0.12768863337864497</v>
      </c>
      <c r="I253" s="507"/>
      <c r="J253" s="507"/>
      <c r="K253" s="507"/>
      <c r="L253" s="507"/>
      <c r="M253" s="507"/>
      <c r="N253" s="507"/>
      <c r="O253" s="507"/>
      <c r="P253" s="507"/>
      <c r="Q253" s="507"/>
      <c r="R253" s="589"/>
      <c r="S253" s="589"/>
      <c r="T253" s="589"/>
      <c r="U253" s="589"/>
      <c r="V253" s="589"/>
    </row>
    <row r="254" spans="2:22" s="371" customFormat="1" x14ac:dyDescent="0.2">
      <c r="R254" s="551"/>
      <c r="S254" s="551"/>
      <c r="T254" s="551"/>
      <c r="U254" s="551"/>
      <c r="V254" s="551"/>
    </row>
    <row r="255" spans="2:22" s="371" customFormat="1" x14ac:dyDescent="0.2">
      <c r="R255" s="551"/>
      <c r="S255" s="551"/>
      <c r="T255" s="551"/>
      <c r="U255" s="551"/>
      <c r="V255" s="551"/>
    </row>
    <row r="256" spans="2:22" s="371" customFormat="1" x14ac:dyDescent="0.2">
      <c r="R256" s="551"/>
      <c r="S256" s="551"/>
      <c r="T256" s="551"/>
      <c r="U256" s="551"/>
      <c r="V256" s="551"/>
    </row>
    <row r="257" spans="1:43" s="371" customFormat="1" x14ac:dyDescent="0.2">
      <c r="R257" s="551"/>
      <c r="S257" s="551"/>
      <c r="T257" s="551"/>
      <c r="U257" s="551"/>
      <c r="V257" s="551"/>
    </row>
    <row r="258" spans="1:43" s="371" customFormat="1" x14ac:dyDescent="0.2">
      <c r="R258" s="551"/>
      <c r="S258" s="551"/>
      <c r="T258" s="551"/>
      <c r="U258" s="551"/>
      <c r="V258" s="551"/>
    </row>
    <row r="259" spans="1:43" s="371" customFormat="1" x14ac:dyDescent="0.2">
      <c r="R259" s="551"/>
      <c r="S259" s="551"/>
      <c r="T259" s="551"/>
      <c r="U259" s="551"/>
      <c r="V259" s="551"/>
    </row>
    <row r="260" spans="1:43" s="371" customFormat="1" x14ac:dyDescent="0.2">
      <c r="R260" s="551"/>
      <c r="S260" s="551"/>
      <c r="T260" s="551"/>
      <c r="U260" s="551"/>
      <c r="V260" s="551"/>
    </row>
    <row r="261" spans="1:43" s="371" customFormat="1" x14ac:dyDescent="0.2">
      <c r="R261" s="551"/>
      <c r="S261" s="551"/>
      <c r="T261" s="551"/>
      <c r="U261" s="551"/>
      <c r="V261" s="551"/>
    </row>
    <row r="262" spans="1:43" s="371" customFormat="1" x14ac:dyDescent="0.2">
      <c r="R262" s="551"/>
      <c r="S262" s="551"/>
      <c r="T262" s="551"/>
      <c r="U262" s="551"/>
      <c r="V262" s="551"/>
    </row>
    <row r="263" spans="1:43" s="371" customFormat="1" x14ac:dyDescent="0.2">
      <c r="R263" s="551"/>
      <c r="S263" s="551"/>
      <c r="T263" s="551"/>
      <c r="U263" s="551"/>
      <c r="V263" s="551"/>
    </row>
    <row r="264" spans="1:43" s="371" customFormat="1" x14ac:dyDescent="0.2">
      <c r="R264" s="551"/>
      <c r="S264" s="551"/>
      <c r="T264" s="551"/>
      <c r="U264" s="551"/>
      <c r="V264" s="551"/>
    </row>
    <row r="265" spans="1:43" s="371" customFormat="1" x14ac:dyDescent="0.2">
      <c r="R265" s="551"/>
      <c r="S265" s="551"/>
      <c r="T265" s="551"/>
      <c r="U265" s="551"/>
      <c r="V265" s="551"/>
    </row>
    <row r="266" spans="1:43" s="371" customFormat="1" x14ac:dyDescent="0.2">
      <c r="R266" s="551"/>
      <c r="S266" s="551"/>
      <c r="T266" s="551"/>
      <c r="U266" s="551"/>
      <c r="V266" s="551"/>
    </row>
    <row r="267" spans="1:43" s="371" customFormat="1" x14ac:dyDescent="0.2">
      <c r="R267" s="551"/>
      <c r="S267" s="551"/>
      <c r="T267" s="551"/>
      <c r="U267" s="551"/>
      <c r="V267" s="551"/>
    </row>
    <row r="268" spans="1:43" s="371" customFormat="1" x14ac:dyDescent="0.2">
      <c r="R268" s="551"/>
      <c r="S268" s="551"/>
      <c r="T268" s="551"/>
      <c r="U268" s="551"/>
      <c r="V268" s="551"/>
    </row>
    <row r="269" spans="1:43" s="371" customFormat="1" x14ac:dyDescent="0.2">
      <c r="R269" s="551"/>
      <c r="S269" s="551"/>
      <c r="T269" s="551"/>
      <c r="U269" s="551"/>
      <c r="V269" s="551"/>
    </row>
    <row r="270" spans="1:43" s="371" customFormat="1" x14ac:dyDescent="0.2">
      <c r="R270" s="551"/>
      <c r="S270" s="551"/>
      <c r="T270" s="551"/>
      <c r="U270" s="551"/>
      <c r="V270" s="551"/>
    </row>
    <row r="271" spans="1:43" x14ac:dyDescent="0.2">
      <c r="A271" s="385"/>
      <c r="B271" s="371"/>
      <c r="C271" s="371"/>
      <c r="D271" s="371"/>
      <c r="E271" s="371"/>
      <c r="F271" s="371"/>
      <c r="G271" s="371"/>
      <c r="H271" s="371"/>
      <c r="I271" s="371"/>
      <c r="J271" s="371"/>
      <c r="K271" s="371"/>
      <c r="L271" s="371"/>
      <c r="M271" s="371"/>
      <c r="N271" s="371"/>
      <c r="O271" s="371"/>
      <c r="P271" s="371"/>
      <c r="Q271" s="371"/>
      <c r="R271" s="551"/>
      <c r="S271" s="551"/>
      <c r="T271" s="551"/>
      <c r="U271" s="551"/>
      <c r="V271" s="551"/>
      <c r="W271" s="371"/>
      <c r="X271" s="371"/>
      <c r="Y271" s="385"/>
      <c r="Z271" s="385"/>
      <c r="AA271" s="385"/>
      <c r="AB271" s="385"/>
      <c r="AC271" s="385"/>
      <c r="AD271" s="385"/>
      <c r="AE271" s="385"/>
      <c r="AF271" s="385"/>
      <c r="AG271" s="385"/>
      <c r="AH271" s="385"/>
      <c r="AI271" s="385"/>
      <c r="AJ271" s="385"/>
      <c r="AK271" s="385"/>
      <c r="AL271" s="385"/>
      <c r="AM271" s="385"/>
      <c r="AN271" s="385"/>
      <c r="AO271" s="385"/>
      <c r="AP271" s="385"/>
      <c r="AQ271" s="385"/>
    </row>
    <row r="272" spans="1:43" x14ac:dyDescent="0.2">
      <c r="A272" s="385"/>
      <c r="B272" s="371"/>
      <c r="C272" s="371"/>
      <c r="D272" s="371"/>
      <c r="E272" s="371"/>
      <c r="F272" s="371"/>
      <c r="G272" s="371"/>
      <c r="H272" s="371"/>
      <c r="I272" s="371"/>
      <c r="J272" s="371"/>
      <c r="K272" s="371"/>
      <c r="L272" s="371"/>
      <c r="M272" s="371"/>
      <c r="N272" s="371"/>
      <c r="O272" s="371"/>
      <c r="P272" s="371"/>
      <c r="Q272" s="371"/>
      <c r="R272" s="551"/>
      <c r="S272" s="551"/>
      <c r="T272" s="551"/>
      <c r="U272" s="551"/>
      <c r="V272" s="551"/>
      <c r="W272" s="371"/>
      <c r="X272" s="371"/>
      <c r="Y272" s="385"/>
      <c r="Z272" s="385"/>
      <c r="AA272" s="385"/>
      <c r="AB272" s="385"/>
      <c r="AC272" s="385"/>
      <c r="AD272" s="385"/>
      <c r="AE272" s="385"/>
      <c r="AF272" s="385"/>
      <c r="AG272" s="385"/>
      <c r="AH272" s="385"/>
      <c r="AI272" s="385"/>
      <c r="AJ272" s="385"/>
      <c r="AK272" s="385"/>
      <c r="AL272" s="385"/>
      <c r="AM272" s="385"/>
      <c r="AN272" s="385"/>
      <c r="AO272" s="385"/>
      <c r="AP272" s="385"/>
      <c r="AQ272" s="385"/>
    </row>
    <row r="273" spans="1:43" x14ac:dyDescent="0.2">
      <c r="A273" s="385"/>
      <c r="B273" s="371"/>
      <c r="C273" s="371"/>
      <c r="D273" s="371"/>
      <c r="E273" s="371"/>
      <c r="F273" s="371"/>
      <c r="G273" s="371"/>
      <c r="H273" s="371"/>
      <c r="I273" s="371"/>
      <c r="J273" s="371"/>
      <c r="K273" s="371"/>
      <c r="L273" s="371"/>
      <c r="M273" s="371"/>
      <c r="N273" s="371"/>
      <c r="O273" s="371"/>
      <c r="P273" s="371"/>
      <c r="Q273" s="371"/>
      <c r="R273" s="551"/>
      <c r="S273" s="551"/>
      <c r="T273" s="551"/>
      <c r="U273" s="551"/>
      <c r="V273" s="551"/>
      <c r="Y273" s="385"/>
      <c r="Z273" s="385"/>
      <c r="AA273" s="385"/>
      <c r="AB273" s="385"/>
      <c r="AC273" s="385"/>
      <c r="AD273" s="385"/>
      <c r="AE273" s="385"/>
      <c r="AF273" s="385"/>
      <c r="AG273" s="385"/>
      <c r="AH273" s="385"/>
      <c r="AI273" s="385"/>
      <c r="AJ273" s="385"/>
      <c r="AK273" s="385"/>
      <c r="AL273" s="385"/>
      <c r="AM273" s="385"/>
      <c r="AN273" s="385"/>
      <c r="AO273" s="385"/>
      <c r="AP273" s="385"/>
      <c r="AQ273" s="385"/>
    </row>
    <row r="274" spans="1:43" x14ac:dyDescent="0.2">
      <c r="A274" s="385"/>
      <c r="B274" s="371"/>
      <c r="C274" s="371"/>
      <c r="D274" s="371"/>
      <c r="E274" s="371"/>
      <c r="F274" s="371"/>
      <c r="G274" s="371"/>
      <c r="H274" s="371"/>
      <c r="I274" s="371"/>
      <c r="J274" s="371"/>
      <c r="K274" s="371"/>
      <c r="L274" s="371"/>
      <c r="M274" s="371"/>
      <c r="N274" s="371"/>
      <c r="O274" s="371"/>
      <c r="P274" s="371"/>
      <c r="Q274" s="371"/>
      <c r="R274" s="551"/>
      <c r="S274" s="551"/>
      <c r="T274" s="551"/>
      <c r="U274" s="551"/>
      <c r="V274" s="551"/>
      <c r="Y274" s="385"/>
      <c r="Z274" s="385"/>
      <c r="AA274" s="385"/>
      <c r="AB274" s="385"/>
      <c r="AC274" s="385"/>
      <c r="AD274" s="385"/>
      <c r="AE274" s="385"/>
      <c r="AF274" s="385"/>
      <c r="AG274" s="385"/>
      <c r="AH274" s="385"/>
      <c r="AI274" s="385"/>
      <c r="AJ274" s="385"/>
      <c r="AK274" s="385"/>
      <c r="AL274" s="385"/>
      <c r="AM274" s="385"/>
      <c r="AN274" s="385"/>
      <c r="AO274" s="385"/>
      <c r="AP274" s="385"/>
      <c r="AQ274" s="385"/>
    </row>
    <row r="275" spans="1:43" x14ac:dyDescent="0.2">
      <c r="A275" s="385"/>
      <c r="B275" s="371"/>
      <c r="C275" s="371"/>
      <c r="D275" s="371"/>
      <c r="E275" s="371"/>
      <c r="F275" s="371"/>
      <c r="G275" s="371"/>
      <c r="H275" s="371"/>
      <c r="I275" s="371"/>
      <c r="J275" s="371"/>
      <c r="K275" s="371"/>
      <c r="L275" s="371"/>
      <c r="M275" s="371"/>
      <c r="N275" s="371"/>
      <c r="O275" s="371"/>
      <c r="P275" s="371"/>
      <c r="Q275" s="371"/>
      <c r="R275" s="551"/>
      <c r="S275" s="551"/>
      <c r="T275" s="551"/>
      <c r="U275" s="551"/>
      <c r="V275" s="551"/>
      <c r="Y275" s="385"/>
      <c r="Z275" s="385"/>
      <c r="AA275" s="385"/>
      <c r="AB275" s="385"/>
      <c r="AC275" s="385"/>
      <c r="AD275" s="385"/>
      <c r="AE275" s="385"/>
      <c r="AF275" s="385"/>
      <c r="AG275" s="385"/>
      <c r="AH275" s="385"/>
      <c r="AI275" s="385"/>
      <c r="AJ275" s="385"/>
      <c r="AK275" s="385"/>
      <c r="AL275" s="385"/>
      <c r="AM275" s="385"/>
      <c r="AN275" s="385"/>
      <c r="AO275" s="385"/>
      <c r="AP275" s="385"/>
      <c r="AQ275" s="385"/>
    </row>
    <row r="276" spans="1:43" x14ac:dyDescent="0.2">
      <c r="A276" s="385"/>
      <c r="B276" s="371"/>
      <c r="C276" s="371"/>
      <c r="D276" s="371"/>
      <c r="E276" s="371"/>
      <c r="F276" s="371"/>
      <c r="G276" s="371"/>
      <c r="H276" s="371"/>
      <c r="I276" s="371"/>
      <c r="J276" s="371"/>
      <c r="K276" s="371"/>
      <c r="L276" s="371"/>
      <c r="M276" s="371"/>
      <c r="N276" s="371"/>
      <c r="O276" s="371"/>
      <c r="P276" s="371"/>
      <c r="Q276" s="371"/>
      <c r="R276" s="551"/>
      <c r="S276" s="551"/>
      <c r="T276" s="551"/>
      <c r="U276" s="551"/>
      <c r="V276" s="551"/>
      <c r="Y276" s="385"/>
      <c r="Z276" s="385"/>
      <c r="AA276" s="385"/>
      <c r="AB276" s="385"/>
      <c r="AC276" s="385"/>
      <c r="AD276" s="385"/>
      <c r="AE276" s="385"/>
      <c r="AF276" s="385"/>
      <c r="AG276" s="385"/>
      <c r="AH276" s="385"/>
      <c r="AI276" s="385"/>
      <c r="AJ276" s="385"/>
      <c r="AK276" s="385"/>
      <c r="AL276" s="385"/>
      <c r="AM276" s="385"/>
      <c r="AN276" s="385"/>
      <c r="AO276" s="385"/>
      <c r="AP276" s="385"/>
      <c r="AQ276" s="385"/>
    </row>
    <row r="277" spans="1:43" x14ac:dyDescent="0.2">
      <c r="A277" s="385"/>
      <c r="B277" s="371"/>
      <c r="C277" s="371"/>
      <c r="D277" s="371"/>
      <c r="E277" s="371"/>
      <c r="F277" s="371"/>
      <c r="G277" s="371"/>
      <c r="H277" s="371"/>
      <c r="I277" s="371"/>
      <c r="J277" s="371"/>
      <c r="K277" s="371"/>
      <c r="L277" s="371"/>
      <c r="M277" s="371"/>
      <c r="N277" s="371"/>
      <c r="O277" s="371"/>
      <c r="P277" s="371"/>
      <c r="Q277" s="371"/>
      <c r="R277" s="551"/>
      <c r="S277" s="551"/>
      <c r="T277" s="551"/>
      <c r="U277" s="551"/>
      <c r="V277" s="551"/>
      <c r="Y277" s="385"/>
      <c r="Z277" s="385"/>
      <c r="AA277" s="385"/>
      <c r="AB277" s="385"/>
      <c r="AC277" s="385"/>
      <c r="AD277" s="385"/>
      <c r="AE277" s="385"/>
      <c r="AF277" s="385"/>
      <c r="AG277" s="385"/>
      <c r="AH277" s="385"/>
      <c r="AI277" s="385"/>
      <c r="AJ277" s="385"/>
      <c r="AK277" s="385"/>
      <c r="AL277" s="385"/>
      <c r="AM277" s="385"/>
      <c r="AN277" s="385"/>
      <c r="AO277" s="385"/>
      <c r="AP277" s="385"/>
      <c r="AQ277" s="385"/>
    </row>
    <row r="278" spans="1:43" x14ac:dyDescent="0.2">
      <c r="A278" s="385"/>
      <c r="B278" s="371"/>
      <c r="C278" s="371"/>
      <c r="D278" s="371"/>
      <c r="E278" s="371"/>
      <c r="F278" s="371"/>
      <c r="G278" s="371"/>
      <c r="H278" s="371"/>
      <c r="I278" s="371"/>
      <c r="J278" s="371"/>
      <c r="K278" s="371"/>
      <c r="L278" s="371"/>
      <c r="M278" s="371"/>
      <c r="N278" s="371"/>
      <c r="O278" s="371"/>
      <c r="P278" s="371"/>
      <c r="Q278" s="371"/>
      <c r="R278" s="551"/>
      <c r="S278" s="551"/>
      <c r="T278" s="551"/>
      <c r="U278" s="551"/>
      <c r="V278" s="551"/>
      <c r="Y278" s="385"/>
      <c r="Z278" s="385"/>
      <c r="AA278" s="385"/>
      <c r="AB278" s="385"/>
      <c r="AC278" s="385"/>
      <c r="AD278" s="385"/>
      <c r="AE278" s="385"/>
      <c r="AF278" s="385"/>
      <c r="AG278" s="385"/>
      <c r="AH278" s="385"/>
      <c r="AI278" s="385"/>
      <c r="AJ278" s="385"/>
      <c r="AK278" s="385"/>
      <c r="AL278" s="385"/>
      <c r="AM278" s="385"/>
      <c r="AN278" s="385"/>
      <c r="AO278" s="385"/>
      <c r="AP278" s="385"/>
      <c r="AQ278" s="385"/>
    </row>
    <row r="279" spans="1:43" x14ac:dyDescent="0.2">
      <c r="A279" s="385"/>
      <c r="B279" s="371"/>
      <c r="C279" s="371"/>
      <c r="D279" s="371"/>
      <c r="E279" s="371"/>
      <c r="F279" s="371"/>
      <c r="G279" s="371"/>
      <c r="H279" s="371"/>
      <c r="I279" s="371"/>
      <c r="J279" s="371"/>
      <c r="K279" s="371"/>
      <c r="L279" s="371"/>
      <c r="M279" s="371"/>
      <c r="N279" s="371"/>
      <c r="O279" s="371"/>
      <c r="P279" s="371"/>
      <c r="Q279" s="371"/>
      <c r="R279" s="551"/>
      <c r="S279" s="551"/>
      <c r="T279" s="551"/>
      <c r="U279" s="551"/>
      <c r="V279" s="551"/>
      <c r="Y279" s="385"/>
      <c r="Z279" s="385"/>
      <c r="AA279" s="385"/>
      <c r="AB279" s="385"/>
      <c r="AC279" s="385"/>
      <c r="AD279" s="385"/>
      <c r="AE279" s="385"/>
      <c r="AF279" s="385"/>
      <c r="AG279" s="385"/>
      <c r="AH279" s="385"/>
      <c r="AI279" s="385"/>
      <c r="AJ279" s="385"/>
      <c r="AK279" s="385"/>
      <c r="AL279" s="385"/>
      <c r="AM279" s="385"/>
      <c r="AN279" s="385"/>
      <c r="AO279" s="385"/>
      <c r="AP279" s="385"/>
      <c r="AQ279" s="385"/>
    </row>
    <row r="280" spans="1:43" x14ac:dyDescent="0.2">
      <c r="A280" s="385"/>
      <c r="B280" s="371"/>
      <c r="C280" s="371"/>
      <c r="D280" s="371"/>
      <c r="E280" s="371"/>
      <c r="F280" s="371"/>
      <c r="G280" s="371"/>
      <c r="H280" s="371"/>
      <c r="I280" s="371"/>
      <c r="J280" s="371"/>
      <c r="K280" s="371"/>
      <c r="L280" s="371"/>
      <c r="M280" s="371"/>
      <c r="N280" s="371"/>
      <c r="O280" s="371"/>
      <c r="P280" s="371"/>
      <c r="Q280" s="371"/>
      <c r="R280" s="551"/>
      <c r="S280" s="551"/>
      <c r="T280" s="551"/>
      <c r="U280" s="551"/>
      <c r="V280" s="551"/>
      <c r="Y280" s="385"/>
      <c r="Z280" s="385"/>
      <c r="AA280" s="385"/>
      <c r="AB280" s="385"/>
      <c r="AC280" s="385"/>
      <c r="AD280" s="385"/>
      <c r="AE280" s="385"/>
      <c r="AF280" s="385"/>
      <c r="AG280" s="385"/>
      <c r="AH280" s="385"/>
      <c r="AI280" s="385"/>
      <c r="AJ280" s="385"/>
      <c r="AK280" s="385"/>
      <c r="AL280" s="385"/>
      <c r="AM280" s="385"/>
      <c r="AN280" s="385"/>
      <c r="AO280" s="385"/>
      <c r="AP280" s="385"/>
      <c r="AQ280" s="385"/>
    </row>
    <row r="281" spans="1:43" x14ac:dyDescent="0.2">
      <c r="A281" s="385"/>
      <c r="H281" s="371"/>
      <c r="Y281" s="385"/>
      <c r="Z281" s="385"/>
      <c r="AA281" s="385"/>
      <c r="AB281" s="385"/>
      <c r="AC281" s="385"/>
      <c r="AD281" s="385"/>
      <c r="AE281" s="385"/>
      <c r="AF281" s="385"/>
      <c r="AG281" s="385"/>
      <c r="AH281" s="385"/>
      <c r="AI281" s="385"/>
      <c r="AJ281" s="385"/>
      <c r="AK281" s="385"/>
      <c r="AL281" s="385"/>
      <c r="AM281" s="385"/>
      <c r="AN281" s="385"/>
      <c r="AO281" s="385"/>
      <c r="AP281" s="385"/>
      <c r="AQ281" s="385"/>
    </row>
  </sheetData>
  <mergeCells count="16">
    <mergeCell ref="B243:B244"/>
    <mergeCell ref="C243:G243"/>
    <mergeCell ref="B221:B222"/>
    <mergeCell ref="C221:G221"/>
    <mergeCell ref="B228:B229"/>
    <mergeCell ref="C228:G228"/>
    <mergeCell ref="B235:B236"/>
    <mergeCell ref="C235:G235"/>
    <mergeCell ref="B214:B215"/>
    <mergeCell ref="C214:G214"/>
    <mergeCell ref="B33:B34"/>
    <mergeCell ref="C33:G33"/>
    <mergeCell ref="B41:B42"/>
    <mergeCell ref="C41:G41"/>
    <mergeCell ref="B50:B51"/>
    <mergeCell ref="C50:G50"/>
  </mergeCells>
  <dataValidations disablePrompts="1" count="2">
    <dataValidation type="list" allowBlank="1" showInputMessage="1" showErrorMessage="1" sqref="AA3 AB6">
      <formula1>$AU$3:$AU$4</formula1>
    </dataValidation>
    <dataValidation type="list" allowBlank="1" showInputMessage="1" showErrorMessage="1" sqref="AD3">
      <formula1>$AS$4:$AS$24</formula1>
    </dataValidation>
  </dataValidation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5"/>
  <sheetViews>
    <sheetView topLeftCell="A29" workbookViewId="0">
      <pane xSplit="3" ySplit="1" topLeftCell="D39" activePane="bottomRight" state="frozen"/>
      <selection activeCell="A29" sqref="A29"/>
      <selection pane="topRight" activeCell="D29" sqref="D29"/>
      <selection pane="bottomLeft" activeCell="A30" sqref="A30"/>
      <selection pane="bottomRight" activeCell="J139" sqref="J139"/>
    </sheetView>
  </sheetViews>
  <sheetFormatPr defaultRowHeight="15" x14ac:dyDescent="0.25"/>
  <cols>
    <col min="1" max="1" width="1.140625" style="371" customWidth="1"/>
    <col min="2" max="2" width="14.7109375" style="371" customWidth="1"/>
    <col min="3" max="3" width="58.85546875" style="385" customWidth="1"/>
    <col min="4" max="4" width="9.5703125" style="385" customWidth="1"/>
    <col min="5" max="7" width="13.28515625" style="385" customWidth="1"/>
    <col min="8" max="8" width="12.140625" style="385" customWidth="1"/>
    <col min="9" max="9" width="12.28515625" style="385" customWidth="1"/>
    <col min="10" max="10" width="18.28515625" customWidth="1"/>
    <col min="11" max="11" width="16.7109375" customWidth="1"/>
    <col min="13" max="17" width="10.140625" bestFit="1" customWidth="1"/>
  </cols>
  <sheetData>
    <row r="1" spans="1:9" x14ac:dyDescent="0.25">
      <c r="C1" s="549"/>
      <c r="D1" s="371"/>
      <c r="E1" s="371"/>
      <c r="F1" s="372"/>
      <c r="G1" s="372"/>
      <c r="H1" s="372"/>
      <c r="I1" s="371"/>
    </row>
    <row r="2" spans="1:9" ht="15.75" thickBot="1" x14ac:dyDescent="0.3">
      <c r="C2" s="374" t="s">
        <v>382</v>
      </c>
      <c r="D2" s="371"/>
      <c r="E2" s="371"/>
      <c r="F2" s="371"/>
      <c r="G2" s="371"/>
      <c r="H2" s="371"/>
      <c r="I2" s="371"/>
    </row>
    <row r="3" spans="1:9" x14ac:dyDescent="0.25">
      <c r="A3" s="385"/>
      <c r="B3" s="385"/>
      <c r="C3" s="666" t="s">
        <v>305</v>
      </c>
      <c r="D3" s="377"/>
      <c r="E3" s="377"/>
      <c r="F3" s="377"/>
      <c r="G3" s="377"/>
      <c r="H3" s="377"/>
      <c r="I3" s="537"/>
    </row>
    <row r="4" spans="1:9" x14ac:dyDescent="0.25">
      <c r="A4" s="385"/>
      <c r="B4" s="385"/>
      <c r="C4" s="387"/>
      <c r="D4" s="388"/>
      <c r="E4" s="388"/>
      <c r="F4" s="388"/>
      <c r="G4" s="388"/>
      <c r="H4" s="388"/>
      <c r="I4" s="388"/>
    </row>
    <row r="5" spans="1:9" x14ac:dyDescent="0.25">
      <c r="A5" s="385"/>
      <c r="B5" s="385"/>
      <c r="C5" s="391" t="s">
        <v>206</v>
      </c>
      <c r="D5" s="392">
        <v>2016</v>
      </c>
      <c r="E5" s="392">
        <v>2017</v>
      </c>
      <c r="F5" s="392">
        <v>2018</v>
      </c>
      <c r="G5" s="392">
        <v>2019</v>
      </c>
      <c r="H5" s="392">
        <v>2020</v>
      </c>
      <c r="I5" s="392">
        <v>2021</v>
      </c>
    </row>
    <row r="6" spans="1:9" x14ac:dyDescent="0.25">
      <c r="A6" s="385"/>
      <c r="B6" s="385"/>
      <c r="C6" s="391" t="s">
        <v>207</v>
      </c>
      <c r="D6" s="397"/>
      <c r="E6" s="398">
        <v>17.692101331601169</v>
      </c>
      <c r="F6" s="398">
        <v>18.088308300000001</v>
      </c>
      <c r="G6" s="398">
        <v>18.76265024156098</v>
      </c>
      <c r="H6" s="398">
        <v>19.457915859459053</v>
      </c>
      <c r="I6" s="398">
        <v>20.434735028802116</v>
      </c>
    </row>
    <row r="7" spans="1:9" x14ac:dyDescent="0.25">
      <c r="A7" s="385"/>
      <c r="B7" s="385"/>
      <c r="C7" s="391" t="s">
        <v>209</v>
      </c>
      <c r="D7" s="402"/>
      <c r="E7" s="403">
        <v>142.33169192075729</v>
      </c>
      <c r="F7" s="403">
        <v>136.4436970825605</v>
      </c>
      <c r="G7" s="403">
        <v>130.55570224436374</v>
      </c>
      <c r="H7" s="403">
        <v>124.66770740616697</v>
      </c>
      <c r="I7" s="403">
        <f>I8+I9</f>
        <v>123.79678754629732</v>
      </c>
    </row>
    <row r="8" spans="1:9" x14ac:dyDescent="0.25">
      <c r="A8" s="599"/>
      <c r="B8" s="599"/>
      <c r="C8" s="600" t="s">
        <v>275</v>
      </c>
      <c r="D8" s="601"/>
      <c r="E8" s="602">
        <f>E7-E9</f>
        <v>141.33169192075729</v>
      </c>
      <c r="F8" s="602">
        <f>F7-F9</f>
        <v>135.4436970825605</v>
      </c>
      <c r="G8" s="602">
        <f>G7-G9</f>
        <v>129.55570224436374</v>
      </c>
      <c r="H8" s="602">
        <f>H7-H9</f>
        <v>123.66770740616697</v>
      </c>
      <c r="I8" s="602">
        <v>119.59678754629732</v>
      </c>
    </row>
    <row r="9" spans="1:9" x14ac:dyDescent="0.25">
      <c r="A9" s="604"/>
      <c r="B9" s="604"/>
      <c r="C9" s="600" t="s">
        <v>280</v>
      </c>
      <c r="D9" s="601"/>
      <c r="E9" s="602">
        <v>1</v>
      </c>
      <c r="F9" s="602">
        <v>1</v>
      </c>
      <c r="G9" s="602">
        <v>1</v>
      </c>
      <c r="H9" s="602">
        <v>1</v>
      </c>
      <c r="I9" s="602">
        <v>4.2</v>
      </c>
    </row>
    <row r="10" spans="1:9" x14ac:dyDescent="0.25">
      <c r="A10" s="385"/>
      <c r="B10" s="385"/>
      <c r="C10" s="409" t="s">
        <v>210</v>
      </c>
      <c r="D10" s="388"/>
      <c r="E10" s="410">
        <f>E7*0.05</f>
        <v>7.1165845960378649</v>
      </c>
      <c r="F10" s="410">
        <f>F7*0.05</f>
        <v>6.8221848541280252</v>
      </c>
      <c r="G10" s="410">
        <f>G7*0.05</f>
        <v>6.5277851122181874</v>
      </c>
      <c r="H10" s="410">
        <f>H7*0.05</f>
        <v>6.2333853703083486</v>
      </c>
      <c r="I10" s="410">
        <f>I7*0.05</f>
        <v>6.1898393773148666</v>
      </c>
    </row>
    <row r="11" spans="1:9" x14ac:dyDescent="0.25">
      <c r="A11" s="385"/>
      <c r="B11" s="385"/>
      <c r="C11" s="605" t="s">
        <v>341</v>
      </c>
      <c r="D11" s="606"/>
      <c r="E11" s="681">
        <v>33.876272</v>
      </c>
      <c r="F11" s="681">
        <v>33.22992448360705</v>
      </c>
      <c r="G11" s="681">
        <v>32.793842634302052</v>
      </c>
      <c r="H11" s="681">
        <v>31.487530537812109</v>
      </c>
      <c r="I11" s="681">
        <v>30.135223475287873</v>
      </c>
    </row>
    <row r="12" spans="1:9" x14ac:dyDescent="0.25">
      <c r="A12" s="385"/>
      <c r="B12" s="385"/>
      <c r="C12" s="429" t="s">
        <v>342</v>
      </c>
      <c r="D12" s="430"/>
      <c r="E12" s="431">
        <f>E7-E10-E11</f>
        <v>101.33883532471944</v>
      </c>
      <c r="F12" s="431">
        <f>F7-F10-F11</f>
        <v>96.391587744825443</v>
      </c>
      <c r="G12" s="431">
        <f>G7-G10-G11</f>
        <v>91.234074497843508</v>
      </c>
      <c r="H12" s="431">
        <f>H7-H10-H11</f>
        <v>86.946791498046508</v>
      </c>
      <c r="I12" s="431">
        <f>I7-I10-I11</f>
        <v>87.471724693694583</v>
      </c>
    </row>
    <row r="13" spans="1:9" x14ac:dyDescent="0.25">
      <c r="A13" s="385"/>
      <c r="B13" s="385"/>
      <c r="C13" s="436" t="s">
        <v>219</v>
      </c>
      <c r="D13" s="607"/>
      <c r="E13" s="608">
        <f>E12*E6</f>
        <v>1792.8969433913803</v>
      </c>
      <c r="F13" s="608">
        <f>F12*F6</f>
        <v>1743.5607566549045</v>
      </c>
      <c r="G13" s="608">
        <f>G12*G6</f>
        <v>1711.793029915556</v>
      </c>
      <c r="H13" s="608">
        <f>H12*H6</f>
        <v>1691.8033532189188</v>
      </c>
      <c r="I13" s="608">
        <f>I12*I6</f>
        <v>1787.4615166279757</v>
      </c>
    </row>
    <row r="14" spans="1:9" x14ac:dyDescent="0.25">
      <c r="A14" s="385"/>
      <c r="B14" s="385"/>
      <c r="C14" s="387" t="s">
        <v>220</v>
      </c>
      <c r="D14" s="609"/>
      <c r="E14" s="609">
        <f>E13/4</f>
        <v>448.22423584784508</v>
      </c>
      <c r="F14" s="609">
        <f>F13/4</f>
        <v>435.89018916372612</v>
      </c>
      <c r="G14" s="609">
        <f>G13/4</f>
        <v>427.94825747888899</v>
      </c>
      <c r="H14" s="609">
        <f>H13/4</f>
        <v>422.9508383047297</v>
      </c>
      <c r="I14" s="609">
        <f>I13/4</f>
        <v>446.86537915699392</v>
      </c>
    </row>
    <row r="15" spans="1:9" x14ac:dyDescent="0.25">
      <c r="A15" s="385"/>
      <c r="B15" s="385"/>
      <c r="C15" s="387"/>
      <c r="D15" s="388"/>
      <c r="E15" s="388"/>
      <c r="F15" s="388"/>
      <c r="G15" s="388"/>
      <c r="H15" s="388"/>
      <c r="I15" s="388"/>
    </row>
    <row r="16" spans="1:9" x14ac:dyDescent="0.25">
      <c r="A16" s="385"/>
      <c r="B16" s="385"/>
      <c r="C16" s="441" t="s">
        <v>221</v>
      </c>
      <c r="D16" s="619" t="s">
        <v>222</v>
      </c>
      <c r="E16" s="619" t="s">
        <v>223</v>
      </c>
      <c r="F16" s="619" t="s">
        <v>224</v>
      </c>
      <c r="G16" s="619" t="s">
        <v>225</v>
      </c>
      <c r="H16" s="619" t="s">
        <v>226</v>
      </c>
      <c r="I16" s="619" t="s">
        <v>281</v>
      </c>
    </row>
    <row r="17" spans="1:10" x14ac:dyDescent="0.25">
      <c r="A17" s="385"/>
      <c r="B17" s="385"/>
      <c r="C17" s="441" t="s">
        <v>269</v>
      </c>
      <c r="D17" s="610">
        <f t="shared" ref="D17:I17" si="0">(D14*3)+(E14*1)</f>
        <v>448.22423584784508</v>
      </c>
      <c r="E17" s="610">
        <f t="shared" si="0"/>
        <v>1780.5628967072612</v>
      </c>
      <c r="F17" s="610">
        <f t="shared" si="0"/>
        <v>1735.6188249700674</v>
      </c>
      <c r="G17" s="610">
        <f t="shared" si="0"/>
        <v>1706.7956107413966</v>
      </c>
      <c r="H17" s="610">
        <f t="shared" si="0"/>
        <v>1715.7178940711831</v>
      </c>
      <c r="I17" s="610">
        <f t="shared" si="0"/>
        <v>1340.5961374709818</v>
      </c>
    </row>
    <row r="18" spans="1:10" ht="15.75" thickBot="1" x14ac:dyDescent="0.3">
      <c r="C18" s="451"/>
      <c r="D18" s="382"/>
      <c r="E18" s="382"/>
      <c r="F18" s="382"/>
      <c r="G18" s="382"/>
      <c r="H18" s="382"/>
      <c r="I18" s="382"/>
    </row>
    <row r="19" spans="1:10" x14ac:dyDescent="0.25">
      <c r="C19" s="453" t="s">
        <v>230</v>
      </c>
      <c r="D19" s="613"/>
      <c r="E19" s="614">
        <f>E11*E6</f>
        <v>599.34243696088345</v>
      </c>
      <c r="F19" s="614">
        <f>F11*F6</f>
        <v>601.07311884520266</v>
      </c>
      <c r="G19" s="614">
        <f>G11*G6</f>
        <v>615.29939942420015</v>
      </c>
      <c r="H19" s="614">
        <f>H11*H6</f>
        <v>612.68171982689546</v>
      </c>
      <c r="I19" s="614">
        <f>I11*I6</f>
        <v>615.80530675124498</v>
      </c>
    </row>
    <row r="20" spans="1:10" x14ac:dyDescent="0.25">
      <c r="C20" s="387" t="s">
        <v>232</v>
      </c>
      <c r="D20" s="615"/>
      <c r="E20" s="616">
        <f>E19/4</f>
        <v>149.83560924022086</v>
      </c>
      <c r="F20" s="616">
        <f>F19/4</f>
        <v>150.26827971130066</v>
      </c>
      <c r="G20" s="616">
        <f>G19/4</f>
        <v>153.82484985605004</v>
      </c>
      <c r="H20" s="616">
        <f>H19/4</f>
        <v>153.17042995672386</v>
      </c>
      <c r="I20" s="616">
        <f>I19/4</f>
        <v>153.95132668781125</v>
      </c>
    </row>
    <row r="21" spans="1:10" x14ac:dyDescent="0.25">
      <c r="C21" s="387" t="s">
        <v>221</v>
      </c>
      <c r="D21" s="615"/>
      <c r="E21" s="616"/>
      <c r="F21" s="616"/>
      <c r="G21" s="616"/>
      <c r="H21" s="616"/>
      <c r="I21" s="616"/>
    </row>
    <row r="22" spans="1:10" ht="15.75" thickBot="1" x14ac:dyDescent="0.3">
      <c r="C22" s="465" t="s">
        <v>227</v>
      </c>
      <c r="D22" s="618">
        <f t="shared" ref="D22:I22" si="1">(D20*3)+(E20*1)</f>
        <v>149.83560924022086</v>
      </c>
      <c r="E22" s="618">
        <f t="shared" si="1"/>
        <v>599.77510743196331</v>
      </c>
      <c r="F22" s="618">
        <f t="shared" si="1"/>
        <v>604.629688989952</v>
      </c>
      <c r="G22" s="618">
        <f t="shared" si="1"/>
        <v>614.64497952487397</v>
      </c>
      <c r="H22" s="618">
        <f t="shared" si="1"/>
        <v>613.46261655798287</v>
      </c>
      <c r="I22" s="618">
        <f t="shared" si="1"/>
        <v>461.85398006343371</v>
      </c>
    </row>
    <row r="23" spans="1:10" x14ac:dyDescent="0.25">
      <c r="A23" s="382"/>
      <c r="B23" s="382"/>
      <c r="C23" s="643"/>
      <c r="D23" s="637"/>
      <c r="E23" s="638"/>
      <c r="F23" s="638"/>
      <c r="G23" s="638"/>
      <c r="H23" s="638"/>
      <c r="I23" s="639"/>
    </row>
    <row r="24" spans="1:10" x14ac:dyDescent="0.25">
      <c r="C24" s="477"/>
      <c r="D24" s="478"/>
      <c r="E24" s="478"/>
      <c r="F24" s="478"/>
      <c r="G24" s="478"/>
      <c r="H24" s="478"/>
      <c r="I24" s="477"/>
    </row>
    <row r="25" spans="1:10" x14ac:dyDescent="0.25">
      <c r="C25" s="477"/>
      <c r="D25" s="478"/>
      <c r="E25" s="478"/>
      <c r="F25" s="478"/>
      <c r="G25" s="478"/>
      <c r="H25" s="478"/>
      <c r="I25" s="477"/>
    </row>
    <row r="26" spans="1:10" x14ac:dyDescent="0.25">
      <c r="C26" s="691" t="s">
        <v>343</v>
      </c>
      <c r="D26" s="478"/>
      <c r="E26" s="478"/>
      <c r="F26" s="478"/>
      <c r="G26" s="478"/>
      <c r="H26" s="478"/>
      <c r="I26" s="477"/>
    </row>
    <row r="27" spans="1:10" x14ac:dyDescent="0.25">
      <c r="C27" s="682"/>
      <c r="D27" s="478"/>
      <c r="E27" s="478"/>
      <c r="F27" s="478"/>
      <c r="G27" s="478"/>
      <c r="H27" s="478"/>
      <c r="I27" s="477"/>
    </row>
    <row r="28" spans="1:10" x14ac:dyDescent="0.25">
      <c r="A28"/>
      <c r="B28"/>
      <c r="C28" s="687" t="s">
        <v>383</v>
      </c>
      <c r="D28" s="478"/>
      <c r="E28" s="683" t="s">
        <v>360</v>
      </c>
      <c r="F28" s="685" t="s">
        <v>357</v>
      </c>
      <c r="G28" s="690"/>
      <c r="H28" s="690"/>
      <c r="I28" s="686"/>
    </row>
    <row r="29" spans="1:10" x14ac:dyDescent="0.25">
      <c r="B29" s="699"/>
      <c r="C29" s="727"/>
      <c r="D29" s="728"/>
      <c r="E29" s="697">
        <v>2017</v>
      </c>
      <c r="F29" s="697">
        <v>2018</v>
      </c>
      <c r="G29" s="697">
        <v>2019</v>
      </c>
      <c r="H29" s="697">
        <v>2020</v>
      </c>
      <c r="I29" s="697">
        <v>2021</v>
      </c>
    </row>
    <row r="30" spans="1:10" x14ac:dyDescent="0.25">
      <c r="B30" s="538" t="s">
        <v>362</v>
      </c>
      <c r="C30" s="644" t="s">
        <v>384</v>
      </c>
      <c r="D30" s="698"/>
      <c r="E30" s="701">
        <v>17.692101331601169</v>
      </c>
      <c r="F30" s="701">
        <v>18.088308300000001</v>
      </c>
      <c r="G30" s="701">
        <v>18.76265024156098</v>
      </c>
      <c r="H30" s="701">
        <v>19.457915859459053</v>
      </c>
      <c r="I30" s="701">
        <v>20.434735028802116</v>
      </c>
    </row>
    <row r="31" spans="1:10" x14ac:dyDescent="0.25">
      <c r="B31" s="538" t="s">
        <v>385</v>
      </c>
      <c r="C31" s="644" t="s">
        <v>386</v>
      </c>
      <c r="D31" s="698"/>
      <c r="E31" s="729">
        <v>17.629100357258849</v>
      </c>
      <c r="F31" s="729">
        <v>18.149875000000002</v>
      </c>
      <c r="G31" s="729">
        <v>18.946698780487807</v>
      </c>
      <c r="H31" s="729">
        <v>19.790277988095244</v>
      </c>
      <c r="I31" s="729">
        <v>20.92647277141177</v>
      </c>
      <c r="J31" s="730" t="s">
        <v>387</v>
      </c>
    </row>
    <row r="32" spans="1:10" x14ac:dyDescent="0.25">
      <c r="A32"/>
      <c r="B32"/>
      <c r="C32" s="682"/>
      <c r="D32" s="478"/>
      <c r="E32" s="478"/>
      <c r="F32" s="478"/>
      <c r="G32" s="478"/>
      <c r="H32" s="478"/>
      <c r="I32" s="477"/>
    </row>
    <row r="33" spans="1:20" x14ac:dyDescent="0.25">
      <c r="A33"/>
      <c r="B33"/>
      <c r="C33" s="687" t="s">
        <v>388</v>
      </c>
      <c r="D33" s="478"/>
      <c r="E33" s="683" t="s">
        <v>360</v>
      </c>
      <c r="F33" s="685" t="s">
        <v>357</v>
      </c>
      <c r="G33" s="690"/>
      <c r="H33" s="690"/>
      <c r="I33" s="686"/>
    </row>
    <row r="34" spans="1:20" x14ac:dyDescent="0.25">
      <c r="A34"/>
      <c r="B34" s="185"/>
      <c r="C34" s="699"/>
      <c r="D34" s="697"/>
      <c r="E34" s="697">
        <v>2017</v>
      </c>
      <c r="F34" s="697">
        <v>2018</v>
      </c>
      <c r="G34" s="697">
        <v>2019</v>
      </c>
      <c r="H34" s="697">
        <v>2020</v>
      </c>
      <c r="I34" s="697">
        <v>2021</v>
      </c>
    </row>
    <row r="35" spans="1:20" x14ac:dyDescent="0.25">
      <c r="A35"/>
      <c r="B35" s="171" t="s">
        <v>191</v>
      </c>
      <c r="C35" s="644" t="s">
        <v>209</v>
      </c>
      <c r="D35" s="698"/>
      <c r="E35" s="693">
        <f>E7</f>
        <v>142.33169192075729</v>
      </c>
      <c r="F35" s="693">
        <f>F7</f>
        <v>136.4436970825605</v>
      </c>
      <c r="G35" s="693">
        <f>G7</f>
        <v>130.55570224436374</v>
      </c>
      <c r="H35" s="693">
        <f>H7</f>
        <v>124.66770740616697</v>
      </c>
      <c r="I35" s="693">
        <f>I7</f>
        <v>123.79678754629732</v>
      </c>
    </row>
    <row r="36" spans="1:20" x14ac:dyDescent="0.25">
      <c r="A36"/>
      <c r="B36" s="171" t="s">
        <v>363</v>
      </c>
      <c r="C36" s="694" t="s">
        <v>344</v>
      </c>
      <c r="D36" s="698"/>
      <c r="E36" s="693">
        <f>E10</f>
        <v>7.1165845960378649</v>
      </c>
      <c r="F36" s="693">
        <f>F10</f>
        <v>6.8221848541280252</v>
      </c>
      <c r="G36" s="693">
        <f>G10</f>
        <v>6.5277851122181874</v>
      </c>
      <c r="H36" s="693">
        <f>H10</f>
        <v>6.2333853703083486</v>
      </c>
      <c r="I36" s="693">
        <f>I10</f>
        <v>6.1898393773148666</v>
      </c>
      <c r="J36" s="717"/>
    </row>
    <row r="37" spans="1:20" ht="18" x14ac:dyDescent="0.35">
      <c r="A37"/>
      <c r="B37" s="171" t="s">
        <v>364</v>
      </c>
      <c r="C37" s="695" t="s">
        <v>341</v>
      </c>
      <c r="D37" s="698"/>
      <c r="E37" s="718">
        <f>E38+E39</f>
        <v>33.876272</v>
      </c>
      <c r="F37" s="718">
        <f>F38+F39</f>
        <v>33.22992448360705</v>
      </c>
      <c r="G37" s="718">
        <f>G38+G39</f>
        <v>32.793842634302052</v>
      </c>
      <c r="H37" s="718">
        <f>H38+H39</f>
        <v>31.487530537812109</v>
      </c>
      <c r="I37" s="718">
        <f>I38+I39</f>
        <v>30.135223475287873</v>
      </c>
      <c r="J37" s="707"/>
      <c r="M37" s="100"/>
      <c r="N37" s="100"/>
      <c r="O37" s="100"/>
      <c r="P37" s="100"/>
      <c r="Q37" s="100"/>
    </row>
    <row r="38" spans="1:20" ht="18" x14ac:dyDescent="0.35">
      <c r="A38"/>
      <c r="B38" s="355" t="s">
        <v>365</v>
      </c>
      <c r="C38" s="706" t="s">
        <v>366</v>
      </c>
      <c r="D38" s="698"/>
      <c r="E38" s="708">
        <v>32.636369999999999</v>
      </c>
      <c r="F38" s="708">
        <v>32.220582690494403</v>
      </c>
      <c r="G38" s="708">
        <v>31.824955134482078</v>
      </c>
      <c r="H38" s="708">
        <v>30.558808345894324</v>
      </c>
      <c r="I38" s="708">
        <v>29.177485569186121</v>
      </c>
      <c r="J38" s="707"/>
    </row>
    <row r="39" spans="1:20" ht="18" x14ac:dyDescent="0.35">
      <c r="A39"/>
      <c r="B39" s="355" t="s">
        <v>367</v>
      </c>
      <c r="C39" s="706" t="s">
        <v>389</v>
      </c>
      <c r="D39" s="698"/>
      <c r="E39" s="708">
        <v>1.2399020000000001</v>
      </c>
      <c r="F39" s="708">
        <v>1.0093417931126489</v>
      </c>
      <c r="G39" s="708">
        <v>0.96888749981997291</v>
      </c>
      <c r="H39" s="708">
        <v>0.92872219191778393</v>
      </c>
      <c r="I39" s="708">
        <v>0.9577379061017518</v>
      </c>
      <c r="J39" s="707"/>
      <c r="M39" s="100"/>
      <c r="N39" s="100"/>
      <c r="O39" s="100"/>
      <c r="P39" s="100"/>
      <c r="Q39" s="100"/>
    </row>
    <row r="40" spans="1:20" x14ac:dyDescent="0.25">
      <c r="A40"/>
      <c r="B40" s="171" t="s">
        <v>368</v>
      </c>
      <c r="C40" s="696" t="s">
        <v>359</v>
      </c>
      <c r="D40" s="698"/>
      <c r="E40" s="693">
        <f>E35-E36-E37</f>
        <v>101.33883532471944</v>
      </c>
      <c r="F40" s="693">
        <f>F35-F36-F37</f>
        <v>96.391587744825443</v>
      </c>
      <c r="G40" s="693">
        <f>G35-G36-G37</f>
        <v>91.234074497843508</v>
      </c>
      <c r="H40" s="693">
        <f>H35-H36-H37</f>
        <v>86.946791498046508</v>
      </c>
      <c r="I40" s="693">
        <f>I35-I36-I37</f>
        <v>87.471724693694583</v>
      </c>
    </row>
    <row r="41" spans="1:20" hidden="1" x14ac:dyDescent="0.25">
      <c r="A41"/>
      <c r="B41" s="171" t="s">
        <v>369</v>
      </c>
      <c r="C41" s="700" t="s">
        <v>370</v>
      </c>
      <c r="D41" s="698"/>
      <c r="E41" s="702">
        <f>E40*E30</f>
        <v>1792.8969433913803</v>
      </c>
      <c r="F41" s="702">
        <f>F40*F30</f>
        <v>1743.5607566549045</v>
      </c>
      <c r="G41" s="702">
        <f>G40*G30</f>
        <v>1711.793029915556</v>
      </c>
      <c r="H41" s="702">
        <f>H40*H30</f>
        <v>1691.8033532189188</v>
      </c>
      <c r="I41" s="702">
        <f>I40*I30</f>
        <v>1787.4615166279757</v>
      </c>
    </row>
    <row r="42" spans="1:20" x14ac:dyDescent="0.25">
      <c r="A42"/>
      <c r="B42"/>
      <c r="C42" s="477"/>
      <c r="D42" s="478"/>
      <c r="E42" s="478"/>
      <c r="F42" s="478"/>
      <c r="G42" s="478"/>
      <c r="H42" s="478"/>
      <c r="I42" s="477"/>
    </row>
    <row r="43" spans="1:20" x14ac:dyDescent="0.25">
      <c r="A43"/>
      <c r="B43"/>
      <c r="C43" s="687" t="s">
        <v>390</v>
      </c>
      <c r="D43" s="683" t="s">
        <v>358</v>
      </c>
      <c r="E43" s="684"/>
      <c r="F43" s="684"/>
      <c r="G43" s="684"/>
      <c r="H43" s="685" t="s">
        <v>357</v>
      </c>
      <c r="I43" s="686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</row>
    <row r="44" spans="1:20" x14ac:dyDescent="0.25">
      <c r="A44"/>
      <c r="B44" s="185"/>
      <c r="C44" s="699"/>
      <c r="D44" s="697" t="s">
        <v>371</v>
      </c>
      <c r="E44" s="697" t="s">
        <v>372</v>
      </c>
      <c r="F44" s="709" t="s">
        <v>346</v>
      </c>
      <c r="G44" s="709" t="s">
        <v>347</v>
      </c>
      <c r="H44" s="697" t="s">
        <v>373</v>
      </c>
      <c r="I44" s="709" t="s">
        <v>348</v>
      </c>
      <c r="J44" s="709" t="s">
        <v>349</v>
      </c>
      <c r="K44" s="709" t="s">
        <v>350</v>
      </c>
      <c r="L44" s="697" t="s">
        <v>374</v>
      </c>
      <c r="M44" s="709" t="s">
        <v>351</v>
      </c>
      <c r="N44" s="709" t="s">
        <v>352</v>
      </c>
      <c r="O44" s="709" t="s">
        <v>353</v>
      </c>
      <c r="P44" s="697" t="s">
        <v>375</v>
      </c>
      <c r="Q44" s="710" t="s">
        <v>354</v>
      </c>
      <c r="R44" s="710" t="s">
        <v>376</v>
      </c>
      <c r="S44" s="710" t="s">
        <v>356</v>
      </c>
      <c r="T44" s="697" t="s">
        <v>377</v>
      </c>
    </row>
    <row r="45" spans="1:20" x14ac:dyDescent="0.25">
      <c r="A45"/>
      <c r="B45" s="171" t="s">
        <v>191</v>
      </c>
      <c r="C45" s="644" t="s">
        <v>209</v>
      </c>
      <c r="D45" s="711">
        <f t="shared" ref="D45:G51" si="2">$E35/4</f>
        <v>35.582922980189323</v>
      </c>
      <c r="E45" s="693">
        <f t="shared" si="2"/>
        <v>35.582922980189323</v>
      </c>
      <c r="F45" s="693">
        <f t="shared" si="2"/>
        <v>35.582922980189323</v>
      </c>
      <c r="G45" s="693">
        <f t="shared" si="2"/>
        <v>35.582922980189323</v>
      </c>
      <c r="H45" s="693">
        <f t="shared" ref="H45:K51" si="3">$F35/4</f>
        <v>34.110924270640126</v>
      </c>
      <c r="I45" s="711">
        <f t="shared" si="3"/>
        <v>34.110924270640126</v>
      </c>
      <c r="J45" s="711">
        <f t="shared" si="3"/>
        <v>34.110924270640126</v>
      </c>
      <c r="K45" s="711">
        <f t="shared" si="3"/>
        <v>34.110924270640126</v>
      </c>
      <c r="L45" s="711">
        <f t="shared" ref="L45:O51" si="4">$G35/4</f>
        <v>32.638925561090936</v>
      </c>
      <c r="M45" s="693">
        <f t="shared" si="4"/>
        <v>32.638925561090936</v>
      </c>
      <c r="N45" s="693">
        <f t="shared" si="4"/>
        <v>32.638925561090936</v>
      </c>
      <c r="O45" s="693">
        <f t="shared" si="4"/>
        <v>32.638925561090936</v>
      </c>
      <c r="P45" s="693">
        <f t="shared" ref="P45:S51" si="5">$H35/4</f>
        <v>31.166926851541742</v>
      </c>
      <c r="Q45" s="711">
        <f t="shared" si="5"/>
        <v>31.166926851541742</v>
      </c>
      <c r="R45" s="711">
        <f t="shared" si="5"/>
        <v>31.166926851541742</v>
      </c>
      <c r="S45" s="711">
        <f t="shared" si="5"/>
        <v>31.166926851541742</v>
      </c>
      <c r="T45" s="711">
        <f t="shared" ref="T45:T51" si="6">I35/4</f>
        <v>30.949196886574331</v>
      </c>
    </row>
    <row r="46" spans="1:20" x14ac:dyDescent="0.25">
      <c r="A46"/>
      <c r="B46" s="355" t="s">
        <v>363</v>
      </c>
      <c r="C46" s="694" t="s">
        <v>344</v>
      </c>
      <c r="D46" s="719">
        <f t="shared" si="2"/>
        <v>1.7791461490094662</v>
      </c>
      <c r="E46" s="720">
        <f t="shared" si="2"/>
        <v>1.7791461490094662</v>
      </c>
      <c r="F46" s="720">
        <f t="shared" si="2"/>
        <v>1.7791461490094662</v>
      </c>
      <c r="G46" s="720">
        <f t="shared" si="2"/>
        <v>1.7791461490094662</v>
      </c>
      <c r="H46" s="720">
        <f t="shared" si="3"/>
        <v>1.7055462135320063</v>
      </c>
      <c r="I46" s="719">
        <f t="shared" si="3"/>
        <v>1.7055462135320063</v>
      </c>
      <c r="J46" s="719">
        <f t="shared" si="3"/>
        <v>1.7055462135320063</v>
      </c>
      <c r="K46" s="719">
        <f t="shared" si="3"/>
        <v>1.7055462135320063</v>
      </c>
      <c r="L46" s="719">
        <f t="shared" si="4"/>
        <v>1.6319462780545468</v>
      </c>
      <c r="M46" s="720">
        <f t="shared" si="4"/>
        <v>1.6319462780545468</v>
      </c>
      <c r="N46" s="720">
        <f t="shared" si="4"/>
        <v>1.6319462780545468</v>
      </c>
      <c r="O46" s="720">
        <f t="shared" si="4"/>
        <v>1.6319462780545468</v>
      </c>
      <c r="P46" s="720">
        <f t="shared" si="5"/>
        <v>1.5583463425770872</v>
      </c>
      <c r="Q46" s="719">
        <f t="shared" si="5"/>
        <v>1.5583463425770872</v>
      </c>
      <c r="R46" s="719">
        <f t="shared" si="5"/>
        <v>1.5583463425770872</v>
      </c>
      <c r="S46" s="719">
        <f t="shared" si="5"/>
        <v>1.5583463425770872</v>
      </c>
      <c r="T46" s="719">
        <f t="shared" si="6"/>
        <v>1.5474598443287166</v>
      </c>
    </row>
    <row r="47" spans="1:20" s="721" customFormat="1" ht="18" x14ac:dyDescent="0.35">
      <c r="B47" s="722" t="s">
        <v>380</v>
      </c>
      <c r="C47" s="695" t="s">
        <v>341</v>
      </c>
      <c r="D47" s="723">
        <f t="shared" si="2"/>
        <v>8.469068</v>
      </c>
      <c r="E47" s="724">
        <f t="shared" si="2"/>
        <v>8.469068</v>
      </c>
      <c r="F47" s="724">
        <f t="shared" si="2"/>
        <v>8.469068</v>
      </c>
      <c r="G47" s="724">
        <f t="shared" si="2"/>
        <v>8.469068</v>
      </c>
      <c r="H47" s="724">
        <f t="shared" si="3"/>
        <v>8.3074811209017625</v>
      </c>
      <c r="I47" s="723">
        <f t="shared" si="3"/>
        <v>8.3074811209017625</v>
      </c>
      <c r="J47" s="723">
        <f t="shared" si="3"/>
        <v>8.3074811209017625</v>
      </c>
      <c r="K47" s="723">
        <f t="shared" si="3"/>
        <v>8.3074811209017625</v>
      </c>
      <c r="L47" s="723">
        <f t="shared" si="4"/>
        <v>8.1984606585755131</v>
      </c>
      <c r="M47" s="724">
        <f t="shared" si="4"/>
        <v>8.1984606585755131</v>
      </c>
      <c r="N47" s="724">
        <f t="shared" si="4"/>
        <v>8.1984606585755131</v>
      </c>
      <c r="O47" s="724">
        <f t="shared" si="4"/>
        <v>8.1984606585755131</v>
      </c>
      <c r="P47" s="724">
        <f t="shared" si="5"/>
        <v>7.8718826344530273</v>
      </c>
      <c r="Q47" s="723">
        <f t="shared" si="5"/>
        <v>7.8718826344530273</v>
      </c>
      <c r="R47" s="723">
        <f t="shared" si="5"/>
        <v>7.8718826344530273</v>
      </c>
      <c r="S47" s="723">
        <f t="shared" si="5"/>
        <v>7.8718826344530273</v>
      </c>
      <c r="T47" s="723">
        <f t="shared" si="6"/>
        <v>7.5338058688219682</v>
      </c>
    </row>
    <row r="48" spans="1:20" ht="18" x14ac:dyDescent="0.35">
      <c r="A48"/>
      <c r="B48" s="355" t="s">
        <v>365</v>
      </c>
      <c r="C48" s="706" t="s">
        <v>366</v>
      </c>
      <c r="D48" s="712">
        <f t="shared" si="2"/>
        <v>8.1590924999999999</v>
      </c>
      <c r="E48" s="713">
        <f t="shared" si="2"/>
        <v>8.1590924999999999</v>
      </c>
      <c r="F48" s="713">
        <f t="shared" si="2"/>
        <v>8.1590924999999999</v>
      </c>
      <c r="G48" s="713">
        <f t="shared" si="2"/>
        <v>8.1590924999999999</v>
      </c>
      <c r="H48" s="713">
        <f t="shared" si="3"/>
        <v>8.0551456726236008</v>
      </c>
      <c r="I48" s="712">
        <f t="shared" si="3"/>
        <v>8.0551456726236008</v>
      </c>
      <c r="J48" s="712">
        <f t="shared" si="3"/>
        <v>8.0551456726236008</v>
      </c>
      <c r="K48" s="712">
        <f t="shared" si="3"/>
        <v>8.0551456726236008</v>
      </c>
      <c r="L48" s="712">
        <f t="shared" si="4"/>
        <v>7.9562387836205195</v>
      </c>
      <c r="M48" s="713">
        <f t="shared" si="4"/>
        <v>7.9562387836205195</v>
      </c>
      <c r="N48" s="713">
        <f t="shared" si="4"/>
        <v>7.9562387836205195</v>
      </c>
      <c r="O48" s="713">
        <f t="shared" si="4"/>
        <v>7.9562387836205195</v>
      </c>
      <c r="P48" s="713">
        <f t="shared" si="5"/>
        <v>7.639702086473581</v>
      </c>
      <c r="Q48" s="712">
        <f t="shared" si="5"/>
        <v>7.639702086473581</v>
      </c>
      <c r="R48" s="712">
        <f t="shared" si="5"/>
        <v>7.639702086473581</v>
      </c>
      <c r="S48" s="712">
        <f t="shared" si="5"/>
        <v>7.639702086473581</v>
      </c>
      <c r="T48" s="712">
        <f t="shared" si="6"/>
        <v>7.2943713922965303</v>
      </c>
    </row>
    <row r="49" spans="1:20" ht="18" x14ac:dyDescent="0.35">
      <c r="A49"/>
      <c r="B49" s="355" t="s">
        <v>367</v>
      </c>
      <c r="C49" s="706" t="s">
        <v>389</v>
      </c>
      <c r="D49" s="712">
        <f t="shared" si="2"/>
        <v>0.30997550000000001</v>
      </c>
      <c r="E49" s="713">
        <f t="shared" si="2"/>
        <v>0.30997550000000001</v>
      </c>
      <c r="F49" s="713">
        <f t="shared" si="2"/>
        <v>0.30997550000000001</v>
      </c>
      <c r="G49" s="713">
        <f t="shared" si="2"/>
        <v>0.30997550000000001</v>
      </c>
      <c r="H49" s="713">
        <f t="shared" si="3"/>
        <v>0.25233544827816223</v>
      </c>
      <c r="I49" s="712">
        <f t="shared" si="3"/>
        <v>0.25233544827816223</v>
      </c>
      <c r="J49" s="712">
        <f t="shared" si="3"/>
        <v>0.25233544827816223</v>
      </c>
      <c r="K49" s="712">
        <f t="shared" si="3"/>
        <v>0.25233544827816223</v>
      </c>
      <c r="L49" s="712">
        <f t="shared" si="4"/>
        <v>0.24222187495499323</v>
      </c>
      <c r="M49" s="713">
        <f t="shared" si="4"/>
        <v>0.24222187495499323</v>
      </c>
      <c r="N49" s="713">
        <f t="shared" si="4"/>
        <v>0.24222187495499323</v>
      </c>
      <c r="O49" s="713">
        <f t="shared" si="4"/>
        <v>0.24222187495499323</v>
      </c>
      <c r="P49" s="713">
        <f t="shared" si="5"/>
        <v>0.23218054797944598</v>
      </c>
      <c r="Q49" s="712">
        <f t="shared" si="5"/>
        <v>0.23218054797944598</v>
      </c>
      <c r="R49" s="712">
        <f t="shared" si="5"/>
        <v>0.23218054797944598</v>
      </c>
      <c r="S49" s="712">
        <f t="shared" si="5"/>
        <v>0.23218054797944598</v>
      </c>
      <c r="T49" s="712">
        <f t="shared" si="6"/>
        <v>0.23943447652543795</v>
      </c>
    </row>
    <row r="50" spans="1:20" x14ac:dyDescent="0.25">
      <c r="A50"/>
      <c r="B50" s="171" t="s">
        <v>368</v>
      </c>
      <c r="C50" s="696" t="s">
        <v>359</v>
      </c>
      <c r="D50" s="711">
        <f t="shared" si="2"/>
        <v>25.33470883117986</v>
      </c>
      <c r="E50" s="693">
        <f t="shared" si="2"/>
        <v>25.33470883117986</v>
      </c>
      <c r="F50" s="693">
        <f t="shared" si="2"/>
        <v>25.33470883117986</v>
      </c>
      <c r="G50" s="693">
        <f t="shared" si="2"/>
        <v>25.33470883117986</v>
      </c>
      <c r="H50" s="693">
        <f t="shared" si="3"/>
        <v>24.097896936206361</v>
      </c>
      <c r="I50" s="711">
        <f t="shared" si="3"/>
        <v>24.097896936206361</v>
      </c>
      <c r="J50" s="711">
        <f t="shared" si="3"/>
        <v>24.097896936206361</v>
      </c>
      <c r="K50" s="711">
        <f t="shared" si="3"/>
        <v>24.097896936206361</v>
      </c>
      <c r="L50" s="711">
        <f t="shared" si="4"/>
        <v>22.808518624460877</v>
      </c>
      <c r="M50" s="693">
        <f t="shared" si="4"/>
        <v>22.808518624460877</v>
      </c>
      <c r="N50" s="693">
        <f t="shared" si="4"/>
        <v>22.808518624460877</v>
      </c>
      <c r="O50" s="693">
        <f t="shared" si="4"/>
        <v>22.808518624460877</v>
      </c>
      <c r="P50" s="693">
        <f t="shared" si="5"/>
        <v>21.736697874511627</v>
      </c>
      <c r="Q50" s="711">
        <f t="shared" si="5"/>
        <v>21.736697874511627</v>
      </c>
      <c r="R50" s="711">
        <f t="shared" si="5"/>
        <v>21.736697874511627</v>
      </c>
      <c r="S50" s="711">
        <f t="shared" si="5"/>
        <v>21.736697874511627</v>
      </c>
      <c r="T50" s="711">
        <f t="shared" si="6"/>
        <v>21.867931173423646</v>
      </c>
    </row>
    <row r="51" spans="1:20" x14ac:dyDescent="0.25">
      <c r="A51"/>
      <c r="B51" s="171" t="s">
        <v>369</v>
      </c>
      <c r="C51" s="700" t="s">
        <v>370</v>
      </c>
      <c r="D51" s="714">
        <f t="shared" si="2"/>
        <v>448.22423584784508</v>
      </c>
      <c r="E51" s="702">
        <f t="shared" si="2"/>
        <v>448.22423584784508</v>
      </c>
      <c r="F51" s="702">
        <f t="shared" si="2"/>
        <v>448.22423584784508</v>
      </c>
      <c r="G51" s="702">
        <f t="shared" si="2"/>
        <v>448.22423584784508</v>
      </c>
      <c r="H51" s="702">
        <f t="shared" si="3"/>
        <v>435.89018916372612</v>
      </c>
      <c r="I51" s="714">
        <f t="shared" si="3"/>
        <v>435.89018916372612</v>
      </c>
      <c r="J51" s="714">
        <f t="shared" si="3"/>
        <v>435.89018916372612</v>
      </c>
      <c r="K51" s="714">
        <f t="shared" si="3"/>
        <v>435.89018916372612</v>
      </c>
      <c r="L51" s="714">
        <f t="shared" si="4"/>
        <v>427.94825747888899</v>
      </c>
      <c r="M51" s="702">
        <f t="shared" si="4"/>
        <v>427.94825747888899</v>
      </c>
      <c r="N51" s="702">
        <f t="shared" si="4"/>
        <v>427.94825747888899</v>
      </c>
      <c r="O51" s="702">
        <f t="shared" si="4"/>
        <v>427.94825747888899</v>
      </c>
      <c r="P51" s="702">
        <f t="shared" si="5"/>
        <v>422.9508383047297</v>
      </c>
      <c r="Q51" s="714">
        <f t="shared" si="5"/>
        <v>422.9508383047297</v>
      </c>
      <c r="R51" s="714">
        <f t="shared" si="5"/>
        <v>422.9508383047297</v>
      </c>
      <c r="S51" s="714">
        <f t="shared" si="5"/>
        <v>422.9508383047297</v>
      </c>
      <c r="T51" s="714">
        <f t="shared" si="6"/>
        <v>446.86537915699392</v>
      </c>
    </row>
    <row r="52" spans="1:20" x14ac:dyDescent="0.25">
      <c r="A52"/>
      <c r="B52"/>
      <c r="C52" s="477"/>
      <c r="D52" s="478"/>
      <c r="E52" s="478"/>
      <c r="F52" s="478"/>
      <c r="G52" s="478"/>
      <c r="H52" s="478"/>
      <c r="I52" s="477"/>
    </row>
    <row r="53" spans="1:20" x14ac:dyDescent="0.25">
      <c r="A53"/>
      <c r="B53"/>
      <c r="C53" s="477"/>
      <c r="D53" s="478"/>
      <c r="E53" s="478"/>
      <c r="F53" s="478"/>
      <c r="G53" s="478"/>
      <c r="H53" s="478"/>
      <c r="I53" s="477"/>
    </row>
    <row r="54" spans="1:20" x14ac:dyDescent="0.25">
      <c r="A54"/>
      <c r="B54"/>
      <c r="C54" s="687" t="s">
        <v>391</v>
      </c>
      <c r="D54" s="683" t="s">
        <v>360</v>
      </c>
      <c r="E54" s="731"/>
      <c r="F54" s="685" t="s">
        <v>357</v>
      </c>
      <c r="G54" s="690"/>
      <c r="H54" s="690"/>
      <c r="I54" s="477"/>
    </row>
    <row r="55" spans="1:20" x14ac:dyDescent="0.25">
      <c r="A55"/>
      <c r="B55" s="185"/>
      <c r="C55" s="699"/>
      <c r="D55" s="697" t="s">
        <v>239</v>
      </c>
      <c r="E55" s="697" t="s">
        <v>240</v>
      </c>
      <c r="F55" s="697" t="s">
        <v>241</v>
      </c>
      <c r="G55" s="697" t="s">
        <v>242</v>
      </c>
      <c r="H55" s="697" t="s">
        <v>243</v>
      </c>
      <c r="I55" s="732" t="s">
        <v>270</v>
      </c>
    </row>
    <row r="56" spans="1:20" x14ac:dyDescent="0.25">
      <c r="A56"/>
      <c r="B56" s="171" t="s">
        <v>191</v>
      </c>
      <c r="C56" s="644" t="s">
        <v>209</v>
      </c>
      <c r="D56" s="711">
        <f>D45</f>
        <v>35.582922980189323</v>
      </c>
      <c r="E56" s="693">
        <f>SUM(E45:H45)</f>
        <v>140.85969321120808</v>
      </c>
      <c r="F56" s="711">
        <f>SUM(I45:L45)</f>
        <v>134.97169837301132</v>
      </c>
      <c r="G56" s="693">
        <f>SUM(M45:P45)</f>
        <v>129.08370353481456</v>
      </c>
      <c r="H56" s="711">
        <f>SUM(Q45:T45)</f>
        <v>124.44997744119955</v>
      </c>
      <c r="I56" s="733">
        <f>SUM(D56:H56)</f>
        <v>564.94799554042288</v>
      </c>
    </row>
    <row r="57" spans="1:20" x14ac:dyDescent="0.25">
      <c r="A57"/>
      <c r="B57" s="171" t="s">
        <v>363</v>
      </c>
      <c r="C57" s="694" t="s">
        <v>344</v>
      </c>
      <c r="D57" s="711">
        <f t="shared" ref="D57:D62" si="7">D46</f>
        <v>1.7791461490094662</v>
      </c>
      <c r="E57" s="693">
        <f t="shared" ref="E57:E62" si="8">SUM(E46:H46)</f>
        <v>7.0429846605604052</v>
      </c>
      <c r="F57" s="711">
        <f t="shared" ref="F57:F62" si="9">SUM(I46:L46)</f>
        <v>6.7485849186505655</v>
      </c>
      <c r="G57" s="693">
        <f t="shared" ref="G57:G62" si="10">SUM(M46:P46)</f>
        <v>6.4541851767407277</v>
      </c>
      <c r="H57" s="711">
        <f t="shared" ref="H57:H62" si="11">SUM(Q46:T46)</f>
        <v>6.2224988720599779</v>
      </c>
      <c r="I57" s="733">
        <f t="shared" ref="I57:I62" si="12">SUM(D57:H57)</f>
        <v>28.247399777021144</v>
      </c>
    </row>
    <row r="58" spans="1:20" ht="18" x14ac:dyDescent="0.35">
      <c r="A58"/>
      <c r="B58" s="171" t="s">
        <v>364</v>
      </c>
      <c r="C58" s="695" t="s">
        <v>341</v>
      </c>
      <c r="D58" s="711">
        <f t="shared" si="7"/>
        <v>8.469068</v>
      </c>
      <c r="E58" s="693">
        <f t="shared" si="8"/>
        <v>33.714685120901763</v>
      </c>
      <c r="F58" s="711">
        <f t="shared" si="9"/>
        <v>33.120904021280801</v>
      </c>
      <c r="G58" s="693">
        <f t="shared" si="10"/>
        <v>32.467264610179569</v>
      </c>
      <c r="H58" s="711">
        <f t="shared" si="11"/>
        <v>31.149453772181051</v>
      </c>
      <c r="I58" s="733">
        <f t="shared" si="12"/>
        <v>138.92137552454318</v>
      </c>
    </row>
    <row r="59" spans="1:20" ht="18" x14ac:dyDescent="0.35">
      <c r="A59"/>
      <c r="B59" s="355" t="s">
        <v>365</v>
      </c>
      <c r="C59" s="706" t="s">
        <v>366</v>
      </c>
      <c r="D59" s="734">
        <f t="shared" si="7"/>
        <v>8.1590924999999999</v>
      </c>
      <c r="E59" s="708">
        <f t="shared" si="8"/>
        <v>32.532423172623602</v>
      </c>
      <c r="F59" s="734">
        <f t="shared" si="9"/>
        <v>32.121675801491321</v>
      </c>
      <c r="G59" s="708">
        <f t="shared" si="10"/>
        <v>31.508418437335138</v>
      </c>
      <c r="H59" s="734">
        <f t="shared" si="11"/>
        <v>30.213477651717273</v>
      </c>
      <c r="I59" s="735">
        <f t="shared" si="12"/>
        <v>134.53508756316734</v>
      </c>
    </row>
    <row r="60" spans="1:20" ht="18" x14ac:dyDescent="0.35">
      <c r="A60"/>
      <c r="B60" s="355" t="s">
        <v>367</v>
      </c>
      <c r="C60" s="706" t="s">
        <v>389</v>
      </c>
      <c r="D60" s="734">
        <f t="shared" si="7"/>
        <v>0.30997550000000001</v>
      </c>
      <c r="E60" s="708">
        <f t="shared" si="8"/>
        <v>1.1822619482781622</v>
      </c>
      <c r="F60" s="734">
        <f t="shared" si="9"/>
        <v>0.99922821978947995</v>
      </c>
      <c r="G60" s="708">
        <f t="shared" si="10"/>
        <v>0.95884617284442564</v>
      </c>
      <c r="H60" s="734">
        <f t="shared" si="11"/>
        <v>0.93597612046377587</v>
      </c>
      <c r="I60" s="735">
        <f t="shared" si="12"/>
        <v>4.3862879613758432</v>
      </c>
    </row>
    <row r="61" spans="1:20" x14ac:dyDescent="0.25">
      <c r="A61"/>
      <c r="B61" s="171" t="s">
        <v>368</v>
      </c>
      <c r="C61" s="696" t="s">
        <v>359</v>
      </c>
      <c r="D61" s="711">
        <f t="shared" si="7"/>
        <v>25.33470883117986</v>
      </c>
      <c r="E61" s="693">
        <f t="shared" si="8"/>
        <v>100.10202342974594</v>
      </c>
      <c r="F61" s="711">
        <f t="shared" si="9"/>
        <v>95.102209433079963</v>
      </c>
      <c r="G61" s="693">
        <f t="shared" si="10"/>
        <v>90.162253747894255</v>
      </c>
      <c r="H61" s="711">
        <f t="shared" si="11"/>
        <v>87.078024796958516</v>
      </c>
      <c r="I61" s="733">
        <f t="shared" si="12"/>
        <v>397.77922023885856</v>
      </c>
    </row>
    <row r="62" spans="1:20" x14ac:dyDescent="0.25">
      <c r="A62"/>
      <c r="B62" s="171" t="s">
        <v>369</v>
      </c>
      <c r="C62" s="700" t="s">
        <v>370</v>
      </c>
      <c r="D62" s="714">
        <f t="shared" si="7"/>
        <v>448.22423584784508</v>
      </c>
      <c r="E62" s="702">
        <f t="shared" si="8"/>
        <v>1780.5628967072612</v>
      </c>
      <c r="F62" s="714">
        <f t="shared" si="9"/>
        <v>1735.6188249700674</v>
      </c>
      <c r="G62" s="702">
        <f t="shared" si="10"/>
        <v>1706.7956107413966</v>
      </c>
      <c r="H62" s="714">
        <f t="shared" si="11"/>
        <v>1715.7178940711831</v>
      </c>
      <c r="I62" s="736">
        <f t="shared" si="12"/>
        <v>7386.9194623377534</v>
      </c>
    </row>
    <row r="63" spans="1:20" x14ac:dyDescent="0.25">
      <c r="A63"/>
      <c r="B63"/>
      <c r="C63" s="477"/>
      <c r="D63" s="478"/>
      <c r="E63" s="478"/>
      <c r="F63" s="478"/>
      <c r="G63" s="478"/>
      <c r="H63" s="478"/>
      <c r="I63" s="477"/>
    </row>
    <row r="64" spans="1:20" x14ac:dyDescent="0.25">
      <c r="A64"/>
      <c r="B64"/>
      <c r="C64" s="477"/>
      <c r="D64" s="478"/>
      <c r="E64" s="478"/>
      <c r="F64" s="478"/>
      <c r="G64" s="478"/>
      <c r="H64" s="478"/>
      <c r="I64" s="477"/>
    </row>
    <row r="65" spans="1:20" x14ac:dyDescent="0.25">
      <c r="A65"/>
      <c r="B65"/>
      <c r="C65" s="688" t="s">
        <v>392</v>
      </c>
      <c r="D65" s="478"/>
      <c r="E65" s="683" t="s">
        <v>360</v>
      </c>
      <c r="F65" s="685" t="s">
        <v>357</v>
      </c>
      <c r="G65" s="690"/>
      <c r="H65" s="690"/>
      <c r="I65" s="686"/>
    </row>
    <row r="66" spans="1:20" x14ac:dyDescent="0.25">
      <c r="A66"/>
      <c r="B66" s="699"/>
      <c r="C66" s="699"/>
      <c r="D66" s="697"/>
      <c r="E66" s="697">
        <v>2017</v>
      </c>
      <c r="F66" s="697">
        <v>2018</v>
      </c>
      <c r="G66" s="697">
        <v>2019</v>
      </c>
      <c r="H66" s="697">
        <v>2020</v>
      </c>
      <c r="I66" s="697">
        <v>2021</v>
      </c>
    </row>
    <row r="67" spans="1:20" x14ac:dyDescent="0.25">
      <c r="A67"/>
      <c r="B67" s="171" t="s">
        <v>191</v>
      </c>
      <c r="C67" s="644" t="s">
        <v>393</v>
      </c>
      <c r="D67" s="692"/>
      <c r="E67" s="693">
        <v>142.33261490733008</v>
      </c>
      <c r="F67" s="693">
        <v>142.66825135332826</v>
      </c>
      <c r="G67" s="693">
        <v>143.0199393657625</v>
      </c>
      <c r="H67" s="693">
        <v>143.38759613901954</v>
      </c>
      <c r="I67" s="693">
        <v>139.94763074659241</v>
      </c>
    </row>
    <row r="68" spans="1:20" x14ac:dyDescent="0.25">
      <c r="A68"/>
      <c r="B68" s="355" t="s">
        <v>189</v>
      </c>
      <c r="C68" s="737" t="s">
        <v>394</v>
      </c>
      <c r="D68" s="737"/>
      <c r="E68" s="738">
        <v>7.5</v>
      </c>
      <c r="F68" s="738">
        <v>7.5</v>
      </c>
      <c r="G68" s="738">
        <v>7.5</v>
      </c>
      <c r="H68" s="738">
        <v>7.5</v>
      </c>
      <c r="I68" s="738">
        <v>7.5</v>
      </c>
      <c r="J68" s="689"/>
    </row>
    <row r="69" spans="1:20" ht="28.5" customHeight="1" x14ac:dyDescent="0.25">
      <c r="A69"/>
      <c r="B69" s="355" t="s">
        <v>381</v>
      </c>
      <c r="C69" s="695" t="s">
        <v>395</v>
      </c>
      <c r="D69" s="739"/>
      <c r="E69" s="724">
        <v>6.5</v>
      </c>
      <c r="F69" s="724">
        <v>6.5</v>
      </c>
      <c r="G69" s="724">
        <v>5.0999999999999996</v>
      </c>
      <c r="H69" s="724">
        <v>6.4</v>
      </c>
      <c r="I69" s="724">
        <v>6.6</v>
      </c>
      <c r="J69" s="318"/>
    </row>
    <row r="70" spans="1:20" ht="20.25" customHeight="1" x14ac:dyDescent="0.35">
      <c r="A70"/>
      <c r="B70" s="740" t="s">
        <v>396</v>
      </c>
      <c r="C70" s="644" t="s">
        <v>397</v>
      </c>
      <c r="D70" s="704"/>
      <c r="E70" s="693">
        <f>E67-E68+E69</f>
        <v>141.33261490733008</v>
      </c>
      <c r="F70" s="693">
        <f>F67-F68+F69</f>
        <v>141.66825135332826</v>
      </c>
      <c r="G70" s="693">
        <f>G67-G68+G69</f>
        <v>140.61993936576249</v>
      </c>
      <c r="H70" s="693">
        <f>H67-H68+H69</f>
        <v>142.28759613901954</v>
      </c>
      <c r="I70" s="693">
        <f>I67-I68+I69</f>
        <v>139.0476307465924</v>
      </c>
      <c r="J70" s="318"/>
    </row>
    <row r="71" spans="1:20" x14ac:dyDescent="0.25">
      <c r="A71"/>
      <c r="B71" s="355" t="s">
        <v>190</v>
      </c>
      <c r="C71" s="695" t="s">
        <v>398</v>
      </c>
      <c r="D71" s="698"/>
      <c r="E71" s="724">
        <f>E37</f>
        <v>33.876272</v>
      </c>
      <c r="F71" s="724">
        <f>F37</f>
        <v>33.22992448360705</v>
      </c>
      <c r="G71" s="724">
        <f>G37</f>
        <v>32.793842634302052</v>
      </c>
      <c r="H71" s="724">
        <f>H37</f>
        <v>31.487530537812109</v>
      </c>
      <c r="I71" s="724">
        <f>I37</f>
        <v>30.135223475287873</v>
      </c>
      <c r="J71" s="707"/>
    </row>
    <row r="72" spans="1:20" ht="25.5" customHeight="1" x14ac:dyDescent="0.35">
      <c r="A72"/>
      <c r="B72" s="171" t="s">
        <v>399</v>
      </c>
      <c r="C72" s="705" t="s">
        <v>400</v>
      </c>
      <c r="D72" s="693"/>
      <c r="E72" s="693">
        <f>E70-E71</f>
        <v>107.45634290733008</v>
      </c>
      <c r="F72" s="693">
        <f>F70-F71</f>
        <v>108.43832686972121</v>
      </c>
      <c r="G72" s="693">
        <f>G70-G71</f>
        <v>107.82609673146044</v>
      </c>
      <c r="H72" s="693">
        <f>H70-H71</f>
        <v>110.80006560120744</v>
      </c>
      <c r="I72" s="693">
        <f>I70-I71</f>
        <v>108.91240727130453</v>
      </c>
      <c r="K72" s="741"/>
      <c r="L72" s="742"/>
      <c r="M72" s="742"/>
      <c r="N72" s="742"/>
      <c r="O72" s="742"/>
      <c r="P72" s="742"/>
      <c r="Q72" s="742"/>
    </row>
    <row r="73" spans="1:20" ht="18.75" customHeight="1" x14ac:dyDescent="0.35">
      <c r="A73"/>
      <c r="B73" s="355" t="s">
        <v>401</v>
      </c>
      <c r="C73" s="695" t="s">
        <v>402</v>
      </c>
      <c r="D73" s="739"/>
      <c r="E73" s="724">
        <v>0</v>
      </c>
      <c r="F73" s="724">
        <f>F70*0.04</f>
        <v>5.6667300541331302</v>
      </c>
      <c r="G73" s="724">
        <f>G70*0.04</f>
        <v>5.6247975746304997</v>
      </c>
      <c r="H73" s="724">
        <f>H70*0.04</f>
        <v>5.6915038455607814</v>
      </c>
      <c r="I73" s="724">
        <f>I70*0.04</f>
        <v>5.5619052298636964</v>
      </c>
      <c r="J73" s="318"/>
      <c r="K73" s="741"/>
      <c r="L73" s="742"/>
      <c r="M73" s="742"/>
      <c r="N73" s="742"/>
      <c r="O73" s="742"/>
      <c r="P73" s="742"/>
      <c r="Q73" s="742"/>
    </row>
    <row r="74" spans="1:20" ht="22.5" customHeight="1" x14ac:dyDescent="0.35">
      <c r="A74"/>
      <c r="B74" s="355" t="s">
        <v>403</v>
      </c>
      <c r="C74" s="695" t="s">
        <v>404</v>
      </c>
      <c r="D74" s="739"/>
      <c r="E74" s="724">
        <v>0</v>
      </c>
      <c r="F74" s="724">
        <f>F70*0.08</f>
        <v>11.33346010826626</v>
      </c>
      <c r="G74" s="724">
        <f>G70*0.08</f>
        <v>11.249595149260999</v>
      </c>
      <c r="H74" s="724">
        <f>H70*0.08</f>
        <v>11.383007691121563</v>
      </c>
      <c r="I74" s="724">
        <f>I70*0.08</f>
        <v>11.123810459727393</v>
      </c>
      <c r="J74" s="318"/>
      <c r="K74" s="741"/>
      <c r="L74" s="742"/>
      <c r="M74" s="742"/>
      <c r="N74" s="742"/>
      <c r="O74" s="742"/>
      <c r="P74" s="742"/>
      <c r="Q74" s="742"/>
    </row>
    <row r="75" spans="1:20" ht="18" customHeight="1" x14ac:dyDescent="0.25">
      <c r="A75"/>
      <c r="B75" s="355" t="s">
        <v>262</v>
      </c>
      <c r="C75" s="695" t="s">
        <v>405</v>
      </c>
      <c r="D75" s="739"/>
      <c r="E75" s="724">
        <v>0.98</v>
      </c>
      <c r="F75" s="724">
        <v>1.96</v>
      </c>
      <c r="G75" s="724">
        <v>2.94</v>
      </c>
      <c r="H75" s="724">
        <v>3.92</v>
      </c>
      <c r="I75" s="724">
        <f>H75</f>
        <v>3.92</v>
      </c>
      <c r="J75" s="730" t="s">
        <v>387</v>
      </c>
      <c r="K75" s="741"/>
      <c r="L75" s="742"/>
      <c r="M75" s="742"/>
      <c r="N75" s="742"/>
      <c r="O75" s="742"/>
      <c r="P75" s="742"/>
      <c r="Q75" s="742"/>
    </row>
    <row r="76" spans="1:20" ht="28.5" customHeight="1" x14ac:dyDescent="0.35">
      <c r="A76"/>
      <c r="B76" s="355" t="s">
        <v>406</v>
      </c>
      <c r="C76" s="705" t="s">
        <v>407</v>
      </c>
      <c r="D76" s="704"/>
      <c r="E76" s="693">
        <f>E70-E73-E75-E71</f>
        <v>106.47634290733009</v>
      </c>
      <c r="F76" s="693">
        <f>F70-F73-F75-F71</f>
        <v>100.81159681558808</v>
      </c>
      <c r="G76" s="693">
        <f>G70-G73-G75-G71</f>
        <v>99.261299156829949</v>
      </c>
      <c r="H76" s="693">
        <f>H70-H73-H75-H71</f>
        <v>101.18856175564666</v>
      </c>
      <c r="I76" s="693">
        <f>I70-I73-I75-I71</f>
        <v>99.430502041440846</v>
      </c>
      <c r="J76" s="730"/>
    </row>
    <row r="77" spans="1:20" ht="28.5" customHeight="1" x14ac:dyDescent="0.35">
      <c r="A77"/>
      <c r="B77" s="355" t="s">
        <v>408</v>
      </c>
      <c r="C77" s="705" t="s">
        <v>409</v>
      </c>
      <c r="D77" s="704"/>
      <c r="E77" s="693">
        <f>E70-E74-E75-E71</f>
        <v>106.47634290733009</v>
      </c>
      <c r="F77" s="693">
        <f>F70-F74-F75-F71</f>
        <v>95.144866761454949</v>
      </c>
      <c r="G77" s="693">
        <f>G70-G74-G75-G71</f>
        <v>93.636501582199429</v>
      </c>
      <c r="H77" s="693">
        <f>H70-H74-H75-H71</f>
        <v>95.497057910085886</v>
      </c>
      <c r="I77" s="693">
        <f>I70-I74-I75-I71</f>
        <v>93.868596811577135</v>
      </c>
      <c r="J77" s="730"/>
    </row>
    <row r="78" spans="1:20" x14ac:dyDescent="0.25">
      <c r="A78"/>
      <c r="B78"/>
      <c r="C78" s="477"/>
      <c r="D78" s="478"/>
      <c r="E78" s="478"/>
      <c r="F78" s="478"/>
      <c r="G78" s="478"/>
      <c r="H78" s="478"/>
      <c r="I78" s="477"/>
    </row>
    <row r="79" spans="1:20" x14ac:dyDescent="0.25">
      <c r="A79"/>
      <c r="B79"/>
      <c r="C79" s="477"/>
      <c r="D79" s="478"/>
      <c r="E79" s="478"/>
      <c r="F79" s="478"/>
      <c r="G79" s="478"/>
      <c r="H79" s="478"/>
      <c r="I79" s="477"/>
    </row>
    <row r="80" spans="1:20" x14ac:dyDescent="0.25">
      <c r="A80"/>
      <c r="B80"/>
      <c r="C80" s="688" t="s">
        <v>410</v>
      </c>
      <c r="D80" s="683" t="s">
        <v>358</v>
      </c>
      <c r="E80" s="684"/>
      <c r="F80" s="684"/>
      <c r="G80" s="684"/>
      <c r="H80" s="685" t="s">
        <v>357</v>
      </c>
      <c r="I80" s="686"/>
      <c r="J80" s="253"/>
      <c r="K80" s="253"/>
      <c r="L80" s="253"/>
      <c r="M80" s="253"/>
      <c r="N80" s="253"/>
      <c r="O80" s="253"/>
      <c r="P80" s="253"/>
      <c r="Q80" s="253"/>
      <c r="R80" s="253"/>
      <c r="S80" s="253"/>
      <c r="T80" s="253"/>
    </row>
    <row r="81" spans="1:20" x14ac:dyDescent="0.25">
      <c r="A81"/>
      <c r="B81" s="699"/>
      <c r="C81" s="699"/>
      <c r="D81" s="697" t="s">
        <v>371</v>
      </c>
      <c r="E81" s="710" t="s">
        <v>345</v>
      </c>
      <c r="F81" s="709" t="s">
        <v>346</v>
      </c>
      <c r="G81" s="709" t="s">
        <v>347</v>
      </c>
      <c r="H81" s="697" t="s">
        <v>373</v>
      </c>
      <c r="I81" s="709" t="s">
        <v>348</v>
      </c>
      <c r="J81" s="709" t="s">
        <v>349</v>
      </c>
      <c r="K81" s="709" t="s">
        <v>350</v>
      </c>
      <c r="L81" s="697" t="s">
        <v>374</v>
      </c>
      <c r="M81" s="709" t="s">
        <v>351</v>
      </c>
      <c r="N81" s="709" t="s">
        <v>352</v>
      </c>
      <c r="O81" s="709" t="s">
        <v>353</v>
      </c>
      <c r="P81" s="697" t="s">
        <v>375</v>
      </c>
      <c r="Q81" s="710" t="s">
        <v>354</v>
      </c>
      <c r="R81" s="710" t="s">
        <v>355</v>
      </c>
      <c r="S81" s="710" t="s">
        <v>356</v>
      </c>
      <c r="T81" s="715" t="s">
        <v>378</v>
      </c>
    </row>
    <row r="82" spans="1:20" x14ac:dyDescent="0.25">
      <c r="A82"/>
      <c r="B82" s="171" t="s">
        <v>191</v>
      </c>
      <c r="C82" s="644" t="s">
        <v>393</v>
      </c>
      <c r="D82" s="711">
        <f t="shared" ref="D82:G92" si="13">$E67/4</f>
        <v>35.583153726832521</v>
      </c>
      <c r="E82" s="693">
        <f t="shared" si="13"/>
        <v>35.583153726832521</v>
      </c>
      <c r="F82" s="693">
        <f t="shared" si="13"/>
        <v>35.583153726832521</v>
      </c>
      <c r="G82" s="693">
        <f t="shared" si="13"/>
        <v>35.583153726832521</v>
      </c>
      <c r="H82" s="693">
        <f t="shared" ref="H82:K92" si="14">$F67/4</f>
        <v>35.667062838332065</v>
      </c>
      <c r="I82" s="711">
        <f t="shared" si="14"/>
        <v>35.667062838332065</v>
      </c>
      <c r="J82" s="711">
        <f t="shared" si="14"/>
        <v>35.667062838332065</v>
      </c>
      <c r="K82" s="711">
        <f t="shared" si="14"/>
        <v>35.667062838332065</v>
      </c>
      <c r="L82" s="711">
        <f t="shared" ref="L82:O92" si="15">$G67/4</f>
        <v>35.754984841440624</v>
      </c>
      <c r="M82" s="693">
        <f t="shared" si="15"/>
        <v>35.754984841440624</v>
      </c>
      <c r="N82" s="693">
        <f t="shared" si="15"/>
        <v>35.754984841440624</v>
      </c>
      <c r="O82" s="693">
        <f t="shared" si="15"/>
        <v>35.754984841440624</v>
      </c>
      <c r="P82" s="693">
        <f t="shared" ref="P82:S92" si="16">$H67/4</f>
        <v>35.846899034754884</v>
      </c>
      <c r="Q82" s="711">
        <f t="shared" si="16"/>
        <v>35.846899034754884</v>
      </c>
      <c r="R82" s="711">
        <f t="shared" si="16"/>
        <v>35.846899034754884</v>
      </c>
      <c r="S82" s="711">
        <f t="shared" si="16"/>
        <v>35.846899034754884</v>
      </c>
      <c r="T82" s="711">
        <f t="shared" ref="T82:T92" si="17">$I67/4</f>
        <v>34.986907686648102</v>
      </c>
    </row>
    <row r="83" spans="1:20" x14ac:dyDescent="0.25">
      <c r="A83"/>
      <c r="B83" s="355" t="s">
        <v>189</v>
      </c>
      <c r="C83" s="703" t="s">
        <v>394</v>
      </c>
      <c r="D83" s="712">
        <f t="shared" si="13"/>
        <v>1.875</v>
      </c>
      <c r="E83" s="713">
        <f t="shared" si="13"/>
        <v>1.875</v>
      </c>
      <c r="F83" s="713">
        <f t="shared" si="13"/>
        <v>1.875</v>
      </c>
      <c r="G83" s="713">
        <f t="shared" si="13"/>
        <v>1.875</v>
      </c>
      <c r="H83" s="713">
        <f t="shared" si="14"/>
        <v>1.875</v>
      </c>
      <c r="I83" s="712">
        <f t="shared" si="14"/>
        <v>1.875</v>
      </c>
      <c r="J83" s="712">
        <f t="shared" si="14"/>
        <v>1.875</v>
      </c>
      <c r="K83" s="712">
        <f t="shared" si="14"/>
        <v>1.875</v>
      </c>
      <c r="L83" s="712">
        <f t="shared" si="15"/>
        <v>1.875</v>
      </c>
      <c r="M83" s="713">
        <f t="shared" si="15"/>
        <v>1.875</v>
      </c>
      <c r="N83" s="713">
        <f t="shared" si="15"/>
        <v>1.875</v>
      </c>
      <c r="O83" s="713">
        <f t="shared" si="15"/>
        <v>1.875</v>
      </c>
      <c r="P83" s="713">
        <f t="shared" si="16"/>
        <v>1.875</v>
      </c>
      <c r="Q83" s="712">
        <f t="shared" si="16"/>
        <v>1.875</v>
      </c>
      <c r="R83" s="712">
        <f t="shared" si="16"/>
        <v>1.875</v>
      </c>
      <c r="S83" s="712">
        <f t="shared" si="16"/>
        <v>1.875</v>
      </c>
      <c r="T83" s="712">
        <f t="shared" si="17"/>
        <v>1.875</v>
      </c>
    </row>
    <row r="84" spans="1:20" x14ac:dyDescent="0.25">
      <c r="A84"/>
      <c r="B84" s="355" t="s">
        <v>381</v>
      </c>
      <c r="C84" s="703" t="s">
        <v>361</v>
      </c>
      <c r="D84" s="712">
        <f t="shared" si="13"/>
        <v>1.625</v>
      </c>
      <c r="E84" s="713">
        <f t="shared" si="13"/>
        <v>1.625</v>
      </c>
      <c r="F84" s="713">
        <f t="shared" si="13"/>
        <v>1.625</v>
      </c>
      <c r="G84" s="713">
        <f t="shared" si="13"/>
        <v>1.625</v>
      </c>
      <c r="H84" s="713">
        <f t="shared" si="14"/>
        <v>1.625</v>
      </c>
      <c r="I84" s="712">
        <f t="shared" si="14"/>
        <v>1.625</v>
      </c>
      <c r="J84" s="712">
        <f t="shared" si="14"/>
        <v>1.625</v>
      </c>
      <c r="K84" s="712">
        <f t="shared" si="14"/>
        <v>1.625</v>
      </c>
      <c r="L84" s="712">
        <f t="shared" si="15"/>
        <v>1.2749999999999999</v>
      </c>
      <c r="M84" s="713">
        <f t="shared" si="15"/>
        <v>1.2749999999999999</v>
      </c>
      <c r="N84" s="713">
        <f t="shared" si="15"/>
        <v>1.2749999999999999</v>
      </c>
      <c r="O84" s="713">
        <f t="shared" si="15"/>
        <v>1.2749999999999999</v>
      </c>
      <c r="P84" s="713">
        <f t="shared" si="16"/>
        <v>1.6</v>
      </c>
      <c r="Q84" s="712">
        <f t="shared" si="16"/>
        <v>1.6</v>
      </c>
      <c r="R84" s="712">
        <f t="shared" si="16"/>
        <v>1.6</v>
      </c>
      <c r="S84" s="712">
        <f t="shared" si="16"/>
        <v>1.6</v>
      </c>
      <c r="T84" s="712">
        <f t="shared" si="17"/>
        <v>1.65</v>
      </c>
    </row>
    <row r="85" spans="1:20" ht="18" x14ac:dyDescent="0.35">
      <c r="A85"/>
      <c r="B85" s="740" t="s">
        <v>396</v>
      </c>
      <c r="C85" s="644" t="s">
        <v>397</v>
      </c>
      <c r="D85" s="711">
        <f t="shared" si="13"/>
        <v>35.333153726832521</v>
      </c>
      <c r="E85" s="693">
        <f t="shared" si="13"/>
        <v>35.333153726832521</v>
      </c>
      <c r="F85" s="693">
        <f t="shared" si="13"/>
        <v>35.333153726832521</v>
      </c>
      <c r="G85" s="693">
        <f t="shared" si="13"/>
        <v>35.333153726832521</v>
      </c>
      <c r="H85" s="693">
        <f t="shared" si="14"/>
        <v>35.417062838332065</v>
      </c>
      <c r="I85" s="711">
        <f t="shared" si="14"/>
        <v>35.417062838332065</v>
      </c>
      <c r="J85" s="711">
        <f t="shared" si="14"/>
        <v>35.417062838332065</v>
      </c>
      <c r="K85" s="711">
        <f t="shared" si="14"/>
        <v>35.417062838332065</v>
      </c>
      <c r="L85" s="711">
        <f t="shared" si="15"/>
        <v>35.154984841440623</v>
      </c>
      <c r="M85" s="693">
        <f t="shared" si="15"/>
        <v>35.154984841440623</v>
      </c>
      <c r="N85" s="693">
        <f t="shared" si="15"/>
        <v>35.154984841440623</v>
      </c>
      <c r="O85" s="693">
        <f t="shared" si="15"/>
        <v>35.154984841440623</v>
      </c>
      <c r="P85" s="693">
        <f t="shared" si="16"/>
        <v>35.571899034754885</v>
      </c>
      <c r="Q85" s="711">
        <f t="shared" si="16"/>
        <v>35.571899034754885</v>
      </c>
      <c r="R85" s="711">
        <f t="shared" si="16"/>
        <v>35.571899034754885</v>
      </c>
      <c r="S85" s="711">
        <f t="shared" si="16"/>
        <v>35.571899034754885</v>
      </c>
      <c r="T85" s="711">
        <f t="shared" si="17"/>
        <v>34.761907686648101</v>
      </c>
    </row>
    <row r="86" spans="1:20" ht="18" x14ac:dyDescent="0.35">
      <c r="A86"/>
      <c r="B86" s="355" t="s">
        <v>401</v>
      </c>
      <c r="C86" s="695" t="s">
        <v>398</v>
      </c>
      <c r="D86" s="711">
        <f t="shared" si="13"/>
        <v>8.469068</v>
      </c>
      <c r="E86" s="693">
        <f t="shared" si="13"/>
        <v>8.469068</v>
      </c>
      <c r="F86" s="693">
        <f t="shared" si="13"/>
        <v>8.469068</v>
      </c>
      <c r="G86" s="693">
        <f t="shared" si="13"/>
        <v>8.469068</v>
      </c>
      <c r="H86" s="693">
        <f t="shared" si="14"/>
        <v>8.3074811209017625</v>
      </c>
      <c r="I86" s="711">
        <f t="shared" si="14"/>
        <v>8.3074811209017625</v>
      </c>
      <c r="J86" s="711">
        <f t="shared" si="14"/>
        <v>8.3074811209017625</v>
      </c>
      <c r="K86" s="711">
        <f t="shared" si="14"/>
        <v>8.3074811209017625</v>
      </c>
      <c r="L86" s="711">
        <f t="shared" si="15"/>
        <v>8.1984606585755131</v>
      </c>
      <c r="M86" s="693">
        <f t="shared" si="15"/>
        <v>8.1984606585755131</v>
      </c>
      <c r="N86" s="693">
        <f t="shared" si="15"/>
        <v>8.1984606585755131</v>
      </c>
      <c r="O86" s="693">
        <f t="shared" si="15"/>
        <v>8.1984606585755131</v>
      </c>
      <c r="P86" s="693">
        <f t="shared" si="16"/>
        <v>7.8718826344530273</v>
      </c>
      <c r="Q86" s="711">
        <f t="shared" si="16"/>
        <v>7.8718826344530273</v>
      </c>
      <c r="R86" s="711">
        <f t="shared" si="16"/>
        <v>7.8718826344530273</v>
      </c>
      <c r="S86" s="711">
        <f t="shared" si="16"/>
        <v>7.8718826344530273</v>
      </c>
      <c r="T86" s="711">
        <f t="shared" si="17"/>
        <v>7.5338058688219682</v>
      </c>
    </row>
    <row r="87" spans="1:20" ht="26.25" x14ac:dyDescent="0.35">
      <c r="A87"/>
      <c r="B87" s="355" t="s">
        <v>403</v>
      </c>
      <c r="C87" s="705" t="s">
        <v>400</v>
      </c>
      <c r="D87" s="711">
        <f t="shared" si="13"/>
        <v>26.864085726832521</v>
      </c>
      <c r="E87" s="693">
        <f t="shared" si="13"/>
        <v>26.864085726832521</v>
      </c>
      <c r="F87" s="693">
        <f t="shared" si="13"/>
        <v>26.864085726832521</v>
      </c>
      <c r="G87" s="693">
        <f t="shared" si="13"/>
        <v>26.864085726832521</v>
      </c>
      <c r="H87" s="693">
        <f t="shared" si="14"/>
        <v>27.109581717430302</v>
      </c>
      <c r="I87" s="711">
        <f t="shared" si="14"/>
        <v>27.109581717430302</v>
      </c>
      <c r="J87" s="711">
        <f t="shared" si="14"/>
        <v>27.109581717430302</v>
      </c>
      <c r="K87" s="711">
        <f t="shared" si="14"/>
        <v>27.109581717430302</v>
      </c>
      <c r="L87" s="711">
        <f t="shared" si="15"/>
        <v>26.95652418286511</v>
      </c>
      <c r="M87" s="693">
        <f t="shared" si="15"/>
        <v>26.95652418286511</v>
      </c>
      <c r="N87" s="693">
        <f t="shared" si="15"/>
        <v>26.95652418286511</v>
      </c>
      <c r="O87" s="693">
        <f t="shared" si="15"/>
        <v>26.95652418286511</v>
      </c>
      <c r="P87" s="693">
        <f t="shared" si="16"/>
        <v>27.700016400301859</v>
      </c>
      <c r="Q87" s="711">
        <f t="shared" si="16"/>
        <v>27.700016400301859</v>
      </c>
      <c r="R87" s="711">
        <f t="shared" si="16"/>
        <v>27.700016400301859</v>
      </c>
      <c r="S87" s="711">
        <f t="shared" si="16"/>
        <v>27.700016400301859</v>
      </c>
      <c r="T87" s="711">
        <f t="shared" si="17"/>
        <v>27.228101817826133</v>
      </c>
    </row>
    <row r="88" spans="1:20" x14ac:dyDescent="0.25">
      <c r="A88"/>
      <c r="B88" s="355" t="s">
        <v>262</v>
      </c>
      <c r="C88" s="695" t="s">
        <v>402</v>
      </c>
      <c r="D88" s="711">
        <f t="shared" si="13"/>
        <v>0</v>
      </c>
      <c r="E88" s="693">
        <f t="shared" si="13"/>
        <v>0</v>
      </c>
      <c r="F88" s="693">
        <f t="shared" si="13"/>
        <v>0</v>
      </c>
      <c r="G88" s="693">
        <f t="shared" si="13"/>
        <v>0</v>
      </c>
      <c r="H88" s="693">
        <f t="shared" si="14"/>
        <v>1.4166825135332826</v>
      </c>
      <c r="I88" s="711">
        <f t="shared" si="14"/>
        <v>1.4166825135332826</v>
      </c>
      <c r="J88" s="711">
        <f t="shared" si="14"/>
        <v>1.4166825135332826</v>
      </c>
      <c r="K88" s="711">
        <f t="shared" si="14"/>
        <v>1.4166825135332826</v>
      </c>
      <c r="L88" s="711">
        <f t="shared" si="15"/>
        <v>1.4061993936576249</v>
      </c>
      <c r="M88" s="693">
        <f t="shared" si="15"/>
        <v>1.4061993936576249</v>
      </c>
      <c r="N88" s="693">
        <f t="shared" si="15"/>
        <v>1.4061993936576249</v>
      </c>
      <c r="O88" s="693">
        <f t="shared" si="15"/>
        <v>1.4061993936576249</v>
      </c>
      <c r="P88" s="693">
        <f t="shared" si="16"/>
        <v>1.4228759613901953</v>
      </c>
      <c r="Q88" s="711">
        <f t="shared" si="16"/>
        <v>1.4228759613901953</v>
      </c>
      <c r="R88" s="711">
        <f t="shared" si="16"/>
        <v>1.4228759613901953</v>
      </c>
      <c r="S88" s="711">
        <f t="shared" si="16"/>
        <v>1.4228759613901953</v>
      </c>
      <c r="T88" s="711">
        <f t="shared" si="17"/>
        <v>1.3904763074659241</v>
      </c>
    </row>
    <row r="89" spans="1:20" ht="18" x14ac:dyDescent="0.35">
      <c r="A89"/>
      <c r="B89" s="355" t="s">
        <v>411</v>
      </c>
      <c r="C89" s="695" t="s">
        <v>404</v>
      </c>
      <c r="D89" s="711">
        <f t="shared" si="13"/>
        <v>0</v>
      </c>
      <c r="E89" s="693">
        <f t="shared" si="13"/>
        <v>0</v>
      </c>
      <c r="F89" s="693">
        <f t="shared" si="13"/>
        <v>0</v>
      </c>
      <c r="G89" s="693">
        <f t="shared" si="13"/>
        <v>0</v>
      </c>
      <c r="H89" s="693">
        <f t="shared" si="14"/>
        <v>2.8333650270665651</v>
      </c>
      <c r="I89" s="711">
        <f t="shared" si="14"/>
        <v>2.8333650270665651</v>
      </c>
      <c r="J89" s="711">
        <f t="shared" si="14"/>
        <v>2.8333650270665651</v>
      </c>
      <c r="K89" s="711">
        <f t="shared" si="14"/>
        <v>2.8333650270665651</v>
      </c>
      <c r="L89" s="711">
        <f t="shared" si="15"/>
        <v>2.8123987873152498</v>
      </c>
      <c r="M89" s="693">
        <f t="shared" si="15"/>
        <v>2.8123987873152498</v>
      </c>
      <c r="N89" s="693">
        <f t="shared" si="15"/>
        <v>2.8123987873152498</v>
      </c>
      <c r="O89" s="693">
        <f t="shared" si="15"/>
        <v>2.8123987873152498</v>
      </c>
      <c r="P89" s="693">
        <f t="shared" si="16"/>
        <v>2.8457519227803907</v>
      </c>
      <c r="Q89" s="711">
        <f t="shared" si="16"/>
        <v>2.8457519227803907</v>
      </c>
      <c r="R89" s="711">
        <f t="shared" si="16"/>
        <v>2.8457519227803907</v>
      </c>
      <c r="S89" s="711">
        <f t="shared" si="16"/>
        <v>2.8457519227803907</v>
      </c>
      <c r="T89" s="711">
        <f t="shared" si="17"/>
        <v>2.7809526149318482</v>
      </c>
    </row>
    <row r="90" spans="1:20" ht="18" x14ac:dyDescent="0.35">
      <c r="A90"/>
      <c r="B90" s="355" t="s">
        <v>412</v>
      </c>
      <c r="C90" s="695" t="s">
        <v>405</v>
      </c>
      <c r="D90" s="711">
        <f t="shared" si="13"/>
        <v>0.245</v>
      </c>
      <c r="E90" s="693">
        <f t="shared" si="13"/>
        <v>0.245</v>
      </c>
      <c r="F90" s="693">
        <f t="shared" si="13"/>
        <v>0.245</v>
      </c>
      <c r="G90" s="693">
        <f t="shared" si="13"/>
        <v>0.245</v>
      </c>
      <c r="H90" s="693">
        <f t="shared" si="14"/>
        <v>0.49</v>
      </c>
      <c r="I90" s="711">
        <f t="shared" si="14"/>
        <v>0.49</v>
      </c>
      <c r="J90" s="711">
        <f t="shared" si="14"/>
        <v>0.49</v>
      </c>
      <c r="K90" s="711">
        <f t="shared" si="14"/>
        <v>0.49</v>
      </c>
      <c r="L90" s="711">
        <f t="shared" si="15"/>
        <v>0.73499999999999999</v>
      </c>
      <c r="M90" s="693">
        <f t="shared" si="15"/>
        <v>0.73499999999999999</v>
      </c>
      <c r="N90" s="693">
        <f t="shared" si="15"/>
        <v>0.73499999999999999</v>
      </c>
      <c r="O90" s="693">
        <f t="shared" si="15"/>
        <v>0.73499999999999999</v>
      </c>
      <c r="P90" s="693">
        <f t="shared" si="16"/>
        <v>0.98</v>
      </c>
      <c r="Q90" s="711">
        <f t="shared" si="16"/>
        <v>0.98</v>
      </c>
      <c r="R90" s="711">
        <f t="shared" si="16"/>
        <v>0.98</v>
      </c>
      <c r="S90" s="711">
        <f t="shared" si="16"/>
        <v>0.98</v>
      </c>
      <c r="T90" s="711">
        <f t="shared" si="17"/>
        <v>0.98</v>
      </c>
    </row>
    <row r="91" spans="1:20" x14ac:dyDescent="0.25">
      <c r="A91"/>
      <c r="B91" s="355" t="s">
        <v>190</v>
      </c>
      <c r="C91" s="705" t="s">
        <v>407</v>
      </c>
      <c r="D91" s="711">
        <f t="shared" si="13"/>
        <v>26.619085726832523</v>
      </c>
      <c r="E91" s="693">
        <f t="shared" si="13"/>
        <v>26.619085726832523</v>
      </c>
      <c r="F91" s="693">
        <f t="shared" si="13"/>
        <v>26.619085726832523</v>
      </c>
      <c r="G91" s="693">
        <f t="shared" si="13"/>
        <v>26.619085726832523</v>
      </c>
      <c r="H91" s="693">
        <f t="shared" si="14"/>
        <v>25.202899203897019</v>
      </c>
      <c r="I91" s="711">
        <f t="shared" si="14"/>
        <v>25.202899203897019</v>
      </c>
      <c r="J91" s="711">
        <f t="shared" si="14"/>
        <v>25.202899203897019</v>
      </c>
      <c r="K91" s="711">
        <f t="shared" si="14"/>
        <v>25.202899203897019</v>
      </c>
      <c r="L91" s="711">
        <f t="shared" si="15"/>
        <v>24.815324789207487</v>
      </c>
      <c r="M91" s="693">
        <f t="shared" si="15"/>
        <v>24.815324789207487</v>
      </c>
      <c r="N91" s="693">
        <f t="shared" si="15"/>
        <v>24.815324789207487</v>
      </c>
      <c r="O91" s="693">
        <f t="shared" si="15"/>
        <v>24.815324789207487</v>
      </c>
      <c r="P91" s="693">
        <f t="shared" si="16"/>
        <v>25.297140438911665</v>
      </c>
      <c r="Q91" s="711">
        <f t="shared" si="16"/>
        <v>25.297140438911665</v>
      </c>
      <c r="R91" s="711">
        <f t="shared" si="16"/>
        <v>25.297140438911665</v>
      </c>
      <c r="S91" s="711">
        <f t="shared" si="16"/>
        <v>25.297140438911665</v>
      </c>
      <c r="T91" s="711">
        <f t="shared" si="17"/>
        <v>24.857625510360212</v>
      </c>
    </row>
    <row r="92" spans="1:20" ht="18" x14ac:dyDescent="0.35">
      <c r="A92"/>
      <c r="B92" s="171" t="s">
        <v>399</v>
      </c>
      <c r="C92" s="705" t="s">
        <v>409</v>
      </c>
      <c r="D92" s="711">
        <f t="shared" si="13"/>
        <v>26.619085726832523</v>
      </c>
      <c r="E92" s="693">
        <f t="shared" si="13"/>
        <v>26.619085726832523</v>
      </c>
      <c r="F92" s="693">
        <f t="shared" si="13"/>
        <v>26.619085726832523</v>
      </c>
      <c r="G92" s="693">
        <f t="shared" si="13"/>
        <v>26.619085726832523</v>
      </c>
      <c r="H92" s="693">
        <f t="shared" si="14"/>
        <v>23.786216690363737</v>
      </c>
      <c r="I92" s="711">
        <f t="shared" si="14"/>
        <v>23.786216690363737</v>
      </c>
      <c r="J92" s="711">
        <f t="shared" si="14"/>
        <v>23.786216690363737</v>
      </c>
      <c r="K92" s="711">
        <f t="shared" si="14"/>
        <v>23.786216690363737</v>
      </c>
      <c r="L92" s="711">
        <f t="shared" si="15"/>
        <v>23.409125395549857</v>
      </c>
      <c r="M92" s="693">
        <f t="shared" si="15"/>
        <v>23.409125395549857</v>
      </c>
      <c r="N92" s="693">
        <f t="shared" si="15"/>
        <v>23.409125395549857</v>
      </c>
      <c r="O92" s="693">
        <f t="shared" si="15"/>
        <v>23.409125395549857</v>
      </c>
      <c r="P92" s="693">
        <f t="shared" si="16"/>
        <v>23.874264477521471</v>
      </c>
      <c r="Q92" s="711">
        <f t="shared" si="16"/>
        <v>23.874264477521471</v>
      </c>
      <c r="R92" s="711">
        <f t="shared" si="16"/>
        <v>23.874264477521471</v>
      </c>
      <c r="S92" s="711">
        <f t="shared" si="16"/>
        <v>23.874264477521471</v>
      </c>
      <c r="T92" s="711">
        <f t="shared" si="17"/>
        <v>23.467149202894284</v>
      </c>
    </row>
    <row r="93" spans="1:20" x14ac:dyDescent="0.25">
      <c r="A93"/>
      <c r="B93" s="478"/>
      <c r="C93" s="477"/>
      <c r="D93" s="478"/>
      <c r="E93" s="478"/>
      <c r="F93" s="478"/>
      <c r="G93" s="478"/>
      <c r="H93" s="478"/>
      <c r="I93" s="477"/>
    </row>
    <row r="94" spans="1:20" x14ac:dyDescent="0.25">
      <c r="A94"/>
      <c r="B94" s="478"/>
      <c r="C94" s="477"/>
      <c r="D94" s="478"/>
      <c r="E94" s="478"/>
      <c r="F94" s="478"/>
      <c r="G94" s="478"/>
      <c r="H94" s="478"/>
      <c r="I94" s="477"/>
    </row>
    <row r="95" spans="1:20" x14ac:dyDescent="0.25">
      <c r="A95"/>
      <c r="B95"/>
      <c r="C95" s="688" t="s">
        <v>413</v>
      </c>
      <c r="D95" s="683" t="s">
        <v>360</v>
      </c>
      <c r="E95" s="731"/>
      <c r="F95" s="685" t="s">
        <v>357</v>
      </c>
      <c r="G95" s="690"/>
      <c r="H95" s="690"/>
      <c r="I95" s="477"/>
    </row>
    <row r="96" spans="1:20" x14ac:dyDescent="0.25">
      <c r="A96"/>
      <c r="B96" s="699"/>
      <c r="C96" s="699"/>
      <c r="D96" s="697" t="s">
        <v>239</v>
      </c>
      <c r="E96" s="697" t="s">
        <v>240</v>
      </c>
      <c r="F96" s="697" t="s">
        <v>241</v>
      </c>
      <c r="G96" s="697" t="s">
        <v>242</v>
      </c>
      <c r="H96" s="697" t="s">
        <v>243</v>
      </c>
      <c r="I96" s="732" t="s">
        <v>270</v>
      </c>
    </row>
    <row r="97" spans="1:10" x14ac:dyDescent="0.25">
      <c r="A97"/>
      <c r="B97" s="171" t="s">
        <v>191</v>
      </c>
      <c r="C97" s="644" t="s">
        <v>393</v>
      </c>
      <c r="D97" s="711">
        <f>D82</f>
        <v>35.583153726832521</v>
      </c>
      <c r="E97" s="693">
        <f t="shared" ref="E97:E107" si="18">SUM(E82:H82)</f>
        <v>142.41652401882962</v>
      </c>
      <c r="F97" s="711">
        <f t="shared" ref="F97:F107" si="19">SUM(I82:L82)</f>
        <v>142.75617335643682</v>
      </c>
      <c r="G97" s="693">
        <f t="shared" ref="G97:G107" si="20">SUM(M82:P82)</f>
        <v>143.11185355907674</v>
      </c>
      <c r="H97" s="711">
        <f t="shared" ref="H97:H107" si="21">SUM(Q82:T82)</f>
        <v>142.52760479091276</v>
      </c>
      <c r="I97" s="733">
        <f>SUM(D97:H97)</f>
        <v>606.39530945208844</v>
      </c>
    </row>
    <row r="98" spans="1:10" x14ac:dyDescent="0.25">
      <c r="A98"/>
      <c r="B98" s="355" t="s">
        <v>189</v>
      </c>
      <c r="C98" s="703" t="s">
        <v>394</v>
      </c>
      <c r="D98" s="712">
        <f t="shared" ref="D98:D107" si="22">D83</f>
        <v>1.875</v>
      </c>
      <c r="E98" s="713">
        <f t="shared" si="18"/>
        <v>7.5</v>
      </c>
      <c r="F98" s="712">
        <f t="shared" si="19"/>
        <v>7.5</v>
      </c>
      <c r="G98" s="713">
        <f t="shared" si="20"/>
        <v>7.5</v>
      </c>
      <c r="H98" s="712">
        <f t="shared" si="21"/>
        <v>7.5</v>
      </c>
      <c r="I98" s="743">
        <f t="shared" ref="I98:I107" si="23">SUM(D98:H98)</f>
        <v>31.875</v>
      </c>
      <c r="J98" s="689"/>
    </row>
    <row r="99" spans="1:10" x14ac:dyDescent="0.25">
      <c r="A99"/>
      <c r="B99" s="355" t="s">
        <v>381</v>
      </c>
      <c r="C99" s="695" t="s">
        <v>395</v>
      </c>
      <c r="D99" s="723">
        <f t="shared" si="22"/>
        <v>1.625</v>
      </c>
      <c r="E99" s="724">
        <f t="shared" si="18"/>
        <v>6.5</v>
      </c>
      <c r="F99" s="723">
        <f t="shared" si="19"/>
        <v>6.15</v>
      </c>
      <c r="G99" s="724">
        <f t="shared" si="20"/>
        <v>5.4249999999999998</v>
      </c>
      <c r="H99" s="723">
        <f t="shared" si="21"/>
        <v>6.4500000000000011</v>
      </c>
      <c r="I99" s="744">
        <f t="shared" si="23"/>
        <v>26.15</v>
      </c>
      <c r="J99" s="318"/>
    </row>
    <row r="100" spans="1:10" ht="18" x14ac:dyDescent="0.35">
      <c r="A100"/>
      <c r="B100" s="740" t="s">
        <v>396</v>
      </c>
      <c r="C100" s="644" t="s">
        <v>397</v>
      </c>
      <c r="D100" s="711">
        <f t="shared" si="22"/>
        <v>35.333153726832521</v>
      </c>
      <c r="E100" s="693">
        <f t="shared" si="18"/>
        <v>141.41652401882962</v>
      </c>
      <c r="F100" s="711">
        <f t="shared" si="19"/>
        <v>141.4061733564368</v>
      </c>
      <c r="G100" s="693">
        <f t="shared" si="20"/>
        <v>141.03685355907675</v>
      </c>
      <c r="H100" s="711">
        <f t="shared" si="21"/>
        <v>141.47760479091275</v>
      </c>
      <c r="I100" s="733">
        <f t="shared" si="23"/>
        <v>600.67030945208842</v>
      </c>
      <c r="J100" s="318"/>
    </row>
    <row r="101" spans="1:10" ht="18" x14ac:dyDescent="0.35">
      <c r="A101"/>
      <c r="B101" s="355" t="s">
        <v>401</v>
      </c>
      <c r="C101" s="695" t="s">
        <v>398</v>
      </c>
      <c r="D101" s="711">
        <f t="shared" si="22"/>
        <v>8.469068</v>
      </c>
      <c r="E101" s="693">
        <f t="shared" si="18"/>
        <v>33.714685120901763</v>
      </c>
      <c r="F101" s="711">
        <f t="shared" si="19"/>
        <v>33.120904021280801</v>
      </c>
      <c r="G101" s="693">
        <f t="shared" si="20"/>
        <v>32.467264610179569</v>
      </c>
      <c r="H101" s="711">
        <f t="shared" si="21"/>
        <v>31.149453772181051</v>
      </c>
      <c r="I101" s="733">
        <f t="shared" si="23"/>
        <v>138.92137552454318</v>
      </c>
      <c r="J101" s="318"/>
    </row>
    <row r="102" spans="1:10" ht="26.25" x14ac:dyDescent="0.35">
      <c r="A102"/>
      <c r="B102" s="355" t="s">
        <v>403</v>
      </c>
      <c r="C102" s="705" t="s">
        <v>400</v>
      </c>
      <c r="D102" s="711">
        <f t="shared" si="22"/>
        <v>26.864085726832521</v>
      </c>
      <c r="E102" s="693">
        <f t="shared" si="18"/>
        <v>107.70183889792787</v>
      </c>
      <c r="F102" s="711">
        <f t="shared" si="19"/>
        <v>108.28526933515602</v>
      </c>
      <c r="G102" s="693">
        <f t="shared" si="20"/>
        <v>108.56958894889719</v>
      </c>
      <c r="H102" s="711">
        <f t="shared" si="21"/>
        <v>110.3281510187317</v>
      </c>
      <c r="I102" s="733">
        <f t="shared" si="23"/>
        <v>461.74893392754529</v>
      </c>
      <c r="J102" s="318"/>
    </row>
    <row r="103" spans="1:10" x14ac:dyDescent="0.25">
      <c r="A103"/>
      <c r="B103" s="355" t="s">
        <v>262</v>
      </c>
      <c r="C103" s="695" t="s">
        <v>402</v>
      </c>
      <c r="D103" s="711">
        <f t="shared" si="22"/>
        <v>0</v>
      </c>
      <c r="E103" s="693">
        <f t="shared" si="18"/>
        <v>1.4166825135332826</v>
      </c>
      <c r="F103" s="711">
        <f t="shared" si="19"/>
        <v>5.6562469342574726</v>
      </c>
      <c r="G103" s="693">
        <f t="shared" si="20"/>
        <v>5.6414741423630703</v>
      </c>
      <c r="H103" s="711">
        <f t="shared" si="21"/>
        <v>5.6591041916365104</v>
      </c>
      <c r="I103" s="733">
        <f t="shared" si="23"/>
        <v>18.373507781790337</v>
      </c>
      <c r="J103" s="730"/>
    </row>
    <row r="104" spans="1:10" ht="18" x14ac:dyDescent="0.35">
      <c r="A104"/>
      <c r="B104" s="355" t="s">
        <v>411</v>
      </c>
      <c r="C104" s="695" t="s">
        <v>404</v>
      </c>
      <c r="D104" s="711">
        <f t="shared" si="22"/>
        <v>0</v>
      </c>
      <c r="E104" s="693">
        <f t="shared" si="18"/>
        <v>2.8333650270665651</v>
      </c>
      <c r="F104" s="711">
        <f t="shared" si="19"/>
        <v>11.312493868514945</v>
      </c>
      <c r="G104" s="693">
        <f t="shared" si="20"/>
        <v>11.282948284726141</v>
      </c>
      <c r="H104" s="711">
        <f t="shared" si="21"/>
        <v>11.318208383273021</v>
      </c>
      <c r="I104" s="733">
        <f t="shared" si="23"/>
        <v>36.747015563580675</v>
      </c>
    </row>
    <row r="105" spans="1:10" ht="18" x14ac:dyDescent="0.35">
      <c r="A105"/>
      <c r="B105" s="355" t="s">
        <v>412</v>
      </c>
      <c r="C105" s="695" t="s">
        <v>405</v>
      </c>
      <c r="D105" s="711">
        <f t="shared" si="22"/>
        <v>0.245</v>
      </c>
      <c r="E105" s="693">
        <f t="shared" si="18"/>
        <v>1.2250000000000001</v>
      </c>
      <c r="F105" s="711">
        <f t="shared" si="19"/>
        <v>2.2050000000000001</v>
      </c>
      <c r="G105" s="693">
        <f t="shared" si="20"/>
        <v>3.1850000000000001</v>
      </c>
      <c r="H105" s="711">
        <f t="shared" si="21"/>
        <v>3.92</v>
      </c>
      <c r="I105" s="733">
        <f t="shared" si="23"/>
        <v>10.780000000000001</v>
      </c>
    </row>
    <row r="106" spans="1:10" x14ac:dyDescent="0.25">
      <c r="A106"/>
      <c r="B106" s="355" t="s">
        <v>190</v>
      </c>
      <c r="C106" s="705" t="s">
        <v>407</v>
      </c>
      <c r="D106" s="711">
        <f t="shared" si="22"/>
        <v>26.619085726832523</v>
      </c>
      <c r="E106" s="693">
        <f t="shared" si="18"/>
        <v>105.06015638439459</v>
      </c>
      <c r="F106" s="711">
        <f t="shared" si="19"/>
        <v>100.42402240089854</v>
      </c>
      <c r="G106" s="693">
        <f t="shared" si="20"/>
        <v>99.743114806534123</v>
      </c>
      <c r="H106" s="711">
        <f t="shared" si="21"/>
        <v>100.7490468270952</v>
      </c>
      <c r="I106" s="733">
        <f t="shared" si="23"/>
        <v>432.59542614575491</v>
      </c>
    </row>
    <row r="107" spans="1:10" ht="18" x14ac:dyDescent="0.35">
      <c r="A107"/>
      <c r="B107" s="171" t="s">
        <v>399</v>
      </c>
      <c r="C107" s="705" t="s">
        <v>409</v>
      </c>
      <c r="D107" s="711">
        <f t="shared" si="22"/>
        <v>26.619085726832523</v>
      </c>
      <c r="E107" s="693">
        <f t="shared" si="18"/>
        <v>103.6434738708613</v>
      </c>
      <c r="F107" s="711">
        <f t="shared" si="19"/>
        <v>94.767775466641069</v>
      </c>
      <c r="G107" s="693">
        <f t="shared" si="20"/>
        <v>94.101640664171043</v>
      </c>
      <c r="H107" s="711">
        <f t="shared" si="21"/>
        <v>95.089942635458698</v>
      </c>
      <c r="I107" s="733">
        <f t="shared" si="23"/>
        <v>414.22191836396462</v>
      </c>
    </row>
    <row r="108" spans="1:10" x14ac:dyDescent="0.25">
      <c r="A108"/>
      <c r="B108" s="145"/>
      <c r="C108" s="477"/>
      <c r="I108" s="477"/>
    </row>
    <row r="109" spans="1:10" x14ac:dyDescent="0.25">
      <c r="A109"/>
      <c r="B109" s="145"/>
      <c r="C109" s="745" t="s">
        <v>414</v>
      </c>
      <c r="I109" s="477"/>
    </row>
    <row r="110" spans="1:10" x14ac:dyDescent="0.25">
      <c r="A110"/>
      <c r="B110" s="145"/>
      <c r="C110" s="477"/>
      <c r="D110" s="478"/>
      <c r="E110" s="478"/>
      <c r="F110" s="478"/>
      <c r="G110" s="478"/>
      <c r="H110" s="478"/>
      <c r="I110" s="477"/>
    </row>
    <row r="111" spans="1:10" x14ac:dyDescent="0.25">
      <c r="A111"/>
      <c r="B111" s="746" t="s">
        <v>415</v>
      </c>
      <c r="C111" s="477"/>
      <c r="D111" s="478"/>
      <c r="E111" s="478"/>
      <c r="F111" s="478"/>
      <c r="G111" s="478"/>
      <c r="H111" s="478"/>
      <c r="I111" s="477"/>
    </row>
    <row r="112" spans="1:10" x14ac:dyDescent="0.25">
      <c r="A112"/>
      <c r="B112" s="145"/>
      <c r="C112" s="477"/>
      <c r="D112" s="478"/>
      <c r="E112" s="478"/>
      <c r="F112" s="478"/>
      <c r="G112" s="478"/>
      <c r="H112" s="478"/>
      <c r="I112" s="477"/>
    </row>
    <row r="113" spans="1:20" x14ac:dyDescent="0.25">
      <c r="A113"/>
      <c r="B113"/>
      <c r="C113" s="747" t="s">
        <v>416</v>
      </c>
      <c r="D113" s="683" t="s">
        <v>358</v>
      </c>
      <c r="E113" s="684"/>
      <c r="F113" s="684"/>
      <c r="G113" s="684"/>
      <c r="H113" s="685" t="s">
        <v>357</v>
      </c>
      <c r="I113" s="686"/>
      <c r="J113" s="253"/>
      <c r="K113" s="253"/>
      <c r="L113" s="253"/>
      <c r="M113" s="253"/>
      <c r="N113" s="253"/>
      <c r="O113" s="253"/>
      <c r="P113" s="253"/>
      <c r="Q113" s="253"/>
      <c r="R113" s="253"/>
      <c r="S113" s="253"/>
      <c r="T113" s="253"/>
    </row>
    <row r="114" spans="1:20" x14ac:dyDescent="0.25">
      <c r="A114"/>
      <c r="B114" s="699"/>
      <c r="C114" s="699"/>
      <c r="D114" s="697" t="s">
        <v>371</v>
      </c>
      <c r="E114" s="710" t="s">
        <v>345</v>
      </c>
      <c r="F114" s="709" t="s">
        <v>346</v>
      </c>
      <c r="G114" s="709" t="s">
        <v>347</v>
      </c>
      <c r="H114" s="697" t="s">
        <v>373</v>
      </c>
      <c r="I114" s="709" t="s">
        <v>348</v>
      </c>
      <c r="J114" s="709" t="s">
        <v>349</v>
      </c>
      <c r="K114" s="709" t="s">
        <v>350</v>
      </c>
      <c r="L114" s="697" t="s">
        <v>374</v>
      </c>
      <c r="M114" s="709" t="s">
        <v>351</v>
      </c>
      <c r="N114" s="709" t="s">
        <v>352</v>
      </c>
      <c r="O114" s="709" t="s">
        <v>353</v>
      </c>
      <c r="P114" s="697" t="s">
        <v>375</v>
      </c>
      <c r="Q114" s="710" t="s">
        <v>354</v>
      </c>
      <c r="R114" s="710" t="s">
        <v>355</v>
      </c>
      <c r="S114" s="710" t="s">
        <v>356</v>
      </c>
      <c r="T114" s="715" t="s">
        <v>378</v>
      </c>
    </row>
    <row r="115" spans="1:20" ht="18" hidden="1" x14ac:dyDescent="0.35">
      <c r="A115"/>
      <c r="B115" s="145" t="s">
        <v>417</v>
      </c>
      <c r="C115" s="696" t="s">
        <v>418</v>
      </c>
      <c r="D115" s="714">
        <f>D51</f>
        <v>448.22423584784508</v>
      </c>
      <c r="E115" s="702">
        <f t="shared" ref="E115:T115" si="24">E51</f>
        <v>448.22423584784508</v>
      </c>
      <c r="F115" s="702">
        <f t="shared" si="24"/>
        <v>448.22423584784508</v>
      </c>
      <c r="G115" s="702">
        <f t="shared" si="24"/>
        <v>448.22423584784508</v>
      </c>
      <c r="H115" s="702">
        <f t="shared" si="24"/>
        <v>435.89018916372612</v>
      </c>
      <c r="I115" s="714">
        <f t="shared" si="24"/>
        <v>435.89018916372612</v>
      </c>
      <c r="J115" s="714">
        <f t="shared" si="24"/>
        <v>435.89018916372612</v>
      </c>
      <c r="K115" s="714">
        <f t="shared" si="24"/>
        <v>435.89018916372612</v>
      </c>
      <c r="L115" s="714">
        <f t="shared" si="24"/>
        <v>427.94825747888899</v>
      </c>
      <c r="M115" s="702">
        <f t="shared" si="24"/>
        <v>427.94825747888899</v>
      </c>
      <c r="N115" s="702">
        <f t="shared" si="24"/>
        <v>427.94825747888899</v>
      </c>
      <c r="O115" s="702">
        <f t="shared" si="24"/>
        <v>427.94825747888899</v>
      </c>
      <c r="P115" s="702">
        <f t="shared" si="24"/>
        <v>422.9508383047297</v>
      </c>
      <c r="Q115" s="714">
        <f t="shared" si="24"/>
        <v>422.9508383047297</v>
      </c>
      <c r="R115" s="714">
        <f t="shared" si="24"/>
        <v>422.9508383047297</v>
      </c>
      <c r="S115" s="714">
        <f t="shared" si="24"/>
        <v>422.9508383047297</v>
      </c>
      <c r="T115" s="714">
        <f t="shared" si="24"/>
        <v>446.86537915699392</v>
      </c>
    </row>
    <row r="116" spans="1:20" ht="18" x14ac:dyDescent="0.35">
      <c r="A116"/>
      <c r="B116" s="145" t="s">
        <v>419</v>
      </c>
      <c r="C116" s="705" t="s">
        <v>420</v>
      </c>
      <c r="D116" s="714">
        <f>'[4]Summary Table'!R6</f>
        <v>446.62812450680178</v>
      </c>
      <c r="E116" s="702">
        <f>D116</f>
        <v>446.62812450680178</v>
      </c>
      <c r="F116" s="702">
        <f>E116</f>
        <v>446.62812450680178</v>
      </c>
      <c r="G116" s="702">
        <f>F116</f>
        <v>446.62812450680178</v>
      </c>
      <c r="H116" s="702">
        <f>'[4]Summary Table'!R10</f>
        <v>435.89018916372612</v>
      </c>
      <c r="I116" s="714">
        <f>H116</f>
        <v>435.89018916372612</v>
      </c>
      <c r="J116" s="714">
        <f>I116</f>
        <v>435.89018916372612</v>
      </c>
      <c r="K116" s="714">
        <f>J116</f>
        <v>435.89018916372612</v>
      </c>
      <c r="L116" s="714">
        <f>'[4]Summary Table'!R14</f>
        <v>427.94825747888899</v>
      </c>
      <c r="M116" s="702">
        <f>L116</f>
        <v>427.94825747888899</v>
      </c>
      <c r="N116" s="702">
        <f>M116</f>
        <v>427.94825747888899</v>
      </c>
      <c r="O116" s="702">
        <f>N116</f>
        <v>427.94825747888899</v>
      </c>
      <c r="P116" s="702">
        <f>'[4]Summary Table'!R18</f>
        <v>422.9508383047297</v>
      </c>
      <c r="Q116" s="714">
        <f>P116</f>
        <v>422.9508383047297</v>
      </c>
      <c r="R116" s="714">
        <f>Q116</f>
        <v>422.9508383047297</v>
      </c>
      <c r="S116" s="714">
        <f>R116</f>
        <v>422.9508383047297</v>
      </c>
      <c r="T116" s="714">
        <f>'[4]Summary Table'!R22</f>
        <v>446.86537915699392</v>
      </c>
    </row>
    <row r="117" spans="1:20" ht="18" x14ac:dyDescent="0.35">
      <c r="A117"/>
      <c r="B117" s="145" t="s">
        <v>421</v>
      </c>
      <c r="C117" s="725" t="s">
        <v>422</v>
      </c>
      <c r="D117" s="714">
        <f>'[4]Summary Table'!S6</f>
        <v>334.97109338010137</v>
      </c>
      <c r="E117" s="702">
        <f>'[4]Summary Table'!S7</f>
        <v>334.97109338010137</v>
      </c>
      <c r="F117" s="702">
        <f>'[4]Summary Table'!S8</f>
        <v>334.97109338010137</v>
      </c>
      <c r="G117" s="702">
        <f>'[4]Summary Table'!S9</f>
        <v>334.97109338010137</v>
      </c>
      <c r="H117" s="702">
        <f>'[4]Summary Table'!S10</f>
        <v>435.89018916372612</v>
      </c>
      <c r="I117" s="714">
        <f>'[4]Summary Table'!S11</f>
        <v>435.89018916372612</v>
      </c>
      <c r="J117" s="714">
        <f>'[4]Summary Table'!S12</f>
        <v>550.45569517100455</v>
      </c>
      <c r="K117" s="714">
        <f>'[4]Summary Table'!S13</f>
        <v>550.45569517100455</v>
      </c>
      <c r="L117" s="714">
        <f>'[4]Summary Table'!S14</f>
        <v>519.44558628810773</v>
      </c>
      <c r="M117" s="702">
        <f>'[4]Summary Table'!S15</f>
        <v>47.074308322677787</v>
      </c>
      <c r="N117" s="702">
        <f>'[4]Summary Table'!S16</f>
        <v>149.78189011761114</v>
      </c>
      <c r="O117" s="702">
        <f>'[4]Summary Table'!S17</f>
        <v>376.5944665814223</v>
      </c>
      <c r="P117" s="702">
        <f>'[4]Summary Table'!S18</f>
        <v>422.9508383047297</v>
      </c>
      <c r="Q117" s="714">
        <f>'[4]Summary Table'!S19</f>
        <v>422.9508383047297</v>
      </c>
      <c r="R117" s="714">
        <f>'[4]Summary Table'!S20</f>
        <v>645.02854583666146</v>
      </c>
      <c r="S117" s="714">
        <f>'[4]Summary Table'!S21</f>
        <v>645.02854583666146</v>
      </c>
      <c r="T117" s="714">
        <f>'[4]Summary Table'!S22</f>
        <v>680.02570583562613</v>
      </c>
    </row>
    <row r="118" spans="1:20" ht="18" x14ac:dyDescent="0.35">
      <c r="A118"/>
      <c r="B118" s="748" t="s">
        <v>423</v>
      </c>
      <c r="C118" s="726" t="s">
        <v>424</v>
      </c>
      <c r="D118" s="714">
        <f>'[4]Summary Table'!T6</f>
        <v>357.30249960544148</v>
      </c>
      <c r="E118" s="702">
        <f>D118</f>
        <v>357.30249960544148</v>
      </c>
      <c r="F118" s="702">
        <f>E118</f>
        <v>357.30249960544148</v>
      </c>
      <c r="G118" s="702">
        <f>F118</f>
        <v>357.30249960544148</v>
      </c>
      <c r="H118" s="702">
        <f>'[4]Summary Table'!T10</f>
        <v>348.71215133098093</v>
      </c>
      <c r="I118" s="714">
        <f>H118</f>
        <v>348.71215133098093</v>
      </c>
      <c r="J118" s="714">
        <f>I118</f>
        <v>348.71215133098093</v>
      </c>
      <c r="K118" s="714">
        <f>J118</f>
        <v>348.71215133098093</v>
      </c>
      <c r="L118" s="714">
        <f>'[4]Summary Table'!T14</f>
        <v>342.35860598311115</v>
      </c>
      <c r="M118" s="702">
        <f>L118</f>
        <v>342.35860598311115</v>
      </c>
      <c r="N118" s="702">
        <f>M118</f>
        <v>342.35860598311115</v>
      </c>
      <c r="O118" s="702">
        <f>N118</f>
        <v>342.35860598311115</v>
      </c>
      <c r="P118" s="702">
        <f>'[4]Summary Table'!T18</f>
        <v>338.36067064378375</v>
      </c>
      <c r="Q118" s="714">
        <f>P118</f>
        <v>338.36067064378375</v>
      </c>
      <c r="R118" s="714">
        <f>Q118</f>
        <v>338.36067064378375</v>
      </c>
      <c r="S118" s="714">
        <f>R118</f>
        <v>338.36067064378375</v>
      </c>
      <c r="T118" s="714">
        <f>'[4]Summary Table'!T22</f>
        <v>357.49230332559512</v>
      </c>
    </row>
    <row r="119" spans="1:20" x14ac:dyDescent="0.25">
      <c r="A119"/>
      <c r="B119" s="145"/>
      <c r="C119" s="477"/>
      <c r="D119" s="478"/>
      <c r="E119" s="478"/>
      <c r="F119" s="478"/>
      <c r="G119" s="478"/>
      <c r="H119" s="478"/>
      <c r="I119" s="477"/>
    </row>
    <row r="120" spans="1:20" x14ac:dyDescent="0.25">
      <c r="A120"/>
      <c r="B120" s="145"/>
      <c r="C120" s="477"/>
      <c r="D120" s="478"/>
      <c r="E120" s="478"/>
      <c r="F120" s="478"/>
      <c r="G120" s="478"/>
      <c r="H120" s="478"/>
      <c r="I120" s="477"/>
    </row>
    <row r="121" spans="1:20" x14ac:dyDescent="0.25">
      <c r="A121"/>
      <c r="B121"/>
      <c r="C121" s="688" t="s">
        <v>425</v>
      </c>
      <c r="D121" s="683" t="s">
        <v>360</v>
      </c>
      <c r="E121" s="731"/>
      <c r="F121" s="685" t="s">
        <v>357</v>
      </c>
      <c r="G121" s="690"/>
      <c r="H121" s="690"/>
      <c r="I121" s="477"/>
    </row>
    <row r="122" spans="1:20" x14ac:dyDescent="0.25">
      <c r="A122"/>
      <c r="B122" s="699"/>
      <c r="C122" s="699"/>
      <c r="D122" s="697" t="s">
        <v>239</v>
      </c>
      <c r="E122" s="697" t="s">
        <v>240</v>
      </c>
      <c r="F122" s="697" t="s">
        <v>241</v>
      </c>
      <c r="G122" s="697" t="s">
        <v>242</v>
      </c>
      <c r="H122" s="697" t="s">
        <v>243</v>
      </c>
      <c r="I122" s="732" t="s">
        <v>270</v>
      </c>
    </row>
    <row r="123" spans="1:20" ht="18" hidden="1" x14ac:dyDescent="0.35">
      <c r="A123"/>
      <c r="B123" s="171" t="s">
        <v>417</v>
      </c>
      <c r="C123" s="696" t="s">
        <v>418</v>
      </c>
      <c r="D123" s="714">
        <f>D115</f>
        <v>448.22423584784508</v>
      </c>
      <c r="E123" s="702">
        <f>SUM(E115:H115)</f>
        <v>1780.5628967072612</v>
      </c>
      <c r="F123" s="714">
        <f>SUM(I115:L115)</f>
        <v>1735.6188249700674</v>
      </c>
      <c r="G123" s="702">
        <f>SUM(M115:P115)</f>
        <v>1706.7956107413966</v>
      </c>
      <c r="H123" s="714">
        <f>SUM(Q115:T115)</f>
        <v>1715.7178940711831</v>
      </c>
      <c r="I123" s="736">
        <f>SUM(D123:H123)</f>
        <v>7386.9194623377534</v>
      </c>
    </row>
    <row r="124" spans="1:20" ht="18" x14ac:dyDescent="0.35">
      <c r="A124"/>
      <c r="B124" s="171" t="s">
        <v>419</v>
      </c>
      <c r="C124" s="705" t="s">
        <v>426</v>
      </c>
      <c r="D124" s="714">
        <f>D116</f>
        <v>446.62812450680178</v>
      </c>
      <c r="E124" s="702">
        <f>SUM(E116:H116)</f>
        <v>1775.7745626841315</v>
      </c>
      <c r="F124" s="714">
        <f>SUM(I116:L116)</f>
        <v>1735.6188249700674</v>
      </c>
      <c r="G124" s="702">
        <f>SUM(M116:P116)</f>
        <v>1706.7956107413966</v>
      </c>
      <c r="H124" s="714">
        <f>SUM(Q116:T116)</f>
        <v>1715.7178940711831</v>
      </c>
      <c r="I124" s="736">
        <f>SUM(D124:H124)</f>
        <v>7380.5350169735802</v>
      </c>
    </row>
    <row r="125" spans="1:20" ht="18" x14ac:dyDescent="0.35">
      <c r="A125"/>
      <c r="B125" s="171" t="s">
        <v>421</v>
      </c>
      <c r="C125" s="725" t="s">
        <v>422</v>
      </c>
      <c r="D125" s="714">
        <f>D117</f>
        <v>334.97109338010137</v>
      </c>
      <c r="E125" s="702">
        <f>SUM(E117:H117)</f>
        <v>1440.8034693040302</v>
      </c>
      <c r="F125" s="714">
        <f>SUM(I117:L117)</f>
        <v>2056.2471657938431</v>
      </c>
      <c r="G125" s="702">
        <f>SUM(M117:P117)</f>
        <v>996.40150332644089</v>
      </c>
      <c r="H125" s="714">
        <f>SUM(Q117:T117)</f>
        <v>2393.0336358136788</v>
      </c>
      <c r="I125" s="736">
        <f>SUM(D125:H125)</f>
        <v>7221.4568676180952</v>
      </c>
    </row>
    <row r="126" spans="1:20" ht="18" x14ac:dyDescent="0.35">
      <c r="A126"/>
      <c r="B126" s="147" t="s">
        <v>423</v>
      </c>
      <c r="C126" s="726" t="s">
        <v>424</v>
      </c>
      <c r="D126" s="714">
        <f>D118</f>
        <v>357.30249960544148</v>
      </c>
      <c r="E126" s="702">
        <f>SUM(E118:H118)</f>
        <v>1420.6196501473055</v>
      </c>
      <c r="F126" s="714">
        <f>SUM(I118:L118)</f>
        <v>1388.4950599760539</v>
      </c>
      <c r="G126" s="702">
        <f>SUM(M118:P118)</f>
        <v>1365.4364885931172</v>
      </c>
      <c r="H126" s="714">
        <f>SUM(Q118:T118)</f>
        <v>1372.5743152569462</v>
      </c>
      <c r="I126" s="736">
        <f>SUM(D126:H126)</f>
        <v>5904.4280135788649</v>
      </c>
    </row>
    <row r="127" spans="1:20" x14ac:dyDescent="0.25">
      <c r="A127"/>
      <c r="B127" s="145"/>
      <c r="C127" s="477"/>
      <c r="D127" s="478"/>
      <c r="E127" s="478"/>
      <c r="F127" s="478"/>
      <c r="G127" s="478"/>
      <c r="H127" s="478"/>
      <c r="I127" s="477"/>
    </row>
    <row r="128" spans="1:20" x14ac:dyDescent="0.25">
      <c r="A128"/>
      <c r="B128" s="145"/>
      <c r="C128" s="461" t="s">
        <v>427</v>
      </c>
      <c r="D128" s="478"/>
      <c r="E128" s="478"/>
      <c r="F128" s="478"/>
      <c r="G128" s="478"/>
      <c r="H128" s="478"/>
      <c r="I128" s="477"/>
    </row>
    <row r="129" spans="1:9" x14ac:dyDescent="0.25">
      <c r="A129"/>
      <c r="B129" s="145"/>
      <c r="C129" s="477"/>
      <c r="D129" s="478"/>
      <c r="E129" s="478"/>
      <c r="F129" s="478"/>
      <c r="G129" s="478"/>
      <c r="H129" s="478"/>
      <c r="I129" s="477"/>
    </row>
    <row r="130" spans="1:9" x14ac:dyDescent="0.25">
      <c r="A130"/>
      <c r="B130" s="145"/>
      <c r="C130" s="477"/>
      <c r="D130" s="477"/>
      <c r="E130" s="477"/>
      <c r="F130" s="477"/>
      <c r="G130" s="477"/>
      <c r="H130" s="478"/>
      <c r="I130" s="477"/>
    </row>
    <row r="131" spans="1:9" x14ac:dyDescent="0.25">
      <c r="A131"/>
      <c r="B131" s="145"/>
      <c r="C131" s="477"/>
      <c r="D131" s="477"/>
      <c r="E131" s="477"/>
      <c r="F131" s="477"/>
      <c r="G131" s="477"/>
      <c r="H131" s="478"/>
      <c r="I131" s="477"/>
    </row>
    <row r="132" spans="1:9" x14ac:dyDescent="0.25">
      <c r="A132"/>
      <c r="B132" s="145"/>
      <c r="C132" s="477"/>
      <c r="D132" s="477"/>
      <c r="E132" s="477"/>
      <c r="F132" s="477"/>
      <c r="G132" s="477"/>
      <c r="H132" s="478"/>
      <c r="I132" s="477"/>
    </row>
    <row r="133" spans="1:9" x14ac:dyDescent="0.25">
      <c r="A133"/>
      <c r="B133" s="145"/>
      <c r="C133" s="477"/>
      <c r="D133" s="477"/>
      <c r="E133" s="477"/>
      <c r="F133" s="477"/>
      <c r="G133" s="477"/>
      <c r="H133" s="478"/>
      <c r="I133" s="477"/>
    </row>
    <row r="134" spans="1:9" x14ac:dyDescent="0.25">
      <c r="A134"/>
      <c r="B134" s="145"/>
      <c r="C134" s="477"/>
      <c r="D134" s="477"/>
      <c r="E134" s="477"/>
      <c r="F134" s="477"/>
      <c r="G134" s="477"/>
      <c r="H134" s="478"/>
      <c r="I134" s="477"/>
    </row>
    <row r="135" spans="1:9" x14ac:dyDescent="0.25">
      <c r="A135"/>
      <c r="B135" s="145"/>
      <c r="C135" s="477"/>
      <c r="D135" s="477"/>
      <c r="E135" s="477"/>
      <c r="F135" s="477"/>
      <c r="G135" s="477"/>
      <c r="H135" s="478"/>
      <c r="I135" s="477"/>
    </row>
    <row r="136" spans="1:9" x14ac:dyDescent="0.25">
      <c r="A136"/>
      <c r="B136" s="145"/>
      <c r="C136" s="477"/>
      <c r="D136" s="477"/>
      <c r="E136" s="477"/>
      <c r="F136" s="477"/>
      <c r="G136" s="477"/>
      <c r="H136" s="478"/>
      <c r="I136" s="477"/>
    </row>
    <row r="137" spans="1:9" x14ac:dyDescent="0.25">
      <c r="A137"/>
      <c r="B137"/>
      <c r="C137" s="477"/>
      <c r="D137" s="477"/>
      <c r="E137" s="477"/>
      <c r="F137" s="477"/>
      <c r="G137" s="477"/>
      <c r="H137" s="478"/>
      <c r="I137" s="477"/>
    </row>
    <row r="138" spans="1:9" x14ac:dyDescent="0.25">
      <c r="A138"/>
      <c r="B138"/>
      <c r="C138" s="477"/>
      <c r="D138" s="477"/>
      <c r="E138" s="477"/>
      <c r="F138" s="477"/>
      <c r="G138" s="477"/>
      <c r="H138" s="478"/>
      <c r="I138" s="477"/>
    </row>
    <row r="139" spans="1:9" x14ac:dyDescent="0.25">
      <c r="A139"/>
      <c r="B139"/>
      <c r="C139" s="477"/>
      <c r="D139" s="477"/>
      <c r="E139" s="477"/>
      <c r="F139" s="477"/>
      <c r="G139" s="477"/>
      <c r="H139" s="478"/>
      <c r="I139" s="477"/>
    </row>
    <row r="140" spans="1:9" x14ac:dyDescent="0.25">
      <c r="A140"/>
      <c r="B140"/>
      <c r="C140" s="477"/>
      <c r="D140" s="477"/>
      <c r="E140" s="477"/>
      <c r="F140" s="477"/>
      <c r="G140" s="477"/>
      <c r="H140" s="478"/>
      <c r="I140" s="477"/>
    </row>
    <row r="141" spans="1:9" x14ac:dyDescent="0.25">
      <c r="A141"/>
      <c r="B141"/>
      <c r="C141" s="477"/>
      <c r="D141" s="477"/>
      <c r="E141" s="477"/>
      <c r="F141" s="477"/>
      <c r="G141" s="477"/>
      <c r="H141" s="478"/>
      <c r="I141" s="477"/>
    </row>
    <row r="142" spans="1:9" x14ac:dyDescent="0.25">
      <c r="A142"/>
      <c r="B142"/>
      <c r="C142" s="477"/>
      <c r="D142" s="477"/>
      <c r="E142" s="477"/>
      <c r="F142" s="477"/>
      <c r="G142" s="477"/>
      <c r="H142" s="667"/>
      <c r="I142" s="615"/>
    </row>
    <row r="143" spans="1:9" x14ac:dyDescent="0.25">
      <c r="A143"/>
      <c r="B143"/>
      <c r="C143" s="477"/>
      <c r="D143" s="477"/>
      <c r="E143" s="477"/>
      <c r="F143" s="477"/>
      <c r="G143" s="477"/>
      <c r="H143" s="667"/>
      <c r="I143" s="615"/>
    </row>
    <row r="144" spans="1:9" x14ac:dyDescent="0.25">
      <c r="A144"/>
      <c r="B144"/>
      <c r="C144" s="477"/>
      <c r="D144" s="477"/>
      <c r="E144" s="477"/>
      <c r="F144" s="477"/>
      <c r="G144" s="477"/>
      <c r="H144" s="667"/>
      <c r="I144" s="615"/>
    </row>
    <row r="145" spans="1:9" x14ac:dyDescent="0.25">
      <c r="A145"/>
      <c r="B145"/>
      <c r="C145" s="477"/>
      <c r="D145" s="477"/>
      <c r="E145" s="477"/>
      <c r="F145" s="477"/>
      <c r="G145" s="477"/>
      <c r="H145" s="667"/>
      <c r="I145" s="615"/>
    </row>
    <row r="146" spans="1:9" x14ac:dyDescent="0.25">
      <c r="A146"/>
      <c r="B146"/>
      <c r="C146" s="477"/>
      <c r="D146" s="477"/>
      <c r="E146" s="477"/>
      <c r="F146" s="477"/>
      <c r="G146" s="477"/>
      <c r="H146" s="667"/>
      <c r="I146" s="615"/>
    </row>
    <row r="147" spans="1:9" x14ac:dyDescent="0.25">
      <c r="A147"/>
      <c r="B147"/>
      <c r="C147" s="477"/>
      <c r="D147" s="477"/>
      <c r="E147" s="477"/>
      <c r="F147" s="477"/>
      <c r="G147" s="477"/>
      <c r="H147" s="667"/>
      <c r="I147" s="615"/>
    </row>
    <row r="148" spans="1:9" x14ac:dyDescent="0.25">
      <c r="A148"/>
      <c r="B148"/>
      <c r="C148" s="477"/>
      <c r="D148" s="477"/>
      <c r="E148" s="477"/>
      <c r="F148" s="477"/>
      <c r="G148" s="477"/>
      <c r="H148" s="667"/>
      <c r="I148" s="615"/>
    </row>
    <row r="149" spans="1:9" x14ac:dyDescent="0.25">
      <c r="A149"/>
      <c r="B149"/>
      <c r="C149" s="477"/>
      <c r="D149" s="478"/>
      <c r="E149" s="667"/>
      <c r="F149" s="716"/>
      <c r="G149" s="667"/>
      <c r="H149" s="667"/>
      <c r="I149" s="615"/>
    </row>
    <row r="150" spans="1:9" x14ac:dyDescent="0.25">
      <c r="A150"/>
      <c r="B150"/>
      <c r="C150" s="477"/>
      <c r="D150" s="478"/>
      <c r="E150" s="478"/>
      <c r="F150" s="478"/>
      <c r="G150" s="478"/>
      <c r="H150" s="478"/>
      <c r="I150" s="477"/>
    </row>
    <row r="151" spans="1:9" x14ac:dyDescent="0.25">
      <c r="A151"/>
      <c r="B151"/>
      <c r="C151" s="477"/>
      <c r="D151" s="478"/>
      <c r="E151" s="478"/>
      <c r="F151" s="478"/>
      <c r="G151" s="478"/>
      <c r="H151" s="478"/>
      <c r="I151" s="477"/>
    </row>
    <row r="152" spans="1:9" x14ac:dyDescent="0.25">
      <c r="A152"/>
      <c r="B152"/>
      <c r="C152" s="477"/>
      <c r="D152" s="478"/>
      <c r="E152" s="478"/>
      <c r="F152" s="478"/>
      <c r="G152" s="478"/>
      <c r="H152" s="478"/>
      <c r="I152" s="477"/>
    </row>
    <row r="153" spans="1:9" x14ac:dyDescent="0.25">
      <c r="A153"/>
      <c r="B153"/>
      <c r="C153" s="477"/>
      <c r="D153" s="478"/>
      <c r="E153" s="478"/>
      <c r="F153" s="478"/>
      <c r="G153" s="478"/>
      <c r="H153" s="478"/>
      <c r="I153" s="477"/>
    </row>
    <row r="154" spans="1:9" x14ac:dyDescent="0.25">
      <c r="A154"/>
      <c r="B154"/>
      <c r="C154" s="477"/>
      <c r="D154" s="478"/>
      <c r="E154" s="478"/>
      <c r="F154" s="478"/>
      <c r="G154" s="478"/>
      <c r="H154" s="478"/>
      <c r="I154" s="477"/>
    </row>
    <row r="155" spans="1:9" x14ac:dyDescent="0.25">
      <c r="A155"/>
      <c r="B155"/>
      <c r="C155" s="477"/>
      <c r="D155" s="478"/>
      <c r="E155" s="478"/>
      <c r="F155" s="478"/>
      <c r="G155" s="478"/>
      <c r="H155" s="478"/>
      <c r="I155" s="477"/>
    </row>
    <row r="156" spans="1:9" x14ac:dyDescent="0.25">
      <c r="A156"/>
      <c r="B156"/>
      <c r="C156" s="477"/>
      <c r="D156" s="478"/>
      <c r="E156" s="478"/>
      <c r="F156" s="478"/>
      <c r="G156" s="478"/>
      <c r="H156" s="478"/>
      <c r="I156" s="477"/>
    </row>
    <row r="157" spans="1:9" x14ac:dyDescent="0.25">
      <c r="A157"/>
      <c r="B157"/>
      <c r="C157" s="477"/>
      <c r="D157" s="478"/>
      <c r="E157" s="478"/>
      <c r="F157" s="478"/>
      <c r="G157" s="478"/>
      <c r="H157" s="478"/>
      <c r="I157" s="477"/>
    </row>
    <row r="158" spans="1:9" x14ac:dyDescent="0.25">
      <c r="A158"/>
      <c r="B158"/>
      <c r="C158" s="477"/>
      <c r="D158" s="478"/>
      <c r="E158" s="478"/>
      <c r="F158" s="478"/>
      <c r="G158" s="478"/>
      <c r="H158" s="478"/>
      <c r="I158" s="477"/>
    </row>
    <row r="159" spans="1:9" x14ac:dyDescent="0.25">
      <c r="A159"/>
      <c r="B159"/>
      <c r="C159" s="477"/>
      <c r="D159" s="478"/>
      <c r="E159" s="478"/>
      <c r="F159" s="478"/>
      <c r="G159" s="478"/>
      <c r="H159" s="478"/>
      <c r="I159" s="477"/>
    </row>
    <row r="160" spans="1:9" x14ac:dyDescent="0.25">
      <c r="A160"/>
      <c r="B160"/>
      <c r="C160" s="477"/>
      <c r="D160" s="478"/>
      <c r="E160" s="478"/>
      <c r="F160" s="478"/>
      <c r="G160" s="478"/>
      <c r="H160" s="478"/>
      <c r="I160" s="477"/>
    </row>
    <row r="161" spans="1:9" x14ac:dyDescent="0.25">
      <c r="A161"/>
      <c r="B161"/>
      <c r="C161" s="477"/>
      <c r="D161" s="478"/>
      <c r="E161" s="478"/>
      <c r="F161" s="478"/>
      <c r="G161" s="478"/>
      <c r="H161" s="478"/>
      <c r="I161" s="477"/>
    </row>
    <row r="162" spans="1:9" x14ac:dyDescent="0.25">
      <c r="C162" s="477"/>
      <c r="D162" s="478"/>
      <c r="E162" s="478"/>
      <c r="F162" s="478"/>
      <c r="G162" s="478"/>
      <c r="H162" s="478"/>
      <c r="I162" s="477"/>
    </row>
    <row r="163" spans="1:9" x14ac:dyDescent="0.25">
      <c r="C163" s="477"/>
      <c r="D163" s="478"/>
      <c r="E163" s="478"/>
      <c r="F163" s="478"/>
      <c r="G163" s="478"/>
      <c r="H163" s="478"/>
      <c r="I163" s="477"/>
    </row>
    <row r="164" spans="1:9" x14ac:dyDescent="0.25">
      <c r="C164" s="477"/>
      <c r="D164" s="478"/>
      <c r="E164" s="478"/>
      <c r="F164" s="478"/>
      <c r="G164" s="478"/>
      <c r="H164" s="478"/>
      <c r="I164" s="477"/>
    </row>
    <row r="165" spans="1:9" x14ac:dyDescent="0.25">
      <c r="C165" s="477"/>
      <c r="D165" s="478"/>
      <c r="E165" s="478"/>
      <c r="F165" s="478"/>
      <c r="G165" s="478"/>
      <c r="H165" s="478"/>
      <c r="I165" s="477"/>
    </row>
    <row r="166" spans="1:9" x14ac:dyDescent="0.25">
      <c r="C166" s="477"/>
      <c r="D166" s="478"/>
      <c r="E166" s="478"/>
      <c r="F166" s="478"/>
      <c r="G166" s="478"/>
      <c r="H166" s="478"/>
      <c r="I166" s="477"/>
    </row>
    <row r="167" spans="1:9" x14ac:dyDescent="0.25">
      <c r="C167" s="477"/>
      <c r="D167" s="478"/>
      <c r="E167" s="478"/>
      <c r="F167" s="478"/>
      <c r="G167" s="478"/>
      <c r="H167" s="478"/>
      <c r="I167" s="477"/>
    </row>
    <row r="168" spans="1:9" x14ac:dyDescent="0.25">
      <c r="C168" s="477"/>
      <c r="D168" s="478"/>
      <c r="E168" s="478"/>
      <c r="F168" s="478"/>
      <c r="G168" s="478"/>
      <c r="H168" s="478"/>
      <c r="I168" s="477"/>
    </row>
    <row r="169" spans="1:9" x14ac:dyDescent="0.25">
      <c r="C169" s="477"/>
      <c r="D169" s="478"/>
      <c r="E169" s="478"/>
      <c r="F169" s="478"/>
      <c r="G169" s="478"/>
      <c r="H169" s="478"/>
      <c r="I169" s="477"/>
    </row>
    <row r="170" spans="1:9" x14ac:dyDescent="0.25">
      <c r="C170" s="477"/>
      <c r="D170" s="478"/>
      <c r="E170" s="478"/>
      <c r="F170" s="478"/>
      <c r="G170" s="478"/>
      <c r="H170" s="478"/>
      <c r="I170" s="477"/>
    </row>
    <row r="171" spans="1:9" x14ac:dyDescent="0.25">
      <c r="C171" s="477"/>
      <c r="D171" s="478"/>
      <c r="E171" s="478"/>
      <c r="F171" s="478"/>
      <c r="G171" s="478"/>
      <c r="H171" s="478"/>
      <c r="I171" s="477"/>
    </row>
    <row r="172" spans="1:9" x14ac:dyDescent="0.25">
      <c r="C172" s="477"/>
      <c r="D172" s="478"/>
      <c r="E172" s="478"/>
      <c r="F172" s="478"/>
      <c r="G172" s="478"/>
      <c r="H172" s="478"/>
      <c r="I172" s="477"/>
    </row>
    <row r="173" spans="1:9" x14ac:dyDescent="0.25">
      <c r="A173" s="385"/>
      <c r="B173" s="385"/>
      <c r="C173" s="371"/>
      <c r="D173" s="371"/>
      <c r="E173" s="371"/>
      <c r="F173" s="371"/>
      <c r="G173" s="371"/>
      <c r="H173" s="371"/>
      <c r="I173" s="371"/>
    </row>
    <row r="174" spans="1:9" x14ac:dyDescent="0.25">
      <c r="A174" s="385"/>
      <c r="B174" s="385"/>
      <c r="C174" s="371"/>
      <c r="D174" s="371"/>
      <c r="E174" s="371"/>
      <c r="F174" s="371"/>
      <c r="G174" s="371"/>
      <c r="H174" s="371"/>
      <c r="I174" s="371"/>
    </row>
    <row r="175" spans="1:9" x14ac:dyDescent="0.25">
      <c r="A175" s="385"/>
      <c r="B175" s="385"/>
      <c r="C175" s="371"/>
      <c r="D175" s="371"/>
      <c r="E175" s="371"/>
      <c r="F175" s="371"/>
      <c r="G175" s="371"/>
      <c r="H175" s="371"/>
      <c r="I175" s="371"/>
    </row>
    <row r="176" spans="1:9" x14ac:dyDescent="0.25">
      <c r="A176" s="385"/>
      <c r="B176" s="385"/>
      <c r="C176" s="371"/>
      <c r="D176" s="371"/>
      <c r="E176" s="371"/>
      <c r="F176" s="371"/>
      <c r="G176" s="371"/>
      <c r="H176" s="371"/>
      <c r="I176" s="371"/>
    </row>
    <row r="177" spans="1:9" x14ac:dyDescent="0.25">
      <c r="A177" s="385"/>
      <c r="B177" s="385"/>
      <c r="C177" s="371"/>
      <c r="D177" s="371"/>
      <c r="E177" s="371"/>
      <c r="F177" s="371"/>
      <c r="G177" s="371"/>
      <c r="H177" s="371"/>
      <c r="I177" s="371"/>
    </row>
    <row r="178" spans="1:9" x14ac:dyDescent="0.25">
      <c r="A178" s="385"/>
      <c r="B178" s="385"/>
      <c r="I178" s="371"/>
    </row>
    <row r="184" spans="1:9" x14ac:dyDescent="0.25">
      <c r="A184"/>
      <c r="B184"/>
      <c r="C184"/>
      <c r="D184"/>
      <c r="E184"/>
      <c r="F184"/>
      <c r="G184"/>
      <c r="H184"/>
      <c r="I184"/>
    </row>
    <row r="185" spans="1:9" x14ac:dyDescent="0.25">
      <c r="A185"/>
      <c r="B185"/>
      <c r="C185"/>
      <c r="D185"/>
      <c r="E185"/>
      <c r="F185"/>
      <c r="G185"/>
      <c r="H185"/>
      <c r="I185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03"/>
  <sheetViews>
    <sheetView workbookViewId="0">
      <pane xSplit="3" ySplit="64" topLeftCell="D152" activePane="bottomRight" state="frozen"/>
      <selection pane="topRight" activeCell="D1" sqref="D1"/>
      <selection pane="bottomLeft" activeCell="A65" sqref="A65"/>
      <selection pane="bottomRight" activeCell="AB201" sqref="AB201"/>
    </sheetView>
  </sheetViews>
  <sheetFormatPr defaultRowHeight="15" x14ac:dyDescent="0.25"/>
  <cols>
    <col min="2" max="2" width="22.7109375" customWidth="1"/>
    <col min="3" max="3" width="37.5703125" customWidth="1"/>
    <col min="23" max="23" width="56.140625" customWidth="1"/>
    <col min="24" max="24" width="11" customWidth="1"/>
    <col min="25" max="30" width="9.140625" customWidth="1"/>
    <col min="31" max="31" width="10.5703125" bestFit="1" customWidth="1"/>
    <col min="35" max="36" width="9.140625" customWidth="1"/>
    <col min="37" max="37" width="7.7109375" customWidth="1"/>
    <col min="38" max="44" width="9.140625" customWidth="1"/>
  </cols>
  <sheetData>
    <row r="1" spans="1:46" s="7" customFormat="1" ht="30.75" thickBot="1" x14ac:dyDescent="0.3">
      <c r="A1" s="1" t="s">
        <v>0</v>
      </c>
      <c r="B1" s="1"/>
      <c r="C1" s="2"/>
      <c r="D1" s="3">
        <v>1990</v>
      </c>
      <c r="E1" s="4">
        <v>1991</v>
      </c>
      <c r="F1" s="4">
        <v>1992</v>
      </c>
      <c r="G1" s="4">
        <v>1993</v>
      </c>
      <c r="H1" s="4">
        <v>1994</v>
      </c>
      <c r="I1" s="4">
        <v>1995</v>
      </c>
      <c r="J1" s="4">
        <v>1996</v>
      </c>
      <c r="K1" s="4">
        <v>1997</v>
      </c>
      <c r="L1" s="4">
        <v>1998</v>
      </c>
      <c r="M1" s="4">
        <v>1999</v>
      </c>
      <c r="N1" s="4">
        <v>2000</v>
      </c>
      <c r="O1" s="4">
        <v>2001</v>
      </c>
      <c r="P1" s="4">
        <v>2002</v>
      </c>
      <c r="Q1" s="4">
        <v>2003</v>
      </c>
      <c r="R1" s="4">
        <v>2004</v>
      </c>
      <c r="S1" s="4">
        <v>2005</v>
      </c>
      <c r="T1" s="4">
        <v>2006</v>
      </c>
      <c r="U1" s="5">
        <v>2007</v>
      </c>
      <c r="V1" s="5">
        <v>2008</v>
      </c>
      <c r="W1" s="5">
        <v>2009</v>
      </c>
      <c r="X1" s="5">
        <v>2010</v>
      </c>
      <c r="Y1" s="5">
        <v>2011</v>
      </c>
      <c r="Z1" s="5">
        <v>2012</v>
      </c>
      <c r="AA1" s="5">
        <v>2013</v>
      </c>
      <c r="AB1" s="6">
        <v>2014</v>
      </c>
      <c r="AC1" s="6">
        <v>2015</v>
      </c>
      <c r="AD1" s="6">
        <v>2016</v>
      </c>
      <c r="AE1" s="6">
        <v>2017</v>
      </c>
      <c r="AF1" s="6">
        <v>2018</v>
      </c>
      <c r="AG1" s="6">
        <v>2019</v>
      </c>
      <c r="AH1" s="6">
        <v>2020</v>
      </c>
      <c r="AI1" s="6">
        <v>2021</v>
      </c>
      <c r="AJ1" s="6">
        <v>2022</v>
      </c>
      <c r="AK1" s="6">
        <v>2023</v>
      </c>
      <c r="AL1" s="6">
        <v>2024</v>
      </c>
      <c r="AM1" s="6">
        <v>2025</v>
      </c>
      <c r="AN1" s="6">
        <v>2026</v>
      </c>
      <c r="AO1" s="6">
        <v>2027</v>
      </c>
      <c r="AP1" s="6">
        <v>2028</v>
      </c>
      <c r="AQ1" s="6">
        <v>2029</v>
      </c>
      <c r="AR1" s="6">
        <v>2030</v>
      </c>
      <c r="AT1" s="8"/>
    </row>
    <row r="2" spans="1:46" hidden="1" x14ac:dyDescent="0.25">
      <c r="A2" s="9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2"/>
      <c r="V2" s="12"/>
      <c r="W2" s="12"/>
      <c r="X2" s="12"/>
      <c r="Y2" s="12"/>
      <c r="Z2" s="12"/>
      <c r="AA2" s="12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T2" s="14"/>
    </row>
    <row r="3" spans="1:46" hidden="1" x14ac:dyDescent="0.25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  <c r="V3" s="18"/>
      <c r="W3" s="18"/>
      <c r="X3" s="18"/>
      <c r="Y3" s="18"/>
      <c r="Z3" s="18"/>
      <c r="AA3" s="18"/>
      <c r="AB3" s="13"/>
      <c r="AC3" s="13"/>
      <c r="AD3" s="13"/>
      <c r="AE3" s="13"/>
      <c r="AF3" s="13"/>
      <c r="AG3" s="13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T3" s="14"/>
    </row>
    <row r="4" spans="1:46" hidden="1" x14ac:dyDescent="0.25">
      <c r="A4" s="20"/>
      <c r="B4" s="21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4"/>
      <c r="V4" s="24"/>
      <c r="W4" s="24"/>
      <c r="X4" s="24"/>
      <c r="Y4" s="24"/>
      <c r="Z4" s="24"/>
      <c r="AA4" s="24"/>
      <c r="AB4" s="13"/>
      <c r="AC4" s="13"/>
      <c r="AD4" s="13"/>
      <c r="AE4" s="13"/>
      <c r="AF4" s="13"/>
      <c r="AG4" s="13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T4" s="14"/>
    </row>
    <row r="5" spans="1:46" hidden="1" x14ac:dyDescent="0.25">
      <c r="A5" s="25"/>
      <c r="B5" s="26"/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9"/>
      <c r="V5" s="29"/>
      <c r="W5" s="29"/>
      <c r="X5" s="29"/>
      <c r="Y5" s="29"/>
      <c r="Z5" s="29"/>
      <c r="AA5" s="29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T5" s="14"/>
    </row>
    <row r="6" spans="1:46" hidden="1" x14ac:dyDescent="0.25">
      <c r="A6" s="25"/>
      <c r="B6" s="26"/>
      <c r="C6" s="30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9"/>
      <c r="V6" s="29"/>
      <c r="W6" s="29"/>
      <c r="X6" s="29"/>
      <c r="Y6" s="29"/>
      <c r="Z6" s="29"/>
      <c r="AA6" s="29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T6" s="14"/>
    </row>
    <row r="7" spans="1:46" hidden="1" x14ac:dyDescent="0.25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9"/>
      <c r="V7" s="29"/>
      <c r="W7" s="29"/>
      <c r="X7" s="29"/>
      <c r="Y7" s="29"/>
      <c r="Z7" s="29"/>
      <c r="AA7" s="29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T7" s="14"/>
    </row>
    <row r="8" spans="1:46" hidden="1" x14ac:dyDescent="0.25">
      <c r="A8" s="25"/>
      <c r="B8" s="26"/>
      <c r="C8" s="31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9"/>
      <c r="V8" s="29"/>
      <c r="W8" s="29"/>
      <c r="X8" s="29"/>
      <c r="Y8" s="29"/>
      <c r="Z8" s="29"/>
      <c r="AA8" s="29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T8" s="14"/>
    </row>
    <row r="9" spans="1:46" hidden="1" x14ac:dyDescent="0.25">
      <c r="A9" s="32"/>
      <c r="B9" s="33"/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5"/>
      <c r="V9" s="35"/>
      <c r="W9" s="35"/>
      <c r="X9" s="35"/>
      <c r="Y9" s="35"/>
      <c r="Z9" s="35"/>
      <c r="AA9" s="35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T9" s="14"/>
    </row>
    <row r="10" spans="1:46" hidden="1" x14ac:dyDescent="0.25">
      <c r="A10" s="36"/>
      <c r="B10" s="37"/>
      <c r="C10" s="3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9"/>
      <c r="V10" s="39"/>
      <c r="W10" s="39"/>
      <c r="X10" s="39"/>
      <c r="Y10" s="39"/>
      <c r="Z10" s="39"/>
      <c r="AA10" s="39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T10" s="14"/>
    </row>
    <row r="11" spans="1:46" hidden="1" x14ac:dyDescent="0.25">
      <c r="A11" s="25"/>
      <c r="B11" s="26"/>
      <c r="C11" s="26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9"/>
      <c r="V11" s="29"/>
      <c r="W11" s="29"/>
      <c r="X11" s="29"/>
      <c r="Y11" s="29"/>
      <c r="Z11" s="29"/>
      <c r="AA11" s="29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T11" s="14"/>
    </row>
    <row r="12" spans="1:46" hidden="1" x14ac:dyDescent="0.25">
      <c r="A12" s="15"/>
      <c r="B12" s="16"/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8"/>
      <c r="V12" s="18"/>
      <c r="W12" s="18"/>
      <c r="X12" s="18"/>
      <c r="Y12" s="18"/>
      <c r="Z12" s="18"/>
      <c r="AA12" s="18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T12" s="14"/>
    </row>
    <row r="13" spans="1:46" hidden="1" x14ac:dyDescent="0.25">
      <c r="A13" s="40"/>
      <c r="B13" s="41"/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4"/>
      <c r="V13" s="44"/>
      <c r="W13" s="44"/>
      <c r="X13" s="44"/>
      <c r="Y13" s="44"/>
      <c r="Z13" s="44"/>
      <c r="AA13" s="44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T13" s="14"/>
    </row>
    <row r="14" spans="1:46" hidden="1" x14ac:dyDescent="0.25">
      <c r="A14" s="45"/>
      <c r="B14" s="46"/>
      <c r="C14" s="47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9"/>
      <c r="V14" s="49"/>
      <c r="W14" s="49"/>
      <c r="X14" s="49"/>
      <c r="Y14" s="49"/>
      <c r="Z14" s="49"/>
      <c r="AA14" s="49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T14" s="14"/>
    </row>
    <row r="15" spans="1:46" hidden="1" x14ac:dyDescent="0.25">
      <c r="A15" s="40"/>
      <c r="B15" s="41"/>
      <c r="C15" s="50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4"/>
      <c r="V15" s="44"/>
      <c r="W15" s="44"/>
      <c r="X15" s="44"/>
      <c r="Y15" s="44"/>
      <c r="Z15" s="44"/>
      <c r="AA15" s="44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T15" s="14"/>
    </row>
    <row r="16" spans="1:46" hidden="1" x14ac:dyDescent="0.25">
      <c r="A16" s="40"/>
      <c r="B16" s="42"/>
      <c r="C16" s="50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4"/>
      <c r="V16" s="44"/>
      <c r="W16" s="44"/>
      <c r="X16" s="44"/>
      <c r="Y16" s="44"/>
      <c r="Z16" s="44"/>
      <c r="AA16" s="44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T16" s="14"/>
    </row>
    <row r="17" spans="1:46" hidden="1" x14ac:dyDescent="0.25">
      <c r="A17" s="51"/>
      <c r="B17" s="52"/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5"/>
      <c r="V17" s="55"/>
      <c r="W17" s="55"/>
      <c r="X17" s="55"/>
      <c r="Y17" s="55"/>
      <c r="Z17" s="55"/>
      <c r="AA17" s="55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T17" s="14"/>
    </row>
    <row r="18" spans="1:46" hidden="1" x14ac:dyDescent="0.25">
      <c r="A18" s="40"/>
      <c r="B18" s="42"/>
      <c r="C18" s="50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4"/>
      <c r="V18" s="44"/>
      <c r="W18" s="44"/>
      <c r="X18" s="44"/>
      <c r="Y18" s="44"/>
      <c r="Z18" s="44"/>
      <c r="AA18" s="44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T18" s="14"/>
    </row>
    <row r="19" spans="1:46" hidden="1" x14ac:dyDescent="0.25">
      <c r="A19" s="40"/>
      <c r="B19" s="42"/>
      <c r="C19" s="50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4"/>
      <c r="V19" s="44"/>
      <c r="W19" s="44"/>
      <c r="X19" s="44"/>
      <c r="Y19" s="44"/>
      <c r="Z19" s="44"/>
      <c r="AA19" s="44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T19" s="14"/>
    </row>
    <row r="20" spans="1:46" hidden="1" x14ac:dyDescent="0.25">
      <c r="A20" s="40"/>
      <c r="B20" s="42"/>
      <c r="C20" s="50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4"/>
      <c r="V20" s="44"/>
      <c r="W20" s="44"/>
      <c r="X20" s="44"/>
      <c r="Y20" s="44"/>
      <c r="Z20" s="44"/>
      <c r="AA20" s="44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T20" s="14"/>
    </row>
    <row r="21" spans="1:46" hidden="1" x14ac:dyDescent="0.25">
      <c r="A21" s="51"/>
      <c r="B21" s="52"/>
      <c r="C21" s="53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5"/>
      <c r="V21" s="55"/>
      <c r="W21" s="55"/>
      <c r="X21" s="55"/>
      <c r="Y21" s="55"/>
      <c r="Z21" s="55"/>
      <c r="AA21" s="55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T21" s="14"/>
    </row>
    <row r="22" spans="1:46" hidden="1" x14ac:dyDescent="0.25">
      <c r="A22" s="40"/>
      <c r="B22" s="42"/>
      <c r="C22" s="50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4"/>
      <c r="V22" s="44"/>
      <c r="W22" s="44"/>
      <c r="X22" s="44"/>
      <c r="Y22" s="44"/>
      <c r="Z22" s="44"/>
      <c r="AA22" s="44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T22" s="14"/>
    </row>
    <row r="23" spans="1:46" hidden="1" x14ac:dyDescent="0.25">
      <c r="A23" s="56"/>
      <c r="B23" s="57"/>
      <c r="C23" s="58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60"/>
      <c r="V23" s="60"/>
      <c r="W23" s="60"/>
      <c r="X23" s="60"/>
      <c r="Y23" s="60"/>
      <c r="Z23" s="60"/>
      <c r="AA23" s="60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T23" s="14"/>
    </row>
    <row r="24" spans="1:46" hidden="1" x14ac:dyDescent="0.25">
      <c r="A24" s="40"/>
      <c r="B24" s="41"/>
      <c r="C24" s="42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4"/>
      <c r="V24" s="44"/>
      <c r="W24" s="44"/>
      <c r="X24" s="44"/>
      <c r="Y24" s="44"/>
      <c r="Z24" s="44"/>
      <c r="AA24" s="44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T24" s="14"/>
    </row>
    <row r="25" spans="1:46" hidden="1" x14ac:dyDescent="0.25">
      <c r="A25" s="45"/>
      <c r="B25" s="46"/>
      <c r="C25" s="61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9"/>
      <c r="V25" s="49"/>
      <c r="W25" s="49"/>
      <c r="X25" s="49"/>
      <c r="Y25" s="49"/>
      <c r="Z25" s="49"/>
      <c r="AA25" s="49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T25" s="14"/>
    </row>
    <row r="26" spans="1:46" hidden="1" x14ac:dyDescent="0.25">
      <c r="A26" s="51"/>
      <c r="B26" s="62"/>
      <c r="C26" s="53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5"/>
      <c r="V26" s="55"/>
      <c r="W26" s="55"/>
      <c r="X26" s="55"/>
      <c r="Y26" s="55"/>
      <c r="Z26" s="55"/>
      <c r="AA26" s="55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T26" s="14"/>
    </row>
    <row r="27" spans="1:46" hidden="1" x14ac:dyDescent="0.25">
      <c r="A27" s="51"/>
      <c r="B27" s="62"/>
      <c r="C27" s="53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5"/>
      <c r="V27" s="55"/>
      <c r="W27" s="55"/>
      <c r="X27" s="55"/>
      <c r="Y27" s="55"/>
      <c r="Z27" s="55"/>
      <c r="AA27" s="55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T27" s="14"/>
    </row>
    <row r="28" spans="1:46" hidden="1" x14ac:dyDescent="0.25">
      <c r="A28" s="25"/>
      <c r="B28" s="26"/>
      <c r="C28" s="63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9"/>
      <c r="V28" s="29"/>
      <c r="W28" s="29"/>
      <c r="X28" s="29"/>
      <c r="Y28" s="29"/>
      <c r="Z28" s="29"/>
      <c r="AA28" s="29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T28" s="14"/>
    </row>
    <row r="29" spans="1:46" hidden="1" x14ac:dyDescent="0.25">
      <c r="A29" s="64"/>
      <c r="B29" s="65"/>
      <c r="C29" s="66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8"/>
      <c r="V29" s="68"/>
      <c r="W29" s="68"/>
      <c r="X29" s="68"/>
      <c r="Y29" s="68"/>
      <c r="Z29" s="68"/>
      <c r="AA29" s="68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T29" s="14"/>
    </row>
    <row r="30" spans="1:46" hidden="1" x14ac:dyDescent="0.25">
      <c r="A30" s="45"/>
      <c r="B30" s="69"/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9"/>
      <c r="V30" s="49"/>
      <c r="W30" s="49"/>
      <c r="X30" s="49"/>
      <c r="Y30" s="49"/>
      <c r="Z30" s="49"/>
      <c r="AA30" s="49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T30" s="14"/>
    </row>
    <row r="31" spans="1:46" hidden="1" x14ac:dyDescent="0.25">
      <c r="A31" s="45"/>
      <c r="B31" s="69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9"/>
      <c r="V31" s="49"/>
      <c r="W31" s="49"/>
      <c r="X31" s="49"/>
      <c r="Y31" s="49"/>
      <c r="Z31" s="49"/>
      <c r="AA31" s="49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T31" s="14"/>
    </row>
    <row r="32" spans="1:46" hidden="1" x14ac:dyDescent="0.25">
      <c r="A32" s="9"/>
      <c r="B32" s="70"/>
      <c r="C32" s="71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8"/>
      <c r="V32" s="18"/>
      <c r="W32" s="18"/>
      <c r="X32" s="18"/>
      <c r="Y32" s="18"/>
      <c r="Z32" s="18"/>
      <c r="AA32" s="18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T32" s="14"/>
    </row>
    <row r="33" spans="1:46" hidden="1" x14ac:dyDescent="0.25">
      <c r="A33" s="64"/>
      <c r="B33" s="65"/>
      <c r="C33" s="65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9"/>
      <c r="V33" s="29"/>
      <c r="W33" s="29"/>
      <c r="X33" s="29"/>
      <c r="Y33" s="29"/>
      <c r="Z33" s="29"/>
      <c r="AA33" s="29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T33" s="14"/>
    </row>
    <row r="34" spans="1:46" hidden="1" x14ac:dyDescent="0.25">
      <c r="A34" s="45"/>
      <c r="B34" s="72"/>
      <c r="C34" s="61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9"/>
      <c r="V34" s="49"/>
      <c r="W34" s="49"/>
      <c r="X34" s="49"/>
      <c r="Y34" s="49"/>
      <c r="Z34" s="49"/>
      <c r="AA34" s="49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T34" s="14"/>
    </row>
    <row r="35" spans="1:46" hidden="1" x14ac:dyDescent="0.25">
      <c r="A35" s="45"/>
      <c r="B35" s="72"/>
      <c r="C35" s="61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9"/>
      <c r="V35" s="49"/>
      <c r="W35" s="49"/>
      <c r="X35" s="49"/>
      <c r="Y35" s="49"/>
      <c r="Z35" s="49"/>
      <c r="AA35" s="49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T35" s="14"/>
    </row>
    <row r="36" spans="1:46" hidden="1" x14ac:dyDescent="0.25">
      <c r="A36" s="45"/>
      <c r="B36" s="72"/>
      <c r="C36" s="61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9"/>
      <c r="W36" s="49"/>
      <c r="X36" s="49"/>
      <c r="Y36" s="49"/>
      <c r="Z36" s="49"/>
      <c r="AA36" s="49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T36" s="14"/>
    </row>
    <row r="37" spans="1:46" hidden="1" x14ac:dyDescent="0.25">
      <c r="A37" s="64"/>
      <c r="B37" s="65"/>
      <c r="C37" s="65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9"/>
      <c r="V37" s="29"/>
      <c r="W37" s="29"/>
      <c r="X37" s="29"/>
      <c r="Y37" s="29"/>
      <c r="Z37" s="29"/>
      <c r="AA37" s="29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T37" s="14"/>
    </row>
    <row r="38" spans="1:46" hidden="1" x14ac:dyDescent="0.25">
      <c r="A38" s="45"/>
      <c r="B38" s="73"/>
      <c r="C38" s="61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9"/>
      <c r="V38" s="49"/>
      <c r="W38" s="49"/>
      <c r="X38" s="49"/>
      <c r="Y38" s="49"/>
      <c r="Z38" s="49"/>
      <c r="AA38" s="49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T38" s="14"/>
    </row>
    <row r="39" spans="1:46" hidden="1" x14ac:dyDescent="0.25">
      <c r="A39" s="45"/>
      <c r="B39" s="73"/>
      <c r="C39" s="61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9"/>
      <c r="V39" s="49"/>
      <c r="W39" s="49"/>
      <c r="X39" s="49"/>
      <c r="Y39" s="49"/>
      <c r="Z39" s="49"/>
      <c r="AA39" s="49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T39" s="14"/>
    </row>
    <row r="40" spans="1:46" hidden="1" x14ac:dyDescent="0.25">
      <c r="A40" s="45"/>
      <c r="B40" s="73"/>
      <c r="C40" s="74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T40" s="14"/>
    </row>
    <row r="41" spans="1:46" hidden="1" x14ac:dyDescent="0.25">
      <c r="A41" s="64"/>
      <c r="B41" s="65"/>
      <c r="C41" s="65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9"/>
      <c r="V41" s="29"/>
      <c r="W41" s="29"/>
      <c r="X41" s="29"/>
      <c r="Y41" s="29"/>
      <c r="Z41" s="29"/>
      <c r="AA41" s="29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T41" s="14"/>
    </row>
    <row r="42" spans="1:46" hidden="1" x14ac:dyDescent="0.25">
      <c r="A42" s="45"/>
      <c r="B42" s="46"/>
      <c r="C42" s="47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9"/>
      <c r="V42" s="49"/>
      <c r="W42" s="49"/>
      <c r="X42" s="49"/>
      <c r="Y42" s="49"/>
      <c r="Z42" s="49"/>
      <c r="AA42" s="49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T42" s="14"/>
    </row>
    <row r="43" spans="1:46" hidden="1" x14ac:dyDescent="0.25">
      <c r="A43" s="45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9"/>
      <c r="V43" s="49"/>
      <c r="W43" s="49"/>
      <c r="X43" s="49"/>
      <c r="Y43" s="49"/>
      <c r="Z43" s="49"/>
      <c r="AA43" s="49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T43" s="14"/>
    </row>
    <row r="44" spans="1:46" hidden="1" x14ac:dyDescent="0.25">
      <c r="A44" s="45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9"/>
      <c r="V44" s="49"/>
      <c r="W44" s="49"/>
      <c r="X44" s="49"/>
      <c r="Y44" s="49"/>
      <c r="Z44" s="49"/>
      <c r="AA44" s="49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T44" s="14"/>
    </row>
    <row r="45" spans="1:46" hidden="1" x14ac:dyDescent="0.25">
      <c r="A45" s="64"/>
      <c r="B45" s="65"/>
      <c r="C45" s="65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9"/>
      <c r="V45" s="29"/>
      <c r="W45" s="29"/>
      <c r="X45" s="29"/>
      <c r="Y45" s="29"/>
      <c r="Z45" s="29"/>
      <c r="AA45" s="29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T45" s="14"/>
    </row>
    <row r="46" spans="1:46" hidden="1" x14ac:dyDescent="0.25">
      <c r="A46" s="64"/>
      <c r="B46" s="65"/>
      <c r="C46" s="65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9"/>
      <c r="V46" s="29"/>
      <c r="W46" s="29"/>
      <c r="X46" s="29"/>
      <c r="Y46" s="29"/>
      <c r="Z46" s="29"/>
      <c r="AA46" s="2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T46" s="14"/>
    </row>
    <row r="47" spans="1:46" hidden="1" x14ac:dyDescent="0.25">
      <c r="A47" s="75"/>
      <c r="B47" s="76"/>
      <c r="C47" s="76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9"/>
      <c r="V47" s="29"/>
      <c r="W47" s="29"/>
      <c r="X47" s="29"/>
      <c r="Y47" s="29"/>
      <c r="Z47" s="29"/>
      <c r="AA47" s="2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T47" s="14"/>
    </row>
    <row r="48" spans="1:46" hidden="1" x14ac:dyDescent="0.25">
      <c r="A48" s="77"/>
      <c r="B48" s="78"/>
      <c r="C48" s="78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80"/>
      <c r="V48" s="80"/>
      <c r="W48" s="80"/>
      <c r="X48" s="80"/>
      <c r="Y48" s="80"/>
      <c r="Z48" s="80"/>
      <c r="AA48" s="80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T48" s="14"/>
    </row>
    <row r="49" spans="1:46" hidden="1" x14ac:dyDescent="0.25">
      <c r="A49" s="15"/>
      <c r="B49" s="16"/>
      <c r="C49" s="16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9"/>
      <c r="V49" s="49"/>
      <c r="W49" s="49"/>
      <c r="X49" s="49"/>
      <c r="Y49" s="49"/>
      <c r="Z49" s="49"/>
      <c r="AA49" s="4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T49" s="14"/>
    </row>
    <row r="50" spans="1:46" hidden="1" x14ac:dyDescent="0.25">
      <c r="A50" s="15"/>
      <c r="B50" s="16"/>
      <c r="C50" s="16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9"/>
      <c r="V50" s="49"/>
      <c r="W50" s="49"/>
      <c r="X50" s="49"/>
      <c r="Y50" s="49"/>
      <c r="Z50" s="49"/>
      <c r="AA50" s="4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T50" s="14"/>
    </row>
    <row r="51" spans="1:46" hidden="1" x14ac:dyDescent="0.25">
      <c r="A51" s="15"/>
      <c r="B51" s="16"/>
      <c r="C51" s="16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9"/>
      <c r="V51" s="49"/>
      <c r="W51" s="49"/>
      <c r="X51" s="49"/>
      <c r="Y51" s="49"/>
      <c r="Z51" s="49"/>
      <c r="AA51" s="4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T51" s="14"/>
    </row>
    <row r="52" spans="1:46" hidden="1" x14ac:dyDescent="0.25">
      <c r="A52" s="15"/>
      <c r="B52" s="16"/>
      <c r="C52" s="47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9"/>
      <c r="V52" s="49"/>
      <c r="W52" s="49"/>
      <c r="X52" s="49"/>
      <c r="Y52" s="49"/>
      <c r="Z52" s="49"/>
      <c r="AA52" s="4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T52" s="14"/>
    </row>
    <row r="53" spans="1:46" hidden="1" x14ac:dyDescent="0.25">
      <c r="A53" s="15"/>
      <c r="B53" s="16"/>
      <c r="C53" s="47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9"/>
      <c r="V53" s="49"/>
      <c r="W53" s="49"/>
      <c r="X53" s="49"/>
      <c r="Y53" s="49"/>
      <c r="Z53" s="49"/>
      <c r="AA53" s="49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T53" s="14"/>
    </row>
    <row r="54" spans="1:46" hidden="1" x14ac:dyDescent="0.25">
      <c r="A54" s="45"/>
      <c r="B54" s="46"/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9"/>
      <c r="V54" s="49"/>
      <c r="W54" s="49"/>
      <c r="X54" s="49"/>
      <c r="Y54" s="49"/>
      <c r="Z54" s="49"/>
      <c r="AA54" s="49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T54" s="14"/>
    </row>
    <row r="55" spans="1:46" hidden="1" x14ac:dyDescent="0.25">
      <c r="A55" s="82"/>
      <c r="B55" s="83"/>
      <c r="C55" s="84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T55" s="14"/>
    </row>
    <row r="56" spans="1:46" hidden="1" x14ac:dyDescent="0.25">
      <c r="A56" s="85"/>
      <c r="B56" s="86"/>
      <c r="C56" s="86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8"/>
      <c r="V56" s="88"/>
      <c r="W56" s="88"/>
      <c r="X56" s="88"/>
      <c r="Y56" s="88"/>
      <c r="Z56" s="88"/>
      <c r="AA56" s="88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T56" s="14"/>
    </row>
    <row r="57" spans="1:46" hidden="1" x14ac:dyDescent="0.25">
      <c r="A57" s="15"/>
      <c r="B57" s="16"/>
      <c r="C57" s="16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9"/>
      <c r="V57" s="49"/>
      <c r="W57" s="49"/>
      <c r="X57" s="49"/>
      <c r="Y57" s="49"/>
      <c r="Z57" s="49"/>
      <c r="AA57" s="49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T57" s="14"/>
    </row>
    <row r="58" spans="1:46" hidden="1" x14ac:dyDescent="0.25">
      <c r="A58" s="15"/>
      <c r="B58" s="16"/>
      <c r="C58" s="16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9"/>
      <c r="V58" s="49"/>
      <c r="W58" s="49"/>
      <c r="X58" s="49"/>
      <c r="Y58" s="49"/>
      <c r="Z58" s="49"/>
      <c r="AA58" s="49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T58" s="14"/>
    </row>
    <row r="59" spans="1:46" hidden="1" x14ac:dyDescent="0.25">
      <c r="A59" s="90"/>
      <c r="B59" s="91"/>
      <c r="C59" s="91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3"/>
      <c r="V59" s="93"/>
      <c r="W59" s="93"/>
      <c r="X59" s="93"/>
      <c r="Y59" s="93"/>
      <c r="Z59" s="93"/>
      <c r="AA59" s="9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</row>
    <row r="60" spans="1:46" ht="15.75" hidden="1" thickTop="1" x14ac:dyDescent="0.25">
      <c r="A60" s="94"/>
      <c r="B60" s="95"/>
      <c r="C60" s="95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7"/>
      <c r="V60" s="97"/>
      <c r="W60" s="97"/>
      <c r="X60" s="97"/>
      <c r="Y60" s="97"/>
      <c r="Z60" s="97"/>
      <c r="AA60" s="97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</row>
    <row r="61" spans="1:46" hidden="1" x14ac:dyDescent="0.25">
      <c r="A61" s="119" t="s">
        <v>26</v>
      </c>
      <c r="B61" s="120"/>
      <c r="C61" s="120"/>
      <c r="D61" s="121" t="e">
        <f>#REF!</f>
        <v>#REF!</v>
      </c>
      <c r="E61" s="121" t="e">
        <f>#REF!</f>
        <v>#REF!</v>
      </c>
      <c r="F61" s="121" t="e">
        <f>#REF!</f>
        <v>#REF!</v>
      </c>
      <c r="G61" s="121" t="e">
        <f>#REF!</f>
        <v>#REF!</v>
      </c>
      <c r="H61" s="121" t="e">
        <f>#REF!</f>
        <v>#REF!</v>
      </c>
      <c r="I61" s="121" t="e">
        <f>#REF!</f>
        <v>#REF!</v>
      </c>
      <c r="J61" s="121" t="e">
        <f>#REF!</f>
        <v>#REF!</v>
      </c>
      <c r="K61" s="121" t="e">
        <f>#REF!</f>
        <v>#REF!</v>
      </c>
      <c r="L61" s="121" t="e">
        <f>#REF!</f>
        <v>#REF!</v>
      </c>
      <c r="M61" s="121" t="e">
        <f>#REF!</f>
        <v>#REF!</v>
      </c>
      <c r="N61" s="121" t="e">
        <f>#REF!</f>
        <v>#REF!</v>
      </c>
      <c r="O61" s="121" t="e">
        <f>#REF!</f>
        <v>#REF!</v>
      </c>
      <c r="P61" s="121" t="e">
        <f>#REF!</f>
        <v>#REF!</v>
      </c>
      <c r="Q61" s="121" t="e">
        <f>#REF!</f>
        <v>#REF!</v>
      </c>
      <c r="R61" s="121" t="e">
        <f>#REF!</f>
        <v>#REF!</v>
      </c>
      <c r="S61" s="121" t="e">
        <f>#REF!</f>
        <v>#REF!</v>
      </c>
      <c r="T61" s="121" t="e">
        <f>#REF!</f>
        <v>#REF!</v>
      </c>
      <c r="U61" s="121" t="e">
        <f>#REF!</f>
        <v>#REF!</v>
      </c>
      <c r="V61" s="121" t="e">
        <f>#REF!</f>
        <v>#REF!</v>
      </c>
      <c r="W61" s="121" t="e">
        <f>#REF!</f>
        <v>#REF!</v>
      </c>
      <c r="X61" s="121" t="e">
        <f>#REF!</f>
        <v>#REF!</v>
      </c>
      <c r="Y61" s="121" t="e">
        <f>#REF!</f>
        <v>#REF!</v>
      </c>
      <c r="Z61" s="121" t="e">
        <f>#REF!</f>
        <v>#REF!</v>
      </c>
      <c r="AA61" s="121" t="e">
        <f>#REF!</f>
        <v>#REF!</v>
      </c>
      <c r="AB61" s="121" t="e">
        <f>#REF!</f>
        <v>#REF!</v>
      </c>
      <c r="AC61" s="121" t="e">
        <f>#REF!</f>
        <v>#REF!</v>
      </c>
      <c r="AD61" s="121" t="e">
        <f>#REF!</f>
        <v>#REF!</v>
      </c>
      <c r="AE61" s="121" t="e">
        <f>#REF!</f>
        <v>#REF!</v>
      </c>
      <c r="AF61" s="121" t="e">
        <f>#REF!</f>
        <v>#REF!</v>
      </c>
      <c r="AG61" s="121" t="e">
        <f>#REF!</f>
        <v>#REF!</v>
      </c>
      <c r="AH61" s="121" t="e">
        <f>#REF!</f>
        <v>#REF!</v>
      </c>
      <c r="AI61" s="121" t="e">
        <f>#REF!</f>
        <v>#REF!</v>
      </c>
      <c r="AJ61" s="121" t="e">
        <f>#REF!</f>
        <v>#REF!</v>
      </c>
      <c r="AK61" s="121" t="e">
        <f>#REF!</f>
        <v>#REF!</v>
      </c>
      <c r="AL61" s="121" t="e">
        <f>#REF!</f>
        <v>#REF!</v>
      </c>
      <c r="AM61" s="121" t="e">
        <f>#REF!</f>
        <v>#REF!</v>
      </c>
      <c r="AN61" s="121" t="e">
        <f>#REF!</f>
        <v>#REF!</v>
      </c>
      <c r="AO61" s="121" t="e">
        <f>#REF!</f>
        <v>#REF!</v>
      </c>
      <c r="AP61" s="121" t="e">
        <f>#REF!</f>
        <v>#REF!</v>
      </c>
      <c r="AQ61" s="121" t="e">
        <f>#REF!</f>
        <v>#REF!</v>
      </c>
      <c r="AR61" s="121" t="e">
        <f>#REF!</f>
        <v>#REF!</v>
      </c>
    </row>
    <row r="62" spans="1:46" hidden="1" x14ac:dyDescent="0.25"/>
    <row r="63" spans="1:46" hidden="1" x14ac:dyDescent="0.25"/>
    <row r="64" spans="1:46" hidden="1" x14ac:dyDescent="0.25"/>
    <row r="66" spans="1:45" ht="15.75" x14ac:dyDescent="0.25">
      <c r="A66" s="98" t="s">
        <v>27</v>
      </c>
      <c r="B66" s="99"/>
      <c r="C66" s="99"/>
    </row>
    <row r="67" spans="1:45" s="103" customFormat="1" x14ac:dyDescent="0.25">
      <c r="A67" s="101" t="s">
        <v>6</v>
      </c>
      <c r="B67" s="102" t="s">
        <v>7</v>
      </c>
      <c r="C67" s="102"/>
    </row>
    <row r="68" spans="1:45" x14ac:dyDescent="0.25">
      <c r="A68" s="101"/>
      <c r="B68" s="102" t="s">
        <v>8</v>
      </c>
      <c r="C68" s="102"/>
      <c r="D68" s="103" t="e">
        <f>#REF!</f>
        <v>#REF!</v>
      </c>
      <c r="E68" s="103" t="e">
        <f>#REF!</f>
        <v>#REF!</v>
      </c>
      <c r="F68" s="103" t="e">
        <f>#REF!</f>
        <v>#REF!</v>
      </c>
      <c r="G68" s="103" t="e">
        <f>#REF!</f>
        <v>#REF!</v>
      </c>
      <c r="H68" s="103" t="e">
        <f>#REF!</f>
        <v>#REF!</v>
      </c>
      <c r="I68" s="103" t="e">
        <f>#REF!</f>
        <v>#REF!</v>
      </c>
      <c r="J68" s="103" t="e">
        <f>#REF!</f>
        <v>#REF!</v>
      </c>
      <c r="K68" s="103" t="e">
        <f>#REF!</f>
        <v>#REF!</v>
      </c>
      <c r="L68" s="103" t="e">
        <f>#REF!</f>
        <v>#REF!</v>
      </c>
      <c r="M68" s="103" t="e">
        <f>#REF!</f>
        <v>#REF!</v>
      </c>
      <c r="N68" s="103" t="e">
        <f>#REF!</f>
        <v>#REF!</v>
      </c>
      <c r="O68" s="103" t="e">
        <f>#REF!</f>
        <v>#REF!</v>
      </c>
      <c r="P68" s="103" t="e">
        <f>#REF!</f>
        <v>#REF!</v>
      </c>
      <c r="Q68" s="103" t="e">
        <f>#REF!</f>
        <v>#REF!</v>
      </c>
      <c r="R68" s="103" t="e">
        <f>#REF!</f>
        <v>#REF!</v>
      </c>
      <c r="S68" s="103" t="e">
        <f>#REF!</f>
        <v>#REF!</v>
      </c>
      <c r="T68" s="103" t="e">
        <f>#REF!</f>
        <v>#REF!</v>
      </c>
      <c r="U68" s="103" t="e">
        <f>#REF!</f>
        <v>#REF!</v>
      </c>
      <c r="V68" s="103" t="e">
        <f>#REF!</f>
        <v>#REF!</v>
      </c>
      <c r="W68" s="103" t="e">
        <f>#REF!</f>
        <v>#REF!</v>
      </c>
      <c r="X68" s="103" t="e">
        <f>#REF!</f>
        <v>#REF!</v>
      </c>
      <c r="Y68" s="103" t="e">
        <f>#REF!</f>
        <v>#REF!</v>
      </c>
      <c r="Z68" s="103" t="e">
        <f>#REF!</f>
        <v>#REF!</v>
      </c>
      <c r="AA68" s="103" t="e">
        <f>#REF!</f>
        <v>#REF!</v>
      </c>
      <c r="AB68" s="286" t="e">
        <f>#REF!</f>
        <v>#REF!</v>
      </c>
      <c r="AC68" s="286" t="e">
        <f>#REF!</f>
        <v>#REF!</v>
      </c>
      <c r="AD68" s="286" t="e">
        <f>#REF!</f>
        <v>#REF!</v>
      </c>
      <c r="AE68" s="286" t="e">
        <f>#REF!</f>
        <v>#REF!</v>
      </c>
      <c r="AF68" s="286" t="e">
        <f>#REF!</f>
        <v>#REF!</v>
      </c>
      <c r="AG68" s="286" t="e">
        <f>#REF!</f>
        <v>#REF!</v>
      </c>
      <c r="AH68" s="286" t="e">
        <f>#REF!</f>
        <v>#REF!</v>
      </c>
      <c r="AI68" s="286" t="e">
        <f>#REF!</f>
        <v>#REF!</v>
      </c>
      <c r="AJ68" s="286" t="e">
        <f>#REF!</f>
        <v>#REF!</v>
      </c>
      <c r="AK68" s="286" t="e">
        <f>#REF!</f>
        <v>#REF!</v>
      </c>
      <c r="AL68" s="286" t="e">
        <f>#REF!</f>
        <v>#REF!</v>
      </c>
      <c r="AM68" s="286" t="e">
        <f>#REF!</f>
        <v>#REF!</v>
      </c>
      <c r="AN68" s="286" t="e">
        <f>#REF!</f>
        <v>#REF!</v>
      </c>
      <c r="AO68" s="286" t="e">
        <f>#REF!</f>
        <v>#REF!</v>
      </c>
      <c r="AP68" s="286" t="e">
        <f>#REF!</f>
        <v>#REF!</v>
      </c>
      <c r="AQ68" s="286" t="e">
        <f>#REF!</f>
        <v>#REF!</v>
      </c>
      <c r="AR68" s="286" t="e">
        <f>#REF!</f>
        <v>#REF!</v>
      </c>
      <c r="AS68" s="242" t="e">
        <f>#REF!</f>
        <v>#REF!</v>
      </c>
    </row>
    <row r="69" spans="1:45" x14ac:dyDescent="0.25">
      <c r="A69" s="104"/>
      <c r="B69" s="105" t="s">
        <v>10</v>
      </c>
      <c r="C69" s="106"/>
      <c r="D69" s="107" t="e">
        <f>#REF!</f>
        <v>#REF!</v>
      </c>
      <c r="E69" s="107" t="e">
        <f>#REF!</f>
        <v>#REF!</v>
      </c>
      <c r="F69" s="107" t="e">
        <f>#REF!</f>
        <v>#REF!</v>
      </c>
      <c r="G69" s="107" t="e">
        <f>#REF!</f>
        <v>#REF!</v>
      </c>
      <c r="H69" s="107" t="e">
        <f>#REF!</f>
        <v>#REF!</v>
      </c>
      <c r="I69" s="107" t="e">
        <f>#REF!</f>
        <v>#REF!</v>
      </c>
      <c r="J69" s="107" t="e">
        <f>#REF!</f>
        <v>#REF!</v>
      </c>
      <c r="K69" s="107" t="e">
        <f>#REF!</f>
        <v>#REF!</v>
      </c>
      <c r="L69" s="107" t="e">
        <f>#REF!</f>
        <v>#REF!</v>
      </c>
      <c r="M69" s="107" t="e">
        <f>#REF!</f>
        <v>#REF!</v>
      </c>
      <c r="N69" s="107" t="e">
        <f>#REF!</f>
        <v>#REF!</v>
      </c>
      <c r="O69" s="107" t="e">
        <f>#REF!</f>
        <v>#REF!</v>
      </c>
      <c r="P69" s="107" t="e">
        <f>#REF!</f>
        <v>#REF!</v>
      </c>
      <c r="Q69" s="107" t="e">
        <f>#REF!</f>
        <v>#REF!</v>
      </c>
      <c r="R69" s="107" t="e">
        <f>#REF!</f>
        <v>#REF!</v>
      </c>
      <c r="S69" s="107" t="e">
        <f>#REF!</f>
        <v>#REF!</v>
      </c>
      <c r="T69" s="107" t="e">
        <f>#REF!</f>
        <v>#REF!</v>
      </c>
      <c r="U69" s="108" t="e">
        <f>#REF!</f>
        <v>#REF!</v>
      </c>
      <c r="V69" s="108" t="e">
        <f>#REF!</f>
        <v>#REF!</v>
      </c>
      <c r="W69" s="108" t="e">
        <f>#REF!</f>
        <v>#REF!</v>
      </c>
      <c r="X69" s="108" t="e">
        <f>#REF!</f>
        <v>#REF!</v>
      </c>
      <c r="Y69" s="108" t="e">
        <f>#REF!</f>
        <v>#REF!</v>
      </c>
      <c r="Z69" s="108" t="e">
        <f>#REF!</f>
        <v>#REF!</v>
      </c>
      <c r="AA69" s="108" t="e">
        <f>#REF!</f>
        <v>#REF!</v>
      </c>
      <c r="AB69" s="286" t="e">
        <f>#REF!</f>
        <v>#REF!</v>
      </c>
      <c r="AC69" s="286" t="e">
        <f>#REF!</f>
        <v>#REF!</v>
      </c>
      <c r="AD69" s="286" t="e">
        <f>#REF!</f>
        <v>#REF!</v>
      </c>
      <c r="AE69" s="286" t="e">
        <f>#REF!</f>
        <v>#REF!</v>
      </c>
      <c r="AF69" s="286" t="e">
        <f>#REF!</f>
        <v>#REF!</v>
      </c>
      <c r="AG69" s="286" t="e">
        <f>#REF!</f>
        <v>#REF!</v>
      </c>
      <c r="AH69" s="286" t="e">
        <f>#REF!</f>
        <v>#REF!</v>
      </c>
      <c r="AI69" s="286" t="e">
        <f>#REF!</f>
        <v>#REF!</v>
      </c>
      <c r="AJ69" s="286" t="e">
        <f>#REF!</f>
        <v>#REF!</v>
      </c>
      <c r="AK69" s="286" t="e">
        <f>#REF!</f>
        <v>#REF!</v>
      </c>
      <c r="AL69" s="286" t="e">
        <f>#REF!</f>
        <v>#REF!</v>
      </c>
      <c r="AM69" s="286" t="e">
        <f>#REF!</f>
        <v>#REF!</v>
      </c>
      <c r="AN69" s="286" t="e">
        <f>#REF!</f>
        <v>#REF!</v>
      </c>
      <c r="AO69" s="286" t="e">
        <f>#REF!</f>
        <v>#REF!</v>
      </c>
      <c r="AP69" s="286" t="e">
        <f>#REF!</f>
        <v>#REF!</v>
      </c>
      <c r="AQ69" s="286" t="e">
        <f>#REF!</f>
        <v>#REF!</v>
      </c>
      <c r="AR69" s="286" t="e">
        <f>#REF!</f>
        <v>#REF!</v>
      </c>
      <c r="AS69" s="242" t="e">
        <f>#REF!</f>
        <v>#REF!</v>
      </c>
    </row>
    <row r="70" spans="1:45" x14ac:dyDescent="0.25">
      <c r="A70" s="104" t="s">
        <v>11</v>
      </c>
      <c r="B70" s="105" t="s">
        <v>12</v>
      </c>
      <c r="C70" s="106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8"/>
      <c r="V70" s="108"/>
      <c r="W70" s="108"/>
      <c r="X70" s="108"/>
      <c r="Y70" s="108"/>
      <c r="Z70" s="108"/>
      <c r="AA70" s="108"/>
      <c r="AB70" s="286"/>
      <c r="AC70" s="286"/>
      <c r="AD70" s="286"/>
      <c r="AE70" s="286"/>
      <c r="AF70" s="286"/>
      <c r="AG70" s="286"/>
      <c r="AH70" s="286"/>
      <c r="AI70" s="286"/>
      <c r="AJ70" s="286"/>
      <c r="AK70" s="286"/>
      <c r="AL70" s="286"/>
      <c r="AM70" s="286"/>
      <c r="AN70" s="286"/>
      <c r="AO70" s="286"/>
      <c r="AP70" s="286"/>
      <c r="AQ70" s="286"/>
      <c r="AR70" s="286"/>
      <c r="AS70" s="242"/>
    </row>
    <row r="71" spans="1:45" x14ac:dyDescent="0.25">
      <c r="A71" s="101"/>
      <c r="B71" s="102" t="s">
        <v>13</v>
      </c>
      <c r="C71" s="109"/>
      <c r="D71" s="107" t="e">
        <f>#REF!</f>
        <v>#REF!</v>
      </c>
      <c r="E71" s="107" t="e">
        <f>#REF!</f>
        <v>#REF!</v>
      </c>
      <c r="F71" s="107" t="e">
        <f>#REF!</f>
        <v>#REF!</v>
      </c>
      <c r="G71" s="107" t="e">
        <f>#REF!</f>
        <v>#REF!</v>
      </c>
      <c r="H71" s="107" t="e">
        <f>#REF!</f>
        <v>#REF!</v>
      </c>
      <c r="I71" s="107" t="e">
        <f>#REF!</f>
        <v>#REF!</v>
      </c>
      <c r="J71" s="107" t="e">
        <f>#REF!</f>
        <v>#REF!</v>
      </c>
      <c r="K71" s="107" t="e">
        <f>#REF!</f>
        <v>#REF!</v>
      </c>
      <c r="L71" s="107" t="e">
        <f>#REF!</f>
        <v>#REF!</v>
      </c>
      <c r="M71" s="107" t="e">
        <f>#REF!</f>
        <v>#REF!</v>
      </c>
      <c r="N71" s="107" t="e">
        <f>#REF!</f>
        <v>#REF!</v>
      </c>
      <c r="O71" s="107" t="e">
        <f>#REF!</f>
        <v>#REF!</v>
      </c>
      <c r="P71" s="107" t="e">
        <f>#REF!</f>
        <v>#REF!</v>
      </c>
      <c r="Q71" s="107" t="e">
        <f>#REF!</f>
        <v>#REF!</v>
      </c>
      <c r="R71" s="107" t="e">
        <f>#REF!</f>
        <v>#REF!</v>
      </c>
      <c r="S71" s="107" t="e">
        <f>#REF!</f>
        <v>#REF!</v>
      </c>
      <c r="T71" s="107" t="e">
        <f>#REF!</f>
        <v>#REF!</v>
      </c>
      <c r="U71" s="108" t="e">
        <f>#REF!</f>
        <v>#REF!</v>
      </c>
      <c r="V71" s="108" t="e">
        <f>#REF!</f>
        <v>#REF!</v>
      </c>
      <c r="W71" s="108" t="e">
        <f>#REF!</f>
        <v>#REF!</v>
      </c>
      <c r="X71" s="108" t="e">
        <f>#REF!</f>
        <v>#REF!</v>
      </c>
      <c r="Y71" s="108" t="e">
        <f>#REF!</f>
        <v>#REF!</v>
      </c>
      <c r="Z71" s="108" t="e">
        <f>#REF!</f>
        <v>#REF!</v>
      </c>
      <c r="AA71" s="108" t="e">
        <f>#REF!</f>
        <v>#REF!</v>
      </c>
      <c r="AB71" s="288" t="e">
        <f>#REF!</f>
        <v>#REF!</v>
      </c>
      <c r="AC71" s="288" t="e">
        <f>#REF!</f>
        <v>#REF!</v>
      </c>
      <c r="AD71" s="288" t="e">
        <f>#REF!</f>
        <v>#REF!</v>
      </c>
      <c r="AE71" s="288" t="e">
        <f>#REF!</f>
        <v>#REF!</v>
      </c>
      <c r="AF71" s="288" t="e">
        <f>#REF!</f>
        <v>#REF!</v>
      </c>
      <c r="AG71" s="288" t="e">
        <f>#REF!</f>
        <v>#REF!</v>
      </c>
      <c r="AH71" s="288" t="e">
        <f>#REF!</f>
        <v>#REF!</v>
      </c>
      <c r="AI71" s="288" t="e">
        <f>#REF!</f>
        <v>#REF!</v>
      </c>
      <c r="AJ71" s="288" t="e">
        <f>#REF!</f>
        <v>#REF!</v>
      </c>
      <c r="AK71" s="288" t="e">
        <f>#REF!</f>
        <v>#REF!</v>
      </c>
      <c r="AL71" s="288" t="e">
        <f>#REF!</f>
        <v>#REF!</v>
      </c>
      <c r="AM71" s="288" t="e">
        <f>#REF!</f>
        <v>#REF!</v>
      </c>
      <c r="AN71" s="288" t="e">
        <f>#REF!</f>
        <v>#REF!</v>
      </c>
      <c r="AO71" s="288" t="e">
        <f>#REF!</f>
        <v>#REF!</v>
      </c>
      <c r="AP71" s="288" t="e">
        <f>#REF!</f>
        <v>#REF!</v>
      </c>
      <c r="AQ71" s="288" t="e">
        <f>#REF!</f>
        <v>#REF!</v>
      </c>
      <c r="AR71" s="288" t="e">
        <f>#REF!</f>
        <v>#REF!</v>
      </c>
      <c r="AS71" s="287"/>
    </row>
    <row r="72" spans="1:45" x14ac:dyDescent="0.25">
      <c r="A72" s="104" t="s">
        <v>14</v>
      </c>
      <c r="B72" s="110"/>
      <c r="C72" s="106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8"/>
      <c r="V72" s="108"/>
      <c r="W72" s="108"/>
      <c r="X72" s="108"/>
      <c r="Y72" s="108"/>
      <c r="Z72" s="108"/>
      <c r="AA72" s="108"/>
      <c r="AB72" s="286" t="e">
        <f>#REF!</f>
        <v>#REF!</v>
      </c>
      <c r="AC72" s="286" t="e">
        <f>#REF!</f>
        <v>#REF!</v>
      </c>
      <c r="AD72" s="286" t="e">
        <f>#REF!</f>
        <v>#REF!</v>
      </c>
      <c r="AE72" s="286" t="e">
        <f>#REF!</f>
        <v>#REF!</v>
      </c>
      <c r="AF72" s="286" t="e">
        <f>#REF!</f>
        <v>#REF!</v>
      </c>
      <c r="AG72" s="286" t="e">
        <f>#REF!</f>
        <v>#REF!</v>
      </c>
      <c r="AH72" s="286" t="e">
        <f>#REF!</f>
        <v>#REF!</v>
      </c>
      <c r="AI72" s="286" t="e">
        <f>#REF!</f>
        <v>#REF!</v>
      </c>
      <c r="AJ72" s="286" t="e">
        <f>#REF!</f>
        <v>#REF!</v>
      </c>
      <c r="AK72" s="286" t="e">
        <f>#REF!</f>
        <v>#REF!</v>
      </c>
      <c r="AL72" s="286" t="e">
        <f>#REF!</f>
        <v>#REF!</v>
      </c>
      <c r="AM72" s="286" t="e">
        <f>#REF!</f>
        <v>#REF!</v>
      </c>
      <c r="AN72" s="286" t="e">
        <f>#REF!</f>
        <v>#REF!</v>
      </c>
      <c r="AO72" s="286" t="e">
        <f>#REF!</f>
        <v>#REF!</v>
      </c>
      <c r="AP72" s="286" t="e">
        <f>#REF!</f>
        <v>#REF!</v>
      </c>
      <c r="AQ72" s="286" t="e">
        <f>#REF!</f>
        <v>#REF!</v>
      </c>
      <c r="AR72" s="286" t="e">
        <f>#REF!</f>
        <v>#REF!</v>
      </c>
      <c r="AS72" s="286" t="e">
        <f>#REF!</f>
        <v>#REF!</v>
      </c>
    </row>
    <row r="73" spans="1:45" x14ac:dyDescent="0.25">
      <c r="A73" s="101" t="s">
        <v>21</v>
      </c>
      <c r="B73" s="102" t="s">
        <v>32</v>
      </c>
      <c r="C73" s="102"/>
      <c r="D73" s="103" t="e">
        <f>#REF!</f>
        <v>#REF!</v>
      </c>
      <c r="E73" s="103" t="e">
        <f>#REF!</f>
        <v>#REF!</v>
      </c>
      <c r="F73" s="103" t="e">
        <f>#REF!</f>
        <v>#REF!</v>
      </c>
      <c r="G73" s="103" t="e">
        <f>#REF!</f>
        <v>#REF!</v>
      </c>
      <c r="H73" s="103" t="e">
        <f>#REF!</f>
        <v>#REF!</v>
      </c>
      <c r="I73" s="103" t="e">
        <f>#REF!</f>
        <v>#REF!</v>
      </c>
      <c r="J73" s="103" t="e">
        <f>#REF!</f>
        <v>#REF!</v>
      </c>
      <c r="K73" s="103" t="e">
        <f>#REF!</f>
        <v>#REF!</v>
      </c>
      <c r="L73" s="103" t="e">
        <f>#REF!</f>
        <v>#REF!</v>
      </c>
      <c r="M73" s="103" t="e">
        <f>#REF!</f>
        <v>#REF!</v>
      </c>
      <c r="N73" s="103" t="e">
        <f>#REF!</f>
        <v>#REF!</v>
      </c>
      <c r="O73" s="103" t="e">
        <f>#REF!</f>
        <v>#REF!</v>
      </c>
      <c r="P73" s="103" t="e">
        <f>#REF!</f>
        <v>#REF!</v>
      </c>
      <c r="Q73" s="103" t="e">
        <f>#REF!</f>
        <v>#REF!</v>
      </c>
      <c r="R73" s="103" t="e">
        <f>#REF!</f>
        <v>#REF!</v>
      </c>
      <c r="S73" s="103" t="e">
        <f>#REF!</f>
        <v>#REF!</v>
      </c>
      <c r="T73" s="103" t="e">
        <f>#REF!</f>
        <v>#REF!</v>
      </c>
      <c r="U73" s="103" t="e">
        <f>#REF!</f>
        <v>#REF!</v>
      </c>
      <c r="V73" s="103" t="e">
        <f>#REF!</f>
        <v>#REF!</v>
      </c>
      <c r="W73" s="103" t="e">
        <f>#REF!</f>
        <v>#REF!</v>
      </c>
      <c r="X73" s="103" t="e">
        <f>#REF!</f>
        <v>#REF!</v>
      </c>
      <c r="Y73" s="103" t="e">
        <f>#REF!</f>
        <v>#REF!</v>
      </c>
      <c r="Z73" s="103" t="e">
        <f>#REF!</f>
        <v>#REF!</v>
      </c>
      <c r="AA73" s="103" t="e">
        <f>#REF!</f>
        <v>#REF!</v>
      </c>
      <c r="AB73" s="288" t="e">
        <f>#REF!</f>
        <v>#REF!</v>
      </c>
      <c r="AC73" s="288" t="e">
        <f>#REF!</f>
        <v>#REF!</v>
      </c>
      <c r="AD73" s="288" t="e">
        <f>#REF!</f>
        <v>#REF!</v>
      </c>
      <c r="AE73" s="288" t="e">
        <f>#REF!</f>
        <v>#REF!</v>
      </c>
      <c r="AF73" s="288" t="e">
        <f>#REF!</f>
        <v>#REF!</v>
      </c>
      <c r="AG73" s="288" t="e">
        <f>#REF!</f>
        <v>#REF!</v>
      </c>
      <c r="AH73" s="288" t="e">
        <f>#REF!</f>
        <v>#REF!</v>
      </c>
      <c r="AI73" s="288" t="e">
        <f>#REF!</f>
        <v>#REF!</v>
      </c>
      <c r="AJ73" s="288" t="e">
        <f>#REF!</f>
        <v>#REF!</v>
      </c>
      <c r="AK73" s="288" t="e">
        <f>#REF!</f>
        <v>#REF!</v>
      </c>
      <c r="AL73" s="288" t="e">
        <f>#REF!</f>
        <v>#REF!</v>
      </c>
      <c r="AM73" s="288" t="e">
        <f>#REF!</f>
        <v>#REF!</v>
      </c>
      <c r="AN73" s="288" t="e">
        <f>#REF!</f>
        <v>#REF!</v>
      </c>
      <c r="AO73" s="288" t="e">
        <f>#REF!</f>
        <v>#REF!</v>
      </c>
      <c r="AP73" s="288" t="e">
        <f>#REF!</f>
        <v>#REF!</v>
      </c>
      <c r="AQ73" s="288" t="e">
        <f>#REF!</f>
        <v>#REF!</v>
      </c>
      <c r="AR73" s="288" t="e">
        <f>#REF!</f>
        <v>#REF!</v>
      </c>
      <c r="AS73" s="242"/>
    </row>
    <row r="74" spans="1:45" x14ac:dyDescent="0.25">
      <c r="A74" s="101" t="s">
        <v>22</v>
      </c>
      <c r="B74" s="102" t="s">
        <v>33</v>
      </c>
      <c r="C74" s="102"/>
      <c r="D74" s="107" t="e">
        <f>#REF!</f>
        <v>#REF!</v>
      </c>
      <c r="E74" s="107" t="e">
        <f>#REF!</f>
        <v>#REF!</v>
      </c>
      <c r="F74" s="107" t="e">
        <f>#REF!</f>
        <v>#REF!</v>
      </c>
      <c r="G74" s="107" t="e">
        <f>#REF!</f>
        <v>#REF!</v>
      </c>
      <c r="H74" s="107" t="e">
        <f>#REF!</f>
        <v>#REF!</v>
      </c>
      <c r="I74" s="107" t="e">
        <f>#REF!</f>
        <v>#REF!</v>
      </c>
      <c r="J74" s="107" t="e">
        <f>#REF!</f>
        <v>#REF!</v>
      </c>
      <c r="K74" s="107" t="e">
        <f>#REF!</f>
        <v>#REF!</v>
      </c>
      <c r="L74" s="107" t="e">
        <f>#REF!</f>
        <v>#REF!</v>
      </c>
      <c r="M74" s="107" t="e">
        <f>#REF!</f>
        <v>#REF!</v>
      </c>
      <c r="N74" s="107" t="e">
        <f>#REF!</f>
        <v>#REF!</v>
      </c>
      <c r="O74" s="107" t="e">
        <f>#REF!</f>
        <v>#REF!</v>
      </c>
      <c r="P74" s="107" t="e">
        <f>#REF!</f>
        <v>#REF!</v>
      </c>
      <c r="Q74" s="107" t="e">
        <f>#REF!</f>
        <v>#REF!</v>
      </c>
      <c r="R74" s="107" t="e">
        <f>#REF!</f>
        <v>#REF!</v>
      </c>
      <c r="S74" s="107" t="e">
        <f>#REF!</f>
        <v>#REF!</v>
      </c>
      <c r="T74" s="107" t="e">
        <f>#REF!</f>
        <v>#REF!</v>
      </c>
      <c r="U74" s="108" t="e">
        <f>#REF!</f>
        <v>#REF!</v>
      </c>
      <c r="V74" s="108" t="e">
        <f>#REF!</f>
        <v>#REF!</v>
      </c>
      <c r="W74" s="108" t="e">
        <f>#REF!</f>
        <v>#REF!</v>
      </c>
      <c r="X74" s="108" t="e">
        <f>#REF!</f>
        <v>#REF!</v>
      </c>
      <c r="Y74" s="108" t="e">
        <f>#REF!</f>
        <v>#REF!</v>
      </c>
      <c r="Z74" s="108" t="e">
        <f>#REF!</f>
        <v>#REF!</v>
      </c>
      <c r="AA74" s="108" t="e">
        <f>#REF!</f>
        <v>#REF!</v>
      </c>
      <c r="AB74" s="288" t="e">
        <f>#REF!</f>
        <v>#REF!</v>
      </c>
      <c r="AC74" s="288" t="e">
        <f>#REF!</f>
        <v>#REF!</v>
      </c>
      <c r="AD74" s="288" t="e">
        <f>#REF!</f>
        <v>#REF!</v>
      </c>
      <c r="AE74" s="288" t="e">
        <f>#REF!</f>
        <v>#REF!</v>
      </c>
      <c r="AF74" s="288" t="e">
        <f>#REF!</f>
        <v>#REF!</v>
      </c>
      <c r="AG74" s="288" t="e">
        <f>#REF!</f>
        <v>#REF!</v>
      </c>
      <c r="AH74" s="288" t="e">
        <f>#REF!</f>
        <v>#REF!</v>
      </c>
      <c r="AI74" s="288" t="e">
        <f>#REF!</f>
        <v>#REF!</v>
      </c>
      <c r="AJ74" s="288" t="e">
        <f>#REF!</f>
        <v>#REF!</v>
      </c>
      <c r="AK74" s="288" t="e">
        <f>#REF!</f>
        <v>#REF!</v>
      </c>
      <c r="AL74" s="288" t="e">
        <f>#REF!</f>
        <v>#REF!</v>
      </c>
      <c r="AM74" s="288" t="e">
        <f>#REF!</f>
        <v>#REF!</v>
      </c>
      <c r="AN74" s="288" t="e">
        <f>#REF!</f>
        <v>#REF!</v>
      </c>
      <c r="AO74" s="288" t="e">
        <f>#REF!</f>
        <v>#REF!</v>
      </c>
      <c r="AP74" s="288" t="e">
        <f>#REF!</f>
        <v>#REF!</v>
      </c>
      <c r="AQ74" s="288" t="e">
        <f>#REF!</f>
        <v>#REF!</v>
      </c>
      <c r="AR74" s="288" t="e">
        <f>#REF!</f>
        <v>#REF!</v>
      </c>
    </row>
    <row r="75" spans="1:45" x14ac:dyDescent="0.25">
      <c r="A75" s="111" t="s">
        <v>34</v>
      </c>
      <c r="B75" s="112" t="s">
        <v>35</v>
      </c>
      <c r="C75" s="112"/>
      <c r="D75" s="107" t="e">
        <f>#REF!</f>
        <v>#REF!</v>
      </c>
      <c r="E75" s="107" t="e">
        <f>#REF!</f>
        <v>#REF!</v>
      </c>
      <c r="F75" s="107" t="e">
        <f>#REF!</f>
        <v>#REF!</v>
      </c>
      <c r="G75" s="107" t="e">
        <f>#REF!</f>
        <v>#REF!</v>
      </c>
      <c r="H75" s="107" t="e">
        <f>#REF!</f>
        <v>#REF!</v>
      </c>
      <c r="I75" s="107" t="e">
        <f>#REF!</f>
        <v>#REF!</v>
      </c>
      <c r="J75" s="107" t="e">
        <f>#REF!</f>
        <v>#REF!</v>
      </c>
      <c r="K75" s="107" t="e">
        <f>#REF!</f>
        <v>#REF!</v>
      </c>
      <c r="L75" s="107" t="e">
        <f>#REF!</f>
        <v>#REF!</v>
      </c>
      <c r="M75" s="107" t="e">
        <f>#REF!</f>
        <v>#REF!</v>
      </c>
      <c r="N75" s="107" t="e">
        <f>#REF!</f>
        <v>#REF!</v>
      </c>
      <c r="O75" s="107" t="e">
        <f>#REF!</f>
        <v>#REF!</v>
      </c>
      <c r="P75" s="107" t="e">
        <f>#REF!</f>
        <v>#REF!</v>
      </c>
      <c r="Q75" s="107" t="e">
        <f>#REF!</f>
        <v>#REF!</v>
      </c>
      <c r="R75" s="107" t="e">
        <f>#REF!</f>
        <v>#REF!</v>
      </c>
      <c r="S75" s="107" t="e">
        <f>#REF!</f>
        <v>#REF!</v>
      </c>
      <c r="T75" s="107" t="e">
        <f>#REF!</f>
        <v>#REF!</v>
      </c>
      <c r="U75" s="108" t="e">
        <f>#REF!</f>
        <v>#REF!</v>
      </c>
      <c r="V75" s="108" t="e">
        <f>#REF!</f>
        <v>#REF!</v>
      </c>
      <c r="W75" s="108" t="e">
        <f>#REF!</f>
        <v>#REF!</v>
      </c>
      <c r="X75" s="108" t="e">
        <f>#REF!</f>
        <v>#REF!</v>
      </c>
      <c r="Y75" s="108" t="e">
        <f>#REF!</f>
        <v>#REF!</v>
      </c>
      <c r="Z75" s="108" t="e">
        <f>#REF!</f>
        <v>#REF!</v>
      </c>
      <c r="AA75" s="108" t="e">
        <f>#REF!</f>
        <v>#REF!</v>
      </c>
      <c r="AB75" s="288" t="e">
        <f>#REF!</f>
        <v>#REF!</v>
      </c>
      <c r="AC75" s="288" t="e">
        <f>#REF!</f>
        <v>#REF!</v>
      </c>
      <c r="AD75" s="288" t="e">
        <f>#REF!</f>
        <v>#REF!</v>
      </c>
      <c r="AE75" s="288" t="e">
        <f>#REF!</f>
        <v>#REF!</v>
      </c>
      <c r="AF75" s="288" t="e">
        <f>#REF!</f>
        <v>#REF!</v>
      </c>
      <c r="AG75" s="288" t="e">
        <f>#REF!</f>
        <v>#REF!</v>
      </c>
      <c r="AH75" s="288" t="e">
        <f>#REF!</f>
        <v>#REF!</v>
      </c>
      <c r="AI75" s="288" t="e">
        <f>#REF!</f>
        <v>#REF!</v>
      </c>
      <c r="AJ75" s="288" t="e">
        <f>#REF!</f>
        <v>#REF!</v>
      </c>
      <c r="AK75" s="288" t="e">
        <f>#REF!</f>
        <v>#REF!</v>
      </c>
      <c r="AL75" s="288" t="e">
        <f>#REF!</f>
        <v>#REF!</v>
      </c>
      <c r="AM75" s="288" t="e">
        <f>#REF!</f>
        <v>#REF!</v>
      </c>
      <c r="AN75" s="288" t="e">
        <f>#REF!</f>
        <v>#REF!</v>
      </c>
      <c r="AO75" s="288" t="e">
        <f>#REF!</f>
        <v>#REF!</v>
      </c>
      <c r="AP75" s="288" t="e">
        <f>#REF!</f>
        <v>#REF!</v>
      </c>
      <c r="AQ75" s="288" t="e">
        <f>#REF!</f>
        <v>#REF!</v>
      </c>
      <c r="AR75" s="288" t="e">
        <f>#REF!</f>
        <v>#REF!</v>
      </c>
    </row>
    <row r="76" spans="1:45" x14ac:dyDescent="0.25">
      <c r="A76" s="111" t="s">
        <v>23</v>
      </c>
      <c r="B76" s="112"/>
      <c r="C76" s="112"/>
      <c r="D76" s="113" t="e">
        <f>#REF!</f>
        <v>#REF!</v>
      </c>
      <c r="E76" s="113" t="e">
        <f>#REF!</f>
        <v>#REF!</v>
      </c>
      <c r="F76" s="113" t="e">
        <f>#REF!</f>
        <v>#REF!</v>
      </c>
      <c r="G76" s="113" t="e">
        <f>#REF!</f>
        <v>#REF!</v>
      </c>
      <c r="H76" s="113" t="e">
        <f>#REF!</f>
        <v>#REF!</v>
      </c>
      <c r="I76" s="113" t="e">
        <f>#REF!</f>
        <v>#REF!</v>
      </c>
      <c r="J76" s="113" t="e">
        <f>#REF!</f>
        <v>#REF!</v>
      </c>
      <c r="K76" s="113" t="e">
        <f>#REF!</f>
        <v>#REF!</v>
      </c>
      <c r="L76" s="113" t="e">
        <f>#REF!</f>
        <v>#REF!</v>
      </c>
      <c r="M76" s="113" t="e">
        <f>#REF!</f>
        <v>#REF!</v>
      </c>
      <c r="N76" s="113" t="e">
        <f>#REF!</f>
        <v>#REF!</v>
      </c>
      <c r="O76" s="113" t="e">
        <f>#REF!</f>
        <v>#REF!</v>
      </c>
      <c r="P76" s="113" t="e">
        <f>#REF!</f>
        <v>#REF!</v>
      </c>
      <c r="Q76" s="113" t="e">
        <f>#REF!</f>
        <v>#REF!</v>
      </c>
      <c r="R76" s="113" t="e">
        <f>#REF!</f>
        <v>#REF!</v>
      </c>
      <c r="S76" s="113" t="e">
        <f>#REF!</f>
        <v>#REF!</v>
      </c>
      <c r="T76" s="113" t="e">
        <f>#REF!</f>
        <v>#REF!</v>
      </c>
      <c r="U76" s="114" t="e">
        <f>#REF!</f>
        <v>#REF!</v>
      </c>
      <c r="V76" s="114" t="e">
        <f>#REF!</f>
        <v>#REF!</v>
      </c>
      <c r="W76" s="114" t="e">
        <f>#REF!</f>
        <v>#REF!</v>
      </c>
      <c r="X76" s="114" t="e">
        <f>#REF!</f>
        <v>#REF!</v>
      </c>
      <c r="Y76" s="114" t="e">
        <f>#REF!</f>
        <v>#REF!</v>
      </c>
      <c r="Z76" s="114" t="e">
        <f>#REF!</f>
        <v>#REF!</v>
      </c>
      <c r="AA76" s="114" t="e">
        <f>#REF!</f>
        <v>#REF!</v>
      </c>
      <c r="AB76" s="288" t="e">
        <f>#REF!</f>
        <v>#REF!</v>
      </c>
      <c r="AC76" s="288" t="e">
        <f>#REF!</f>
        <v>#REF!</v>
      </c>
      <c r="AD76" s="288" t="e">
        <f>#REF!</f>
        <v>#REF!</v>
      </c>
      <c r="AE76" s="288" t="e">
        <f>#REF!</f>
        <v>#REF!</v>
      </c>
      <c r="AF76" s="288" t="e">
        <f>#REF!</f>
        <v>#REF!</v>
      </c>
      <c r="AG76" s="288" t="e">
        <f>#REF!</f>
        <v>#REF!</v>
      </c>
      <c r="AH76" s="288" t="e">
        <f>#REF!</f>
        <v>#REF!</v>
      </c>
      <c r="AI76" s="288" t="e">
        <f>#REF!</f>
        <v>#REF!</v>
      </c>
      <c r="AJ76" s="288" t="e">
        <f>#REF!</f>
        <v>#REF!</v>
      </c>
      <c r="AK76" s="288" t="e">
        <f>#REF!</f>
        <v>#REF!</v>
      </c>
      <c r="AL76" s="288" t="e">
        <f>#REF!</f>
        <v>#REF!</v>
      </c>
      <c r="AM76" s="288" t="e">
        <f>#REF!</f>
        <v>#REF!</v>
      </c>
      <c r="AN76" s="288" t="e">
        <f>#REF!</f>
        <v>#REF!</v>
      </c>
      <c r="AO76" s="288" t="e">
        <f>#REF!</f>
        <v>#REF!</v>
      </c>
      <c r="AP76" s="288" t="e">
        <f>#REF!</f>
        <v>#REF!</v>
      </c>
      <c r="AQ76" s="288" t="e">
        <f>#REF!</f>
        <v>#REF!</v>
      </c>
      <c r="AR76" s="288" t="e">
        <f>#REF!</f>
        <v>#REF!</v>
      </c>
    </row>
    <row r="77" spans="1:45" x14ac:dyDescent="0.25">
      <c r="A77" s="101" t="s">
        <v>25</v>
      </c>
      <c r="B77" s="102"/>
      <c r="C77" s="102"/>
      <c r="D77" s="107" t="e">
        <f>#REF!</f>
        <v>#REF!</v>
      </c>
      <c r="E77" s="107" t="e">
        <f>#REF!</f>
        <v>#REF!</v>
      </c>
      <c r="F77" s="107" t="e">
        <f>#REF!</f>
        <v>#REF!</v>
      </c>
      <c r="G77" s="107" t="e">
        <f>#REF!</f>
        <v>#REF!</v>
      </c>
      <c r="H77" s="107" t="e">
        <f>#REF!</f>
        <v>#REF!</v>
      </c>
      <c r="I77" s="107" t="e">
        <f>#REF!</f>
        <v>#REF!</v>
      </c>
      <c r="J77" s="107" t="e">
        <f>#REF!</f>
        <v>#REF!</v>
      </c>
      <c r="K77" s="107" t="e">
        <f>#REF!</f>
        <v>#REF!</v>
      </c>
      <c r="L77" s="107" t="e">
        <f>#REF!</f>
        <v>#REF!</v>
      </c>
      <c r="M77" s="107" t="e">
        <f>#REF!</f>
        <v>#REF!</v>
      </c>
      <c r="N77" s="107" t="e">
        <f>#REF!</f>
        <v>#REF!</v>
      </c>
      <c r="O77" s="107" t="e">
        <f>#REF!</f>
        <v>#REF!</v>
      </c>
      <c r="P77" s="107" t="e">
        <f>#REF!</f>
        <v>#REF!</v>
      </c>
      <c r="Q77" s="107" t="e">
        <f>#REF!</f>
        <v>#REF!</v>
      </c>
      <c r="R77" s="107" t="e">
        <f>#REF!</f>
        <v>#REF!</v>
      </c>
      <c r="S77" s="107" t="e">
        <f>#REF!</f>
        <v>#REF!</v>
      </c>
      <c r="T77" s="107" t="e">
        <f>#REF!</f>
        <v>#REF!</v>
      </c>
      <c r="U77" s="108" t="e">
        <f>#REF!</f>
        <v>#REF!</v>
      </c>
      <c r="V77" s="108" t="e">
        <f>#REF!</f>
        <v>#REF!</v>
      </c>
      <c r="W77" s="108" t="e">
        <f>#REF!</f>
        <v>#REF!</v>
      </c>
      <c r="X77" s="108" t="e">
        <f>#REF!</f>
        <v>#REF!</v>
      </c>
      <c r="Y77" s="108" t="e">
        <f>#REF!</f>
        <v>#REF!</v>
      </c>
      <c r="Z77" s="108" t="e">
        <f>#REF!</f>
        <v>#REF!</v>
      </c>
      <c r="AA77" s="108" t="e">
        <f>#REF!</f>
        <v>#REF!</v>
      </c>
      <c r="AB77" s="288" t="e">
        <f>#REF!</f>
        <v>#REF!</v>
      </c>
      <c r="AC77" s="288" t="e">
        <f>#REF!</f>
        <v>#REF!</v>
      </c>
      <c r="AD77" s="288" t="e">
        <f>#REF!</f>
        <v>#REF!</v>
      </c>
      <c r="AE77" s="288" t="e">
        <f>#REF!</f>
        <v>#REF!</v>
      </c>
      <c r="AF77" s="288" t="e">
        <f>#REF!</f>
        <v>#REF!</v>
      </c>
      <c r="AG77" s="288" t="e">
        <f>#REF!</f>
        <v>#REF!</v>
      </c>
      <c r="AH77" s="288" t="e">
        <f>#REF!</f>
        <v>#REF!</v>
      </c>
      <c r="AI77" s="288" t="e">
        <f>#REF!</f>
        <v>#REF!</v>
      </c>
      <c r="AJ77" s="288" t="e">
        <f>#REF!</f>
        <v>#REF!</v>
      </c>
      <c r="AK77" s="288" t="e">
        <f>#REF!</f>
        <v>#REF!</v>
      </c>
      <c r="AL77" s="288" t="e">
        <f>#REF!</f>
        <v>#REF!</v>
      </c>
      <c r="AM77" s="288" t="e">
        <f>#REF!</f>
        <v>#REF!</v>
      </c>
      <c r="AN77" s="288" t="e">
        <f>#REF!</f>
        <v>#REF!</v>
      </c>
      <c r="AO77" s="288" t="e">
        <f>#REF!</f>
        <v>#REF!</v>
      </c>
      <c r="AP77" s="288" t="e">
        <f>#REF!</f>
        <v>#REF!</v>
      </c>
      <c r="AQ77" s="288" t="e">
        <f>#REF!</f>
        <v>#REF!</v>
      </c>
      <c r="AR77" s="288" t="e">
        <f>#REF!</f>
        <v>#REF!</v>
      </c>
    </row>
    <row r="79" spans="1:45" s="115" customFormat="1" ht="12.75" x14ac:dyDescent="0.2">
      <c r="A79" s="115" t="s">
        <v>28</v>
      </c>
      <c r="D79" s="116" t="e">
        <f t="shared" ref="D79:Q79" si="0">SUM(D68:D77)</f>
        <v>#REF!</v>
      </c>
      <c r="E79" s="116" t="e">
        <f t="shared" si="0"/>
        <v>#REF!</v>
      </c>
      <c r="F79" s="116" t="e">
        <f t="shared" si="0"/>
        <v>#REF!</v>
      </c>
      <c r="G79" s="116" t="e">
        <f t="shared" si="0"/>
        <v>#REF!</v>
      </c>
      <c r="H79" s="116" t="e">
        <f t="shared" si="0"/>
        <v>#REF!</v>
      </c>
      <c r="I79" s="116" t="e">
        <f t="shared" si="0"/>
        <v>#REF!</v>
      </c>
      <c r="J79" s="116" t="e">
        <f t="shared" si="0"/>
        <v>#REF!</v>
      </c>
      <c r="K79" s="116" t="e">
        <f t="shared" si="0"/>
        <v>#REF!</v>
      </c>
      <c r="L79" s="116" t="e">
        <f t="shared" si="0"/>
        <v>#REF!</v>
      </c>
      <c r="M79" s="116" t="e">
        <f t="shared" si="0"/>
        <v>#REF!</v>
      </c>
      <c r="N79" s="116" t="e">
        <f t="shared" si="0"/>
        <v>#REF!</v>
      </c>
      <c r="O79" s="116" t="e">
        <f t="shared" si="0"/>
        <v>#REF!</v>
      </c>
      <c r="P79" s="116" t="e">
        <f t="shared" si="0"/>
        <v>#REF!</v>
      </c>
      <c r="Q79" s="116" t="e">
        <f t="shared" si="0"/>
        <v>#REF!</v>
      </c>
      <c r="R79" s="116" t="e">
        <f>SUM(R68:R77)</f>
        <v>#REF!</v>
      </c>
      <c r="S79" s="116" t="e">
        <f t="shared" ref="S79:AR79" si="1">SUM(S68:S77)</f>
        <v>#REF!</v>
      </c>
      <c r="T79" s="116" t="e">
        <f t="shared" si="1"/>
        <v>#REF!</v>
      </c>
      <c r="U79" s="116" t="e">
        <f t="shared" si="1"/>
        <v>#REF!</v>
      </c>
      <c r="V79" s="116" t="e">
        <f t="shared" si="1"/>
        <v>#REF!</v>
      </c>
      <c r="W79" s="116" t="e">
        <f t="shared" si="1"/>
        <v>#REF!</v>
      </c>
      <c r="X79" s="116" t="e">
        <f t="shared" si="1"/>
        <v>#REF!</v>
      </c>
      <c r="Y79" s="116" t="e">
        <f t="shared" si="1"/>
        <v>#REF!</v>
      </c>
      <c r="Z79" s="116" t="e">
        <f t="shared" si="1"/>
        <v>#REF!</v>
      </c>
      <c r="AA79" s="116" t="e">
        <f t="shared" si="1"/>
        <v>#REF!</v>
      </c>
      <c r="AB79" s="116" t="e">
        <f t="shared" si="1"/>
        <v>#REF!</v>
      </c>
      <c r="AC79" s="116" t="e">
        <f t="shared" si="1"/>
        <v>#REF!</v>
      </c>
      <c r="AD79" s="116" t="e">
        <f t="shared" si="1"/>
        <v>#REF!</v>
      </c>
      <c r="AE79" s="116" t="e">
        <f t="shared" si="1"/>
        <v>#REF!</v>
      </c>
      <c r="AF79" s="116" t="e">
        <f t="shared" si="1"/>
        <v>#REF!</v>
      </c>
      <c r="AG79" s="116" t="e">
        <f t="shared" si="1"/>
        <v>#REF!</v>
      </c>
      <c r="AH79" s="116" t="e">
        <f t="shared" si="1"/>
        <v>#REF!</v>
      </c>
      <c r="AI79" s="116" t="e">
        <f t="shared" si="1"/>
        <v>#REF!</v>
      </c>
      <c r="AJ79" s="116" t="e">
        <f t="shared" si="1"/>
        <v>#REF!</v>
      </c>
      <c r="AK79" s="116" t="e">
        <f t="shared" si="1"/>
        <v>#REF!</v>
      </c>
      <c r="AL79" s="116" t="e">
        <f t="shared" si="1"/>
        <v>#REF!</v>
      </c>
      <c r="AM79" s="116" t="e">
        <f t="shared" si="1"/>
        <v>#REF!</v>
      </c>
      <c r="AN79" s="116" t="e">
        <f t="shared" si="1"/>
        <v>#REF!</v>
      </c>
      <c r="AO79" s="116" t="e">
        <f t="shared" si="1"/>
        <v>#REF!</v>
      </c>
      <c r="AP79" s="116" t="e">
        <f t="shared" si="1"/>
        <v>#REF!</v>
      </c>
      <c r="AQ79" s="116" t="e">
        <f t="shared" si="1"/>
        <v>#REF!</v>
      </c>
      <c r="AR79" s="116" t="e">
        <f t="shared" si="1"/>
        <v>#REF!</v>
      </c>
    </row>
    <row r="80" spans="1:45" s="122" customFormat="1" ht="12.75" x14ac:dyDescent="0.2">
      <c r="B80" s="122" t="s">
        <v>29</v>
      </c>
      <c r="D80" s="123" t="e">
        <f>D68+D69</f>
        <v>#REF!</v>
      </c>
      <c r="E80" s="123" t="e">
        <f t="shared" ref="E80:AR80" si="2">E68+E69</f>
        <v>#REF!</v>
      </c>
      <c r="F80" s="123" t="e">
        <f t="shared" si="2"/>
        <v>#REF!</v>
      </c>
      <c r="G80" s="123" t="e">
        <f t="shared" si="2"/>
        <v>#REF!</v>
      </c>
      <c r="H80" s="123" t="e">
        <f t="shared" si="2"/>
        <v>#REF!</v>
      </c>
      <c r="I80" s="123" t="e">
        <f t="shared" si="2"/>
        <v>#REF!</v>
      </c>
      <c r="J80" s="123" t="e">
        <f t="shared" si="2"/>
        <v>#REF!</v>
      </c>
      <c r="K80" s="123" t="e">
        <f t="shared" si="2"/>
        <v>#REF!</v>
      </c>
      <c r="L80" s="123" t="e">
        <f t="shared" si="2"/>
        <v>#REF!</v>
      </c>
      <c r="M80" s="123" t="e">
        <f t="shared" si="2"/>
        <v>#REF!</v>
      </c>
      <c r="N80" s="123" t="e">
        <f t="shared" si="2"/>
        <v>#REF!</v>
      </c>
      <c r="O80" s="123" t="e">
        <f t="shared" si="2"/>
        <v>#REF!</v>
      </c>
      <c r="P80" s="123" t="e">
        <f t="shared" si="2"/>
        <v>#REF!</v>
      </c>
      <c r="Q80" s="123" t="e">
        <f t="shared" si="2"/>
        <v>#REF!</v>
      </c>
      <c r="R80" s="123" t="e">
        <f t="shared" si="2"/>
        <v>#REF!</v>
      </c>
      <c r="S80" s="123" t="e">
        <f t="shared" si="2"/>
        <v>#REF!</v>
      </c>
      <c r="T80" s="123" t="e">
        <f t="shared" si="2"/>
        <v>#REF!</v>
      </c>
      <c r="U80" s="123" t="e">
        <f t="shared" si="2"/>
        <v>#REF!</v>
      </c>
      <c r="V80" s="123" t="e">
        <f t="shared" si="2"/>
        <v>#REF!</v>
      </c>
      <c r="W80" s="123" t="e">
        <f t="shared" si="2"/>
        <v>#REF!</v>
      </c>
      <c r="X80" s="123" t="e">
        <f t="shared" si="2"/>
        <v>#REF!</v>
      </c>
      <c r="Y80" s="123" t="e">
        <f t="shared" si="2"/>
        <v>#REF!</v>
      </c>
      <c r="Z80" s="123" t="e">
        <f t="shared" si="2"/>
        <v>#REF!</v>
      </c>
      <c r="AA80" s="123" t="e">
        <f t="shared" si="2"/>
        <v>#REF!</v>
      </c>
      <c r="AB80" s="123" t="e">
        <f t="shared" si="2"/>
        <v>#REF!</v>
      </c>
      <c r="AC80" s="123" t="e">
        <f t="shared" si="2"/>
        <v>#REF!</v>
      </c>
      <c r="AD80" s="123" t="e">
        <f t="shared" si="2"/>
        <v>#REF!</v>
      </c>
      <c r="AE80" s="123" t="e">
        <f t="shared" si="2"/>
        <v>#REF!</v>
      </c>
      <c r="AF80" s="123" t="e">
        <f t="shared" si="2"/>
        <v>#REF!</v>
      </c>
      <c r="AG80" s="123" t="e">
        <f t="shared" si="2"/>
        <v>#REF!</v>
      </c>
      <c r="AH80" s="123" t="e">
        <f t="shared" si="2"/>
        <v>#REF!</v>
      </c>
      <c r="AI80" s="123" t="e">
        <f t="shared" si="2"/>
        <v>#REF!</v>
      </c>
      <c r="AJ80" s="123" t="e">
        <f t="shared" si="2"/>
        <v>#REF!</v>
      </c>
      <c r="AK80" s="123" t="e">
        <f t="shared" si="2"/>
        <v>#REF!</v>
      </c>
      <c r="AL80" s="123" t="e">
        <f t="shared" si="2"/>
        <v>#REF!</v>
      </c>
      <c r="AM80" s="123" t="e">
        <f t="shared" si="2"/>
        <v>#REF!</v>
      </c>
      <c r="AN80" s="123" t="e">
        <f t="shared" si="2"/>
        <v>#REF!</v>
      </c>
      <c r="AO80" s="123" t="e">
        <f t="shared" si="2"/>
        <v>#REF!</v>
      </c>
      <c r="AP80" s="123" t="e">
        <f t="shared" si="2"/>
        <v>#REF!</v>
      </c>
      <c r="AQ80" s="123" t="e">
        <f t="shared" si="2"/>
        <v>#REF!</v>
      </c>
      <c r="AR80" s="123" t="e">
        <f t="shared" si="2"/>
        <v>#REF!</v>
      </c>
    </row>
    <row r="81" spans="1:46" s="117" customFormat="1" x14ac:dyDescent="0.25">
      <c r="A81" s="117" t="s">
        <v>30</v>
      </c>
      <c r="D81" s="118" t="e">
        <f t="shared" ref="D81:AD81" si="3">D61-D79</f>
        <v>#REF!</v>
      </c>
      <c r="E81" s="118" t="e">
        <f t="shared" si="3"/>
        <v>#REF!</v>
      </c>
      <c r="F81" s="118" t="e">
        <f t="shared" si="3"/>
        <v>#REF!</v>
      </c>
      <c r="G81" s="118" t="e">
        <f t="shared" si="3"/>
        <v>#REF!</v>
      </c>
      <c r="H81" s="118" t="e">
        <f t="shared" si="3"/>
        <v>#REF!</v>
      </c>
      <c r="I81" s="118" t="e">
        <f t="shared" si="3"/>
        <v>#REF!</v>
      </c>
      <c r="J81" s="118" t="e">
        <f t="shared" si="3"/>
        <v>#REF!</v>
      </c>
      <c r="K81" s="118" t="e">
        <f t="shared" si="3"/>
        <v>#REF!</v>
      </c>
      <c r="L81" s="118" t="e">
        <f t="shared" si="3"/>
        <v>#REF!</v>
      </c>
      <c r="M81" s="118" t="e">
        <f t="shared" si="3"/>
        <v>#REF!</v>
      </c>
      <c r="N81" s="118" t="e">
        <f t="shared" si="3"/>
        <v>#REF!</v>
      </c>
      <c r="O81" s="118" t="e">
        <f t="shared" si="3"/>
        <v>#REF!</v>
      </c>
      <c r="P81" s="118" t="e">
        <f t="shared" si="3"/>
        <v>#REF!</v>
      </c>
      <c r="Q81" s="118" t="e">
        <f t="shared" si="3"/>
        <v>#REF!</v>
      </c>
      <c r="R81" s="118" t="e">
        <f t="shared" si="3"/>
        <v>#REF!</v>
      </c>
      <c r="S81" s="118" t="e">
        <f t="shared" si="3"/>
        <v>#REF!</v>
      </c>
      <c r="T81" s="118" t="e">
        <f t="shared" si="3"/>
        <v>#REF!</v>
      </c>
      <c r="U81" s="118" t="e">
        <f t="shared" si="3"/>
        <v>#REF!</v>
      </c>
      <c r="V81" s="118" t="e">
        <f t="shared" si="3"/>
        <v>#REF!</v>
      </c>
      <c r="W81" s="118" t="e">
        <f t="shared" si="3"/>
        <v>#REF!</v>
      </c>
      <c r="X81" s="118" t="e">
        <f t="shared" si="3"/>
        <v>#REF!</v>
      </c>
      <c r="Y81" s="118" t="e">
        <f t="shared" si="3"/>
        <v>#REF!</v>
      </c>
      <c r="Z81" s="118" t="e">
        <f t="shared" si="3"/>
        <v>#REF!</v>
      </c>
      <c r="AA81" s="118" t="e">
        <f t="shared" si="3"/>
        <v>#REF!</v>
      </c>
      <c r="AB81" s="118" t="e">
        <f t="shared" si="3"/>
        <v>#REF!</v>
      </c>
      <c r="AC81" s="118" t="e">
        <f t="shared" si="3"/>
        <v>#REF!</v>
      </c>
      <c r="AD81" s="118" t="e">
        <f t="shared" si="3"/>
        <v>#REF!</v>
      </c>
      <c r="AE81" s="299" t="e">
        <f>AE61-AE79+AE86-AE85</f>
        <v>#REF!</v>
      </c>
      <c r="AF81" s="299" t="e">
        <f t="shared" ref="AF81:AR81" si="4">AF61-AF79+AF86-AF85</f>
        <v>#REF!</v>
      </c>
      <c r="AG81" s="299" t="e">
        <f t="shared" si="4"/>
        <v>#REF!</v>
      </c>
      <c r="AH81" s="299" t="e">
        <f t="shared" si="4"/>
        <v>#REF!</v>
      </c>
      <c r="AI81" s="299" t="e">
        <f t="shared" si="4"/>
        <v>#REF!</v>
      </c>
      <c r="AJ81" s="299" t="e">
        <f t="shared" si="4"/>
        <v>#REF!</v>
      </c>
      <c r="AK81" s="299" t="e">
        <f t="shared" si="4"/>
        <v>#REF!</v>
      </c>
      <c r="AL81" s="299" t="e">
        <f t="shared" si="4"/>
        <v>#REF!</v>
      </c>
      <c r="AM81" s="299" t="e">
        <f t="shared" si="4"/>
        <v>#REF!</v>
      </c>
      <c r="AN81" s="299" t="e">
        <f t="shared" si="4"/>
        <v>#REF!</v>
      </c>
      <c r="AO81" s="299" t="e">
        <f t="shared" si="4"/>
        <v>#REF!</v>
      </c>
      <c r="AP81" s="299" t="e">
        <f t="shared" si="4"/>
        <v>#REF!</v>
      </c>
      <c r="AQ81" s="299" t="e">
        <f t="shared" si="4"/>
        <v>#REF!</v>
      </c>
      <c r="AR81" s="299" t="e">
        <f t="shared" si="4"/>
        <v>#REF!</v>
      </c>
    </row>
    <row r="84" spans="1:46" x14ac:dyDescent="0.25">
      <c r="D84" s="125">
        <v>1990</v>
      </c>
      <c r="E84" s="125">
        <v>1991</v>
      </c>
      <c r="F84" s="125">
        <v>1992</v>
      </c>
      <c r="G84" s="125">
        <v>1993</v>
      </c>
      <c r="H84" s="125">
        <v>1994</v>
      </c>
      <c r="I84" s="125">
        <v>1995</v>
      </c>
      <c r="J84" s="125">
        <v>1996</v>
      </c>
      <c r="K84" s="125">
        <v>1997</v>
      </c>
      <c r="L84" s="125">
        <v>1998</v>
      </c>
      <c r="M84" s="125">
        <v>1999</v>
      </c>
      <c r="N84" s="125">
        <v>2000</v>
      </c>
      <c r="O84" s="125">
        <v>2001</v>
      </c>
      <c r="P84" s="125">
        <v>2002</v>
      </c>
      <c r="Q84" s="125">
        <v>2003</v>
      </c>
      <c r="R84" s="125">
        <v>2004</v>
      </c>
      <c r="S84" s="125">
        <v>2005</v>
      </c>
      <c r="T84" s="125">
        <v>2006</v>
      </c>
      <c r="U84" s="125">
        <v>2007</v>
      </c>
      <c r="V84" s="125">
        <v>2008</v>
      </c>
      <c r="W84" s="125">
        <v>2009</v>
      </c>
      <c r="X84" s="125">
        <v>2010</v>
      </c>
      <c r="Y84" s="125">
        <v>2011</v>
      </c>
      <c r="Z84" s="125">
        <v>2012</v>
      </c>
      <c r="AA84" s="125">
        <v>2013</v>
      </c>
      <c r="AB84" s="125">
        <v>2014</v>
      </c>
      <c r="AC84" s="125">
        <v>2015</v>
      </c>
      <c r="AD84" s="125">
        <v>2016</v>
      </c>
      <c r="AE84" s="231">
        <v>2017</v>
      </c>
      <c r="AF84" s="231">
        <v>2018</v>
      </c>
      <c r="AG84" s="231">
        <v>2019</v>
      </c>
      <c r="AH84" s="231">
        <v>2020</v>
      </c>
      <c r="AI84" s="231">
        <v>2021</v>
      </c>
      <c r="AJ84" s="231">
        <v>2022</v>
      </c>
      <c r="AK84" s="231">
        <v>2023</v>
      </c>
      <c r="AL84" s="231">
        <v>2024</v>
      </c>
      <c r="AM84" s="231">
        <v>2025</v>
      </c>
      <c r="AN84" s="231">
        <v>2026</v>
      </c>
      <c r="AO84" s="231">
        <v>2027</v>
      </c>
      <c r="AP84" s="231">
        <v>2028</v>
      </c>
      <c r="AQ84" s="231">
        <v>2029</v>
      </c>
      <c r="AR84" s="231">
        <v>2030</v>
      </c>
    </row>
    <row r="85" spans="1:46" x14ac:dyDescent="0.25">
      <c r="B85" s="125" t="s">
        <v>42</v>
      </c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4"/>
      <c r="W85" s="100"/>
      <c r="X85" s="100"/>
      <c r="Y85" s="100"/>
      <c r="Z85" s="100"/>
      <c r="AA85" s="100"/>
      <c r="AB85" s="100"/>
      <c r="AC85" s="14"/>
      <c r="AD85" s="100"/>
      <c r="AE85" s="298">
        <v>3702.7056217193604</v>
      </c>
      <c r="AF85" s="298">
        <v>3857.160400988465</v>
      </c>
      <c r="AG85" s="298">
        <v>4018.0581117990705</v>
      </c>
      <c r="AH85" s="298">
        <v>4185.6675148010254</v>
      </c>
      <c r="AI85" s="298">
        <v>5418.9285089990071</v>
      </c>
      <c r="AJ85" s="298">
        <v>7015.5563197040301</v>
      </c>
      <c r="AK85" s="298">
        <v>9082.6129913330078</v>
      </c>
      <c r="AL85" s="298">
        <v>7843.0640162810196</v>
      </c>
      <c r="AM85" s="298">
        <v>6772.6824012187844</v>
      </c>
      <c r="AN85" s="298">
        <v>5848.3810424804687</v>
      </c>
      <c r="AO85" s="298">
        <v>5231.3287890344573</v>
      </c>
      <c r="AP85" s="298">
        <v>4679.3806183623183</v>
      </c>
      <c r="AQ85" s="298">
        <v>4185.6675148010254</v>
      </c>
      <c r="AR85" s="298">
        <v>4185.6675148010254</v>
      </c>
    </row>
    <row r="86" spans="1:46" x14ac:dyDescent="0.25">
      <c r="B86" s="125"/>
      <c r="C86" s="126" t="s">
        <v>2</v>
      </c>
      <c r="D86" s="127">
        <v>25796.574325754555</v>
      </c>
      <c r="E86" s="127">
        <v>27426.230450673844</v>
      </c>
      <c r="F86" s="127">
        <v>27098.85789337413</v>
      </c>
      <c r="G86" s="127">
        <v>17978.030911613314</v>
      </c>
      <c r="H86" s="127">
        <v>15713.476545245641</v>
      </c>
      <c r="I86" s="127">
        <v>17902.015357600758</v>
      </c>
      <c r="J86" s="127">
        <v>20445.851589271588</v>
      </c>
      <c r="K86" s="127">
        <v>25965.652196798012</v>
      </c>
      <c r="L86" s="127">
        <v>34226.387561888543</v>
      </c>
      <c r="M86" s="127">
        <v>36173.389520998709</v>
      </c>
      <c r="N86" s="127">
        <v>43383.99773832268</v>
      </c>
      <c r="O86" s="127">
        <v>40821.893001603006</v>
      </c>
      <c r="P86" s="127">
        <v>40160.257292696297</v>
      </c>
      <c r="Q86" s="127">
        <v>40168.82504025587</v>
      </c>
      <c r="R86" s="127">
        <v>32377.518517011642</v>
      </c>
      <c r="S86" s="127">
        <v>34461.789223469736</v>
      </c>
      <c r="T86" s="127">
        <v>29890.073897883391</v>
      </c>
      <c r="U86" s="127">
        <v>32869.252958356468</v>
      </c>
      <c r="V86" s="127">
        <v>27393.72450426553</v>
      </c>
      <c r="W86" s="127">
        <v>14937.108924707692</v>
      </c>
      <c r="X86" s="127">
        <v>19802.272114057872</v>
      </c>
      <c r="Y86" s="127">
        <v>14218.29732669658</v>
      </c>
      <c r="Z86" s="127">
        <v>14154.796364649654</v>
      </c>
      <c r="AA86" s="127">
        <v>10890.218042777899</v>
      </c>
      <c r="AB86" s="291" t="e">
        <f>#REF!</f>
        <v>#REF!</v>
      </c>
      <c r="AC86" s="291" t="e">
        <f>#REF!</f>
        <v>#REF!</v>
      </c>
      <c r="AD86" s="291" t="e">
        <f>#REF!</f>
        <v>#REF!</v>
      </c>
      <c r="AE86" s="314">
        <f>('Electricity Sector Emissions'!BG154-'Electricity Sector Emissions'!$AE27)*1000</f>
        <v>6480.9229865727839</v>
      </c>
      <c r="AF86" s="314">
        <f>('Electricity Sector Emissions'!BH154-'Electricity Sector Emissions'!$AE27)*1000</f>
        <v>6480.9229865727839</v>
      </c>
      <c r="AG86" s="314">
        <f>('Electricity Sector Emissions'!BI154-'Electricity Sector Emissions'!$AE27)*1000</f>
        <v>6480.9229865727839</v>
      </c>
      <c r="AH86" s="314">
        <f>('Electricity Sector Emissions'!BJ154-'Electricity Sector Emissions'!$AE27)*1000</f>
        <v>6480.9229865727839</v>
      </c>
      <c r="AI86" s="230">
        <f>AH86</f>
        <v>6480.9229865727839</v>
      </c>
      <c r="AJ86" s="230">
        <f t="shared" ref="AJ86:AR86" si="5">AI86</f>
        <v>6480.9229865727839</v>
      </c>
      <c r="AK86" s="230">
        <f t="shared" si="5"/>
        <v>6480.9229865727839</v>
      </c>
      <c r="AL86" s="230">
        <f t="shared" si="5"/>
        <v>6480.9229865727839</v>
      </c>
      <c r="AM86" s="230">
        <f t="shared" si="5"/>
        <v>6480.9229865727839</v>
      </c>
      <c r="AN86" s="230">
        <f t="shared" si="5"/>
        <v>6480.9229865727839</v>
      </c>
      <c r="AO86" s="230">
        <f t="shared" si="5"/>
        <v>6480.9229865727839</v>
      </c>
      <c r="AP86" s="230">
        <f t="shared" si="5"/>
        <v>6480.9229865727839</v>
      </c>
      <c r="AQ86" s="230">
        <f t="shared" si="5"/>
        <v>6480.9229865727839</v>
      </c>
      <c r="AR86" s="230">
        <f t="shared" si="5"/>
        <v>6480.9229865727839</v>
      </c>
      <c r="AT86" s="100"/>
    </row>
    <row r="87" spans="1:46" x14ac:dyDescent="0.25">
      <c r="B87" s="125"/>
      <c r="C87" s="128" t="s">
        <v>36</v>
      </c>
      <c r="D87" s="129">
        <v>64175.743590201768</v>
      </c>
      <c r="E87" s="129">
        <v>63534.433065272897</v>
      </c>
      <c r="F87" s="129">
        <v>64752.850880867962</v>
      </c>
      <c r="G87" s="129">
        <v>61704.862584182396</v>
      </c>
      <c r="H87" s="129">
        <v>63944.852998393704</v>
      </c>
      <c r="I87" s="129">
        <v>66341.86663074285</v>
      </c>
      <c r="J87" s="129">
        <v>68763.77919830833</v>
      </c>
      <c r="K87" s="129">
        <v>67408.275266684519</v>
      </c>
      <c r="L87" s="129">
        <v>63027.544085439062</v>
      </c>
      <c r="M87" s="129">
        <v>60825.208825641668</v>
      </c>
      <c r="N87" s="129">
        <v>58962.012363805421</v>
      </c>
      <c r="O87" s="129">
        <v>54790.106161374773</v>
      </c>
      <c r="P87" s="129">
        <v>58409.99607425397</v>
      </c>
      <c r="Q87" s="129">
        <v>56429.313462633421</v>
      </c>
      <c r="R87" s="129">
        <v>62028.314368468215</v>
      </c>
      <c r="S87" s="129">
        <v>60875.865937838396</v>
      </c>
      <c r="T87" s="129">
        <v>60713.300357855973</v>
      </c>
      <c r="U87" s="129">
        <v>60329.629091759081</v>
      </c>
      <c r="V87" s="129">
        <v>58050.438626537798</v>
      </c>
      <c r="W87" s="129">
        <v>47059.767643112566</v>
      </c>
      <c r="X87" s="129">
        <v>48153.857491964322</v>
      </c>
      <c r="Y87" s="129">
        <v>48226.252177063914</v>
      </c>
      <c r="Z87" s="129">
        <v>50264.395594747155</v>
      </c>
      <c r="AA87" s="129">
        <v>47724.43481722648</v>
      </c>
      <c r="AB87" s="292" t="e">
        <f>#REF!</f>
        <v>#REF!</v>
      </c>
      <c r="AC87" s="292" t="e">
        <f>#REF!</f>
        <v>#REF!</v>
      </c>
      <c r="AD87" s="292" t="e">
        <f>#REF!</f>
        <v>#REF!</v>
      </c>
      <c r="AE87" s="292" t="e">
        <f>#REF!</f>
        <v>#REF!</v>
      </c>
      <c r="AF87" s="292" t="e">
        <f>#REF!</f>
        <v>#REF!</v>
      </c>
      <c r="AG87" s="292" t="e">
        <f>#REF!</f>
        <v>#REF!</v>
      </c>
      <c r="AH87" s="292" t="e">
        <f>#REF!</f>
        <v>#REF!</v>
      </c>
      <c r="AI87" s="292" t="e">
        <f>#REF!</f>
        <v>#REF!</v>
      </c>
      <c r="AJ87" s="292" t="e">
        <f>#REF!</f>
        <v>#REF!</v>
      </c>
      <c r="AK87" s="292" t="e">
        <f>#REF!</f>
        <v>#REF!</v>
      </c>
      <c r="AL87" s="292" t="e">
        <f>#REF!</f>
        <v>#REF!</v>
      </c>
      <c r="AM87" s="292" t="e">
        <f>#REF!</f>
        <v>#REF!</v>
      </c>
      <c r="AN87" s="292" t="e">
        <f>#REF!</f>
        <v>#REF!</v>
      </c>
      <c r="AO87" s="292" t="e">
        <f>#REF!</f>
        <v>#REF!</v>
      </c>
      <c r="AP87" s="292" t="e">
        <f>#REF!</f>
        <v>#REF!</v>
      </c>
      <c r="AQ87" s="292" t="e">
        <f>#REF!</f>
        <v>#REF!</v>
      </c>
      <c r="AR87" s="292" t="e">
        <f>#REF!</f>
        <v>#REF!</v>
      </c>
      <c r="AT87" s="100"/>
    </row>
    <row r="88" spans="1:46" x14ac:dyDescent="0.25">
      <c r="B88" s="125"/>
      <c r="C88" s="130" t="s">
        <v>102</v>
      </c>
      <c r="D88" s="131">
        <f t="shared" ref="D88:W88" si="6">D89+D90</f>
        <v>27903.23049240058</v>
      </c>
      <c r="E88" s="131">
        <f t="shared" si="6"/>
        <v>27993.907050189679</v>
      </c>
      <c r="F88" s="131">
        <f t="shared" si="6"/>
        <v>29544.258240784318</v>
      </c>
      <c r="G88" s="131">
        <f t="shared" si="6"/>
        <v>30770.813475814903</v>
      </c>
      <c r="H88" s="131">
        <f t="shared" si="6"/>
        <v>31380.404627509131</v>
      </c>
      <c r="I88" s="131">
        <f t="shared" si="6"/>
        <v>30495.537943305044</v>
      </c>
      <c r="J88" s="131">
        <f t="shared" si="6"/>
        <v>33441.585921113714</v>
      </c>
      <c r="K88" s="131">
        <f t="shared" si="6"/>
        <v>32540.962595083733</v>
      </c>
      <c r="L88" s="131">
        <f t="shared" si="6"/>
        <v>27981.431036462494</v>
      </c>
      <c r="M88" s="131">
        <f t="shared" si="6"/>
        <v>30351.238645296849</v>
      </c>
      <c r="N88" s="131">
        <f t="shared" si="6"/>
        <v>33182.044729473986</v>
      </c>
      <c r="O88" s="131">
        <f t="shared" si="6"/>
        <v>32152.680975060022</v>
      </c>
      <c r="P88" s="131">
        <f t="shared" si="6"/>
        <v>32655.90385002211</v>
      </c>
      <c r="Q88" s="131">
        <f t="shared" si="6"/>
        <v>34844.879248086334</v>
      </c>
      <c r="R88" s="131">
        <f t="shared" si="6"/>
        <v>33320.066611826704</v>
      </c>
      <c r="S88" s="131">
        <f t="shared" si="6"/>
        <v>33959.241551489336</v>
      </c>
      <c r="T88" s="131">
        <f t="shared" si="6"/>
        <v>30968.886977996408</v>
      </c>
      <c r="U88" s="131">
        <f t="shared" si="6"/>
        <v>33379.137000679439</v>
      </c>
      <c r="V88" s="131">
        <f t="shared" si="6"/>
        <v>33436.830079830077</v>
      </c>
      <c r="W88" s="131">
        <f t="shared" si="6"/>
        <v>31444.764270501451</v>
      </c>
      <c r="X88" s="131">
        <f>X89+X90</f>
        <v>30272.845283072689</v>
      </c>
      <c r="Y88" s="131">
        <f>Y89+Y90</f>
        <v>32797.226056226871</v>
      </c>
      <c r="Z88" s="131">
        <f>Z89+Z90</f>
        <v>29696.949734732316</v>
      </c>
      <c r="AA88" s="131">
        <f>AA89+AA90</f>
        <v>32620.69532876632</v>
      </c>
      <c r="AB88" s="293" t="e">
        <f>#REF!</f>
        <v>#REF!</v>
      </c>
      <c r="AC88" s="293" t="e">
        <f>#REF!</f>
        <v>#REF!</v>
      </c>
      <c r="AD88" s="293" t="e">
        <f>#REF!</f>
        <v>#REF!</v>
      </c>
      <c r="AE88" s="293" t="e">
        <f>#REF!</f>
        <v>#REF!</v>
      </c>
      <c r="AF88" s="293" t="e">
        <f>#REF!</f>
        <v>#REF!</v>
      </c>
      <c r="AG88" s="293" t="e">
        <f>#REF!</f>
        <v>#REF!</v>
      </c>
      <c r="AH88" s="293" t="e">
        <f>#REF!</f>
        <v>#REF!</v>
      </c>
      <c r="AI88" s="293" t="e">
        <f>#REF!</f>
        <v>#REF!</v>
      </c>
      <c r="AJ88" s="293" t="e">
        <f>#REF!</f>
        <v>#REF!</v>
      </c>
      <c r="AK88" s="293" t="e">
        <f>#REF!</f>
        <v>#REF!</v>
      </c>
      <c r="AL88" s="293" t="e">
        <f>#REF!</f>
        <v>#REF!</v>
      </c>
      <c r="AM88" s="293" t="e">
        <f>#REF!</f>
        <v>#REF!</v>
      </c>
      <c r="AN88" s="293" t="e">
        <f>#REF!</f>
        <v>#REF!</v>
      </c>
      <c r="AO88" s="293" t="e">
        <f>#REF!</f>
        <v>#REF!</v>
      </c>
      <c r="AP88" s="293" t="e">
        <f>#REF!</f>
        <v>#REF!</v>
      </c>
      <c r="AQ88" s="293" t="e">
        <f>#REF!</f>
        <v>#REF!</v>
      </c>
      <c r="AR88" s="293" t="e">
        <f>#REF!</f>
        <v>#REF!</v>
      </c>
      <c r="AT88" s="100"/>
    </row>
    <row r="89" spans="1:46" s="173" customFormat="1" ht="11.25" x14ac:dyDescent="0.2">
      <c r="B89" s="174"/>
      <c r="C89" s="175" t="s">
        <v>37</v>
      </c>
      <c r="D89" s="176">
        <v>9139.2576278187753</v>
      </c>
      <c r="E89" s="176">
        <v>9642.5645966126813</v>
      </c>
      <c r="F89" s="176">
        <v>10203.297744283926</v>
      </c>
      <c r="G89" s="176">
        <v>10121.581938412115</v>
      </c>
      <c r="H89" s="176">
        <v>9896.5482182391552</v>
      </c>
      <c r="I89" s="176">
        <v>9821.4176581864558</v>
      </c>
      <c r="J89" s="176">
        <v>10888.702207134887</v>
      </c>
      <c r="K89" s="176">
        <v>11367.21413069333</v>
      </c>
      <c r="L89" s="176">
        <v>10292.802592566371</v>
      </c>
      <c r="M89" s="176">
        <v>11515.070776032924</v>
      </c>
      <c r="N89" s="176">
        <v>13054.805956479784</v>
      </c>
      <c r="O89" s="176">
        <v>13338.653196470405</v>
      </c>
      <c r="P89" s="176">
        <v>12472.336909317586</v>
      </c>
      <c r="Q89" s="176">
        <v>13343.505044029713</v>
      </c>
      <c r="R89" s="176">
        <v>12927.13183352152</v>
      </c>
      <c r="S89" s="176">
        <v>12781.00551854621</v>
      </c>
      <c r="T89" s="176">
        <v>11395.61860645428</v>
      </c>
      <c r="U89" s="176">
        <v>11953.346757693771</v>
      </c>
      <c r="V89" s="176">
        <v>11927.9393888166</v>
      </c>
      <c r="W89" s="176">
        <v>11376.700565029583</v>
      </c>
      <c r="X89" s="176">
        <v>10891.499793007564</v>
      </c>
      <c r="Y89" s="176">
        <v>11784.477045648428</v>
      </c>
      <c r="Z89" s="176">
        <v>10883.14208927716</v>
      </c>
      <c r="AA89" s="176">
        <v>11871.669004054298</v>
      </c>
      <c r="AB89" s="294"/>
      <c r="AC89" s="294"/>
      <c r="AD89" s="294"/>
      <c r="AE89" s="294"/>
      <c r="AF89" s="294"/>
      <c r="AG89" s="294"/>
      <c r="AH89" s="294"/>
      <c r="AI89" s="294"/>
      <c r="AJ89" s="294"/>
      <c r="AK89" s="294"/>
      <c r="AL89" s="294"/>
      <c r="AM89" s="294"/>
      <c r="AN89" s="294"/>
      <c r="AO89" s="294"/>
      <c r="AP89" s="294"/>
      <c r="AQ89" s="294"/>
      <c r="AR89" s="294"/>
      <c r="AT89" s="177"/>
    </row>
    <row r="90" spans="1:46" s="173" customFormat="1" ht="11.25" x14ac:dyDescent="0.2">
      <c r="B90" s="174"/>
      <c r="C90" s="178" t="s">
        <v>38</v>
      </c>
      <c r="D90" s="179">
        <v>18763.972864581803</v>
      </c>
      <c r="E90" s="179">
        <v>18351.342453576995</v>
      </c>
      <c r="F90" s="179">
        <v>19340.960496500393</v>
      </c>
      <c r="G90" s="179">
        <v>20649.231537402786</v>
      </c>
      <c r="H90" s="179">
        <v>21483.856409269978</v>
      </c>
      <c r="I90" s="179">
        <v>20674.120285118588</v>
      </c>
      <c r="J90" s="179">
        <v>22552.88371397883</v>
      </c>
      <c r="K90" s="179">
        <v>21173.748464390403</v>
      </c>
      <c r="L90" s="179">
        <v>17688.628443896123</v>
      </c>
      <c r="M90" s="179">
        <v>18836.167869263925</v>
      </c>
      <c r="N90" s="179">
        <v>20127.238772994206</v>
      </c>
      <c r="O90" s="179">
        <v>18814.027778589618</v>
      </c>
      <c r="P90" s="179">
        <v>20183.566940704524</v>
      </c>
      <c r="Q90" s="179">
        <v>21501.374204056625</v>
      </c>
      <c r="R90" s="179">
        <v>20392.934778305185</v>
      </c>
      <c r="S90" s="179">
        <v>21178.236032943125</v>
      </c>
      <c r="T90" s="179">
        <v>19573.26837154213</v>
      </c>
      <c r="U90" s="179">
        <v>21425.790242985666</v>
      </c>
      <c r="V90" s="179">
        <v>21508.890691013479</v>
      </c>
      <c r="W90" s="179">
        <v>20068.063705471868</v>
      </c>
      <c r="X90" s="179">
        <v>19381.345490065127</v>
      </c>
      <c r="Y90" s="179">
        <v>21012.749010578445</v>
      </c>
      <c r="Z90" s="179">
        <v>18813.807645455156</v>
      </c>
      <c r="AA90" s="179">
        <v>20749.026324712024</v>
      </c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295"/>
      <c r="AN90" s="295"/>
      <c r="AO90" s="295"/>
      <c r="AP90" s="295"/>
      <c r="AQ90" s="295"/>
      <c r="AR90" s="295"/>
      <c r="AT90" s="177"/>
    </row>
    <row r="91" spans="1:46" x14ac:dyDescent="0.25">
      <c r="B91" s="125"/>
      <c r="C91" s="132" t="s">
        <v>39</v>
      </c>
      <c r="D91" s="133">
        <v>45904.919573288469</v>
      </c>
      <c r="E91" s="133">
        <v>44310.862530202226</v>
      </c>
      <c r="F91" s="133">
        <v>45212.033691880803</v>
      </c>
      <c r="G91" s="133">
        <v>46123.659441931246</v>
      </c>
      <c r="H91" s="133">
        <v>47318.307280051646</v>
      </c>
      <c r="I91" s="133">
        <v>48541.585984712328</v>
      </c>
      <c r="J91" s="133">
        <v>49620.231620591068</v>
      </c>
      <c r="K91" s="133">
        <v>51891.167938821825</v>
      </c>
      <c r="L91" s="133">
        <v>52903.505481862405</v>
      </c>
      <c r="M91" s="133">
        <v>55442.687971035528</v>
      </c>
      <c r="N91" s="133">
        <v>56717.106103074715</v>
      </c>
      <c r="O91" s="133">
        <v>56121.048145613517</v>
      </c>
      <c r="P91" s="133">
        <v>57104.32048630403</v>
      </c>
      <c r="Q91" s="133">
        <v>58099.447771236788</v>
      </c>
      <c r="R91" s="133">
        <v>59880.232442880137</v>
      </c>
      <c r="S91" s="133">
        <v>61736.728360750982</v>
      </c>
      <c r="T91" s="133">
        <v>59757.851720747421</v>
      </c>
      <c r="U91" s="133">
        <v>58866.122698430328</v>
      </c>
      <c r="V91" s="133">
        <v>57926.038704625018</v>
      </c>
      <c r="W91" s="133">
        <v>57760.595857243221</v>
      </c>
      <c r="X91" s="133">
        <v>60426.722889783676</v>
      </c>
      <c r="Y91" s="133">
        <v>60134.993175496093</v>
      </c>
      <c r="Z91" s="133">
        <v>57690.767086868444</v>
      </c>
      <c r="AA91" s="133">
        <v>60205.905493701794</v>
      </c>
      <c r="AB91" s="296" t="e">
        <f>#REF!</f>
        <v>#REF!</v>
      </c>
      <c r="AC91" s="296" t="e">
        <f>#REF!</f>
        <v>#REF!</v>
      </c>
      <c r="AD91" s="296" t="e">
        <f>#REF!</f>
        <v>#REF!</v>
      </c>
      <c r="AE91" s="296" t="e">
        <f>#REF!</f>
        <v>#REF!</v>
      </c>
      <c r="AF91" s="296" t="e">
        <f>#REF!</f>
        <v>#REF!</v>
      </c>
      <c r="AG91" s="296" t="e">
        <f>#REF!</f>
        <v>#REF!</v>
      </c>
      <c r="AH91" s="296" t="e">
        <f>#REF!</f>
        <v>#REF!</v>
      </c>
      <c r="AI91" s="296" t="e">
        <f>#REF!</f>
        <v>#REF!</v>
      </c>
      <c r="AJ91" s="296" t="e">
        <f>#REF!</f>
        <v>#REF!</v>
      </c>
      <c r="AK91" s="296" t="e">
        <f>#REF!</f>
        <v>#REF!</v>
      </c>
      <c r="AL91" s="296" t="e">
        <f>#REF!</f>
        <v>#REF!</v>
      </c>
      <c r="AM91" s="296" t="e">
        <f>#REF!</f>
        <v>#REF!</v>
      </c>
      <c r="AN91" s="296" t="e">
        <f>#REF!</f>
        <v>#REF!</v>
      </c>
      <c r="AO91" s="296" t="e">
        <f>#REF!</f>
        <v>#REF!</v>
      </c>
      <c r="AP91" s="296" t="e">
        <f>#REF!</f>
        <v>#REF!</v>
      </c>
      <c r="AQ91" s="296" t="e">
        <f>#REF!</f>
        <v>#REF!</v>
      </c>
      <c r="AR91" s="296" t="e">
        <f>#REF!</f>
        <v>#REF!</v>
      </c>
      <c r="AT91" s="100"/>
    </row>
    <row r="92" spans="1:46" x14ac:dyDescent="0.25">
      <c r="B92" s="125"/>
      <c r="C92" t="s">
        <v>40</v>
      </c>
      <c r="D92" s="100">
        <v>18268.226860644565</v>
      </c>
      <c r="E92" s="100">
        <v>18692.230226905056</v>
      </c>
      <c r="F92" s="100">
        <v>18912.726615410636</v>
      </c>
      <c r="G92" s="100">
        <v>19020.949159768505</v>
      </c>
      <c r="H92" s="100">
        <v>19357.85844993317</v>
      </c>
      <c r="I92" s="100">
        <v>19390.931686894</v>
      </c>
      <c r="J92" s="100">
        <v>18892.646344407942</v>
      </c>
      <c r="K92" s="100">
        <v>18902.855606467288</v>
      </c>
      <c r="L92" s="100">
        <v>19040.385243722023</v>
      </c>
      <c r="M92" s="100">
        <v>19162.083768604356</v>
      </c>
      <c r="N92" s="100">
        <v>19009.303004206442</v>
      </c>
      <c r="O92" s="100">
        <v>18801.251382439084</v>
      </c>
      <c r="P92" s="100">
        <v>19318.541596834286</v>
      </c>
      <c r="Q92" s="100">
        <v>19729.137048099525</v>
      </c>
      <c r="R92" s="100">
        <v>19987.722286132936</v>
      </c>
      <c r="S92" s="100">
        <v>19923.935387101912</v>
      </c>
      <c r="T92" s="100">
        <v>20579.200417811116</v>
      </c>
      <c r="U92" s="100">
        <v>20050.158163374173</v>
      </c>
      <c r="V92" s="100">
        <v>19479.586491473987</v>
      </c>
      <c r="W92" s="100">
        <v>19829.155434872679</v>
      </c>
      <c r="X92" s="100">
        <v>19685.915800506573</v>
      </c>
      <c r="Y92" s="100">
        <v>19273.5267419792</v>
      </c>
      <c r="Z92" s="100">
        <v>19094.737852364611</v>
      </c>
      <c r="AA92" s="100">
        <v>19332.66217155907</v>
      </c>
      <c r="AB92" s="297" t="e">
        <f>#REF!</f>
        <v>#REF!</v>
      </c>
      <c r="AC92" s="297" t="e">
        <f>#REF!</f>
        <v>#REF!</v>
      </c>
      <c r="AD92" s="297" t="e">
        <f>#REF!</f>
        <v>#REF!</v>
      </c>
      <c r="AE92" s="297" t="e">
        <f>#REF!</f>
        <v>#REF!</v>
      </c>
      <c r="AF92" s="297" t="e">
        <f>#REF!</f>
        <v>#REF!</v>
      </c>
      <c r="AG92" s="297" t="e">
        <f>#REF!</f>
        <v>#REF!</v>
      </c>
      <c r="AH92" s="297" t="e">
        <f>#REF!</f>
        <v>#REF!</v>
      </c>
      <c r="AI92" s="297" t="e">
        <f>#REF!</f>
        <v>#REF!</v>
      </c>
      <c r="AJ92" s="297" t="e">
        <f>#REF!</f>
        <v>#REF!</v>
      </c>
      <c r="AK92" s="297" t="e">
        <f>#REF!</f>
        <v>#REF!</v>
      </c>
      <c r="AL92" s="297" t="e">
        <f>#REF!</f>
        <v>#REF!</v>
      </c>
      <c r="AM92" s="297" t="e">
        <f>#REF!</f>
        <v>#REF!</v>
      </c>
      <c r="AN92" s="297" t="e">
        <f>#REF!</f>
        <v>#REF!</v>
      </c>
      <c r="AO92" s="297" t="e">
        <f>#REF!</f>
        <v>#REF!</v>
      </c>
      <c r="AP92" s="297" t="e">
        <f>#REF!</f>
        <v>#REF!</v>
      </c>
      <c r="AQ92" s="297" t="e">
        <f>#REF!</f>
        <v>#REF!</v>
      </c>
      <c r="AR92" s="297" t="e">
        <f>#REF!</f>
        <v>#REF!</v>
      </c>
      <c r="AT92" s="100"/>
    </row>
    <row r="93" spans="1:46" x14ac:dyDescent="0.25">
      <c r="B93" s="125"/>
      <c r="C93" s="125" t="s">
        <v>41</v>
      </c>
      <c r="D93" s="134">
        <f t="shared" ref="D93:W93" si="7">D86+D87+D88+D91+D92</f>
        <v>182048.69484228993</v>
      </c>
      <c r="E93" s="134">
        <f t="shared" si="7"/>
        <v>181957.6633232437</v>
      </c>
      <c r="F93" s="134">
        <f t="shared" si="7"/>
        <v>185520.72732231783</v>
      </c>
      <c r="G93" s="134">
        <f t="shared" si="7"/>
        <v>175598.31557331033</v>
      </c>
      <c r="H93" s="134">
        <f t="shared" si="7"/>
        <v>177714.89990113329</v>
      </c>
      <c r="I93" s="134">
        <f t="shared" si="7"/>
        <v>182671.93760325498</v>
      </c>
      <c r="J93" s="134">
        <f t="shared" si="7"/>
        <v>191164.09467369266</v>
      </c>
      <c r="K93" s="134">
        <f t="shared" si="7"/>
        <v>196708.91360385538</v>
      </c>
      <c r="L93" s="134">
        <f t="shared" si="7"/>
        <v>197179.25340937453</v>
      </c>
      <c r="M93" s="134">
        <f t="shared" si="7"/>
        <v>201954.60873157711</v>
      </c>
      <c r="N93" s="134">
        <f t="shared" si="7"/>
        <v>211254.46393888324</v>
      </c>
      <c r="O93" s="134">
        <f t="shared" si="7"/>
        <v>202686.9796660904</v>
      </c>
      <c r="P93" s="134">
        <f t="shared" si="7"/>
        <v>207649.0193001107</v>
      </c>
      <c r="Q93" s="134">
        <f t="shared" si="7"/>
        <v>209271.60257031192</v>
      </c>
      <c r="R93" s="134">
        <f t="shared" si="7"/>
        <v>207593.85422631964</v>
      </c>
      <c r="S93" s="134">
        <f t="shared" si="7"/>
        <v>210957.56046065036</v>
      </c>
      <c r="T93" s="134">
        <f t="shared" si="7"/>
        <v>201909.3133722943</v>
      </c>
      <c r="U93" s="134">
        <f t="shared" si="7"/>
        <v>205494.2999125995</v>
      </c>
      <c r="V93" s="134">
        <f t="shared" si="7"/>
        <v>196286.61840673239</v>
      </c>
      <c r="W93" s="134">
        <f t="shared" si="7"/>
        <v>171031.3921304376</v>
      </c>
      <c r="X93" s="134">
        <f>X86+X87+X88+X91+X92</f>
        <v>178341.61357938513</v>
      </c>
      <c r="Y93" s="134">
        <f>Y86+Y87+Y88+Y91+Y92</f>
        <v>174650.29547746267</v>
      </c>
      <c r="Z93" s="134">
        <f>Z86+Z87+Z88+Z91+Z92</f>
        <v>170901.64663336216</v>
      </c>
      <c r="AA93" s="134">
        <f>AA86+AA87+AA88+AA91+AA92</f>
        <v>170773.91585403157</v>
      </c>
      <c r="AB93" s="290" t="e">
        <f>SUM(AB86:AB92)+AB72</f>
        <v>#REF!</v>
      </c>
      <c r="AC93" s="290" t="e">
        <f t="shared" ref="AC93:AR93" si="8">SUM(AC86:AC92)+AC72</f>
        <v>#REF!</v>
      </c>
      <c r="AD93" s="290" t="e">
        <f t="shared" si="8"/>
        <v>#REF!</v>
      </c>
      <c r="AE93" s="290" t="e">
        <f t="shared" si="8"/>
        <v>#REF!</v>
      </c>
      <c r="AF93" s="290" t="e">
        <f t="shared" si="8"/>
        <v>#REF!</v>
      </c>
      <c r="AG93" s="290" t="e">
        <f t="shared" si="8"/>
        <v>#REF!</v>
      </c>
      <c r="AH93" s="290" t="e">
        <f t="shared" si="8"/>
        <v>#REF!</v>
      </c>
      <c r="AI93" s="290" t="e">
        <f t="shared" si="8"/>
        <v>#REF!</v>
      </c>
      <c r="AJ93" s="290" t="e">
        <f t="shared" si="8"/>
        <v>#REF!</v>
      </c>
      <c r="AK93" s="290" t="e">
        <f t="shared" si="8"/>
        <v>#REF!</v>
      </c>
      <c r="AL93" s="290" t="e">
        <f t="shared" si="8"/>
        <v>#REF!</v>
      </c>
      <c r="AM93" s="290" t="e">
        <f t="shared" si="8"/>
        <v>#REF!</v>
      </c>
      <c r="AN93" s="290" t="e">
        <f t="shared" si="8"/>
        <v>#REF!</v>
      </c>
      <c r="AO93" s="290" t="e">
        <f t="shared" si="8"/>
        <v>#REF!</v>
      </c>
      <c r="AP93" s="290" t="e">
        <f t="shared" si="8"/>
        <v>#REF!</v>
      </c>
      <c r="AQ93" s="290" t="e">
        <f t="shared" si="8"/>
        <v>#REF!</v>
      </c>
      <c r="AR93" s="290" t="e">
        <f t="shared" si="8"/>
        <v>#REF!</v>
      </c>
    </row>
    <row r="96" spans="1:46" x14ac:dyDescent="0.25">
      <c r="D96" s="125">
        <v>1990</v>
      </c>
      <c r="E96" s="125">
        <v>1991</v>
      </c>
      <c r="F96" s="125">
        <v>1992</v>
      </c>
      <c r="G96" s="125">
        <v>1993</v>
      </c>
      <c r="H96" s="125">
        <v>1994</v>
      </c>
      <c r="I96" s="125">
        <v>1995</v>
      </c>
      <c r="J96" s="125">
        <v>1996</v>
      </c>
      <c r="K96" s="125">
        <v>1997</v>
      </c>
      <c r="L96" s="125">
        <v>1998</v>
      </c>
      <c r="M96" s="125">
        <v>1999</v>
      </c>
      <c r="N96" s="125">
        <v>2000</v>
      </c>
      <c r="O96" s="125">
        <v>2001</v>
      </c>
      <c r="P96" s="125">
        <v>2002</v>
      </c>
      <c r="Q96" s="125">
        <v>2003</v>
      </c>
      <c r="R96" s="125">
        <v>2004</v>
      </c>
      <c r="S96" s="125">
        <v>2005</v>
      </c>
      <c r="T96" s="125">
        <v>2006</v>
      </c>
      <c r="U96" s="125">
        <v>2007</v>
      </c>
      <c r="V96" s="125">
        <v>2008</v>
      </c>
      <c r="W96" s="125">
        <v>2009</v>
      </c>
      <c r="X96" s="125">
        <v>2010</v>
      </c>
      <c r="Y96" s="125">
        <v>2011</v>
      </c>
      <c r="Z96" s="125">
        <v>2012</v>
      </c>
      <c r="AA96" s="125">
        <v>2013</v>
      </c>
      <c r="AB96" s="125">
        <v>2014</v>
      </c>
      <c r="AC96" s="125">
        <v>2015</v>
      </c>
      <c r="AD96" s="125">
        <v>2016</v>
      </c>
      <c r="AE96" s="125">
        <v>2017</v>
      </c>
      <c r="AF96" s="125">
        <v>2018</v>
      </c>
      <c r="AG96" s="125">
        <v>2019</v>
      </c>
      <c r="AH96" s="125">
        <v>2020</v>
      </c>
      <c r="AI96" s="125">
        <v>2021</v>
      </c>
      <c r="AJ96" s="125">
        <v>2022</v>
      </c>
      <c r="AK96" s="125">
        <v>2023</v>
      </c>
      <c r="AL96" s="125">
        <v>2024</v>
      </c>
      <c r="AM96" s="125">
        <v>2025</v>
      </c>
      <c r="AN96" s="125">
        <v>2026</v>
      </c>
      <c r="AO96" s="125">
        <v>2027</v>
      </c>
      <c r="AP96" s="125">
        <v>2028</v>
      </c>
      <c r="AQ96" s="125">
        <v>2029</v>
      </c>
      <c r="AR96" s="125">
        <v>2030</v>
      </c>
    </row>
    <row r="97" spans="2:44" x14ac:dyDescent="0.25">
      <c r="B97" s="125" t="s">
        <v>43</v>
      </c>
      <c r="D97" s="163">
        <v>182048.69484228993</v>
      </c>
      <c r="E97" s="100">
        <v>181957.6633232437</v>
      </c>
      <c r="F97" s="100">
        <v>185520.72732231783</v>
      </c>
      <c r="G97" s="100">
        <v>175598.31557331033</v>
      </c>
      <c r="H97" s="100">
        <v>177714.89990113332</v>
      </c>
      <c r="I97" s="100">
        <v>182671.93760325498</v>
      </c>
      <c r="J97" s="100">
        <v>191164.09467369266</v>
      </c>
      <c r="K97" s="100">
        <v>196708.91360385538</v>
      </c>
      <c r="L97" s="100">
        <v>197179.25340937453</v>
      </c>
      <c r="M97" s="100">
        <v>201954.60873157711</v>
      </c>
      <c r="N97" s="100">
        <v>211254.46393888324</v>
      </c>
      <c r="O97" s="100">
        <v>202686.9796660904</v>
      </c>
      <c r="P97" s="100">
        <v>207649.0193001107</v>
      </c>
      <c r="Q97" s="100">
        <v>209271.60257031192</v>
      </c>
      <c r="R97" s="100">
        <v>207593.85422631964</v>
      </c>
      <c r="S97" s="100">
        <v>210957.56046065036</v>
      </c>
      <c r="T97" s="100">
        <v>201909.3133722943</v>
      </c>
      <c r="U97" s="100">
        <v>205494.2999125995</v>
      </c>
      <c r="V97" s="100">
        <v>196286.61840673239</v>
      </c>
      <c r="W97" s="100">
        <v>171031.3921304376</v>
      </c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</row>
    <row r="98" spans="2:44" x14ac:dyDescent="0.25">
      <c r="B98" s="125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  <c r="AR98" s="100"/>
    </row>
    <row r="99" spans="2:44" x14ac:dyDescent="0.25">
      <c r="B99" s="125" t="s">
        <v>44</v>
      </c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>
        <f>U93</f>
        <v>205494.2999125995</v>
      </c>
      <c r="V99" s="100">
        <f t="shared" ref="V99:AR99" si="9">V93</f>
        <v>196286.61840673239</v>
      </c>
      <c r="W99" s="100">
        <f t="shared" si="9"/>
        <v>171031.3921304376</v>
      </c>
      <c r="X99" s="100">
        <f t="shared" si="9"/>
        <v>178341.61357938513</v>
      </c>
      <c r="Y99" s="100">
        <f t="shared" si="9"/>
        <v>174650.29547746267</v>
      </c>
      <c r="Z99" s="100">
        <f t="shared" si="9"/>
        <v>170901.64663336216</v>
      </c>
      <c r="AA99" s="100">
        <f t="shared" si="9"/>
        <v>170773.91585403157</v>
      </c>
      <c r="AB99" s="100" t="e">
        <f t="shared" si="9"/>
        <v>#REF!</v>
      </c>
      <c r="AC99" s="100" t="e">
        <f t="shared" si="9"/>
        <v>#REF!</v>
      </c>
      <c r="AD99" s="100" t="e">
        <f t="shared" si="9"/>
        <v>#REF!</v>
      </c>
      <c r="AE99" s="289" t="e">
        <f t="shared" si="9"/>
        <v>#REF!</v>
      </c>
      <c r="AF99" s="289" t="e">
        <f t="shared" si="9"/>
        <v>#REF!</v>
      </c>
      <c r="AG99" s="289" t="e">
        <f t="shared" si="9"/>
        <v>#REF!</v>
      </c>
      <c r="AH99" s="289" t="e">
        <f t="shared" si="9"/>
        <v>#REF!</v>
      </c>
      <c r="AI99" s="289" t="e">
        <f t="shared" si="9"/>
        <v>#REF!</v>
      </c>
      <c r="AJ99" s="289" t="e">
        <f t="shared" si="9"/>
        <v>#REF!</v>
      </c>
      <c r="AK99" s="289" t="e">
        <f t="shared" si="9"/>
        <v>#REF!</v>
      </c>
      <c r="AL99" s="289" t="e">
        <f t="shared" si="9"/>
        <v>#REF!</v>
      </c>
      <c r="AM99" s="289" t="e">
        <f t="shared" si="9"/>
        <v>#REF!</v>
      </c>
      <c r="AN99" s="289" t="e">
        <f t="shared" si="9"/>
        <v>#REF!</v>
      </c>
      <c r="AO99" s="289" t="e">
        <f t="shared" si="9"/>
        <v>#REF!</v>
      </c>
      <c r="AP99" s="289" t="e">
        <f t="shared" si="9"/>
        <v>#REF!</v>
      </c>
      <c r="AQ99" s="289" t="e">
        <f t="shared" si="9"/>
        <v>#REF!</v>
      </c>
      <c r="AR99" s="289" t="e">
        <f t="shared" si="9"/>
        <v>#REF!</v>
      </c>
    </row>
    <row r="100" spans="2:44" x14ac:dyDescent="0.25">
      <c r="B100" s="125" t="s">
        <v>45</v>
      </c>
      <c r="D100" s="135">
        <v>25.390093112241914</v>
      </c>
      <c r="E100" s="100"/>
      <c r="F100" s="135">
        <v>41.888898722045823</v>
      </c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>
        <v>171125.77315175251</v>
      </c>
      <c r="AD100" s="100"/>
      <c r="AE100" s="100"/>
      <c r="AF100" s="100"/>
      <c r="AG100" s="100"/>
      <c r="AH100" s="163">
        <f>D97*0.85</f>
        <v>154741.39061594644</v>
      </c>
      <c r="AI100" s="100"/>
      <c r="AJ100" s="100"/>
      <c r="AK100" s="100"/>
      <c r="AL100" s="100"/>
      <c r="AM100" s="100"/>
      <c r="AN100" s="100"/>
      <c r="AO100" s="100"/>
      <c r="AP100" s="100"/>
      <c r="AQ100" s="100"/>
      <c r="AR100" s="164">
        <f>D97*0.63</f>
        <v>114690.67775064266</v>
      </c>
    </row>
    <row r="101" spans="2:44" ht="15.75" thickBot="1" x14ac:dyDescent="0.3"/>
    <row r="102" spans="2:44" x14ac:dyDescent="0.25">
      <c r="C102" s="136"/>
      <c r="D102" s="137">
        <v>2014</v>
      </c>
      <c r="E102" s="137">
        <v>2015</v>
      </c>
      <c r="F102" s="137">
        <v>2020</v>
      </c>
      <c r="G102" s="138">
        <v>2030</v>
      </c>
    </row>
    <row r="103" spans="2:44" x14ac:dyDescent="0.25">
      <c r="C103" s="139" t="s">
        <v>46</v>
      </c>
      <c r="D103" s="140">
        <v>-274.00394745488302</v>
      </c>
      <c r="E103" s="140">
        <v>-112.28771246803808</v>
      </c>
      <c r="F103" s="155" t="e">
        <f>AH99-AH100</f>
        <v>#REF!</v>
      </c>
      <c r="G103" s="156" t="e">
        <f>AR99-AR100</f>
        <v>#REF!</v>
      </c>
      <c r="AC103" s="100"/>
    </row>
    <row r="104" spans="2:44" x14ac:dyDescent="0.25">
      <c r="C104" s="139" t="s">
        <v>47</v>
      </c>
      <c r="D104" s="140">
        <v>25116.08916478703</v>
      </c>
      <c r="E104" s="140">
        <v>31639.498547902214</v>
      </c>
      <c r="F104" s="140">
        <v>62218.458987099526</v>
      </c>
      <c r="G104" s="141">
        <v>121890.2164045043</v>
      </c>
      <c r="AB104" s="100"/>
      <c r="AC104" s="100"/>
      <c r="AD104" s="100"/>
    </row>
    <row r="105" spans="2:44" x14ac:dyDescent="0.25">
      <c r="C105" s="139" t="s">
        <v>48</v>
      </c>
      <c r="D105" s="140">
        <v>25390.093112241913</v>
      </c>
      <c r="E105" s="140">
        <v>31751.786260370252</v>
      </c>
      <c r="F105" s="140">
        <v>41888.898722045822</v>
      </c>
      <c r="G105" s="141">
        <v>56874.634906118299</v>
      </c>
      <c r="AB105" s="100"/>
      <c r="AC105" s="100"/>
      <c r="AD105" s="100"/>
    </row>
    <row r="106" spans="2:44" ht="15.75" thickBot="1" x14ac:dyDescent="0.3">
      <c r="C106" s="142" t="s">
        <v>49</v>
      </c>
      <c r="D106" s="143">
        <v>1.0109094989135108</v>
      </c>
      <c r="E106" s="143">
        <v>1.0035489725697782</v>
      </c>
      <c r="F106" s="143">
        <v>0.67325516259943263</v>
      </c>
      <c r="G106" s="144">
        <v>0.46660541414886331</v>
      </c>
      <c r="AB106" s="100"/>
      <c r="AC106" s="100"/>
      <c r="AD106" s="100"/>
    </row>
    <row r="107" spans="2:44" x14ac:dyDescent="0.25">
      <c r="B107" s="145"/>
      <c r="C107" s="145"/>
      <c r="D107" s="145"/>
      <c r="E107" s="146"/>
      <c r="AB107" s="100"/>
      <c r="AC107" s="100"/>
      <c r="AD107" s="100"/>
    </row>
    <row r="108" spans="2:44" ht="105" x14ac:dyDescent="0.25">
      <c r="C108" s="147"/>
      <c r="D108" s="148" t="s">
        <v>50</v>
      </c>
      <c r="E108" s="148" t="s">
        <v>51</v>
      </c>
      <c r="F108" s="148" t="s">
        <v>52</v>
      </c>
      <c r="G108" s="148" t="s">
        <v>53</v>
      </c>
      <c r="H108" s="148" t="s">
        <v>54</v>
      </c>
      <c r="I108" s="149"/>
      <c r="J108" s="145"/>
      <c r="AB108" s="100"/>
      <c r="AC108" s="100"/>
      <c r="AD108" s="100"/>
    </row>
    <row r="109" spans="2:44" x14ac:dyDescent="0.25">
      <c r="C109" s="147" t="s">
        <v>2</v>
      </c>
      <c r="D109" s="150">
        <v>25796.574325754555</v>
      </c>
      <c r="E109" s="150">
        <v>37073.591967430708</v>
      </c>
      <c r="F109" s="150">
        <v>4610</v>
      </c>
      <c r="G109" s="151">
        <v>0.43715175120820227</v>
      </c>
      <c r="H109" s="151">
        <v>0.12434727134208907</v>
      </c>
      <c r="AH109" s="14"/>
    </row>
    <row r="110" spans="2:44" x14ac:dyDescent="0.25">
      <c r="C110" s="147" t="s">
        <v>36</v>
      </c>
      <c r="D110" s="150">
        <v>64175.743590201768</v>
      </c>
      <c r="E110" s="150">
        <v>55864.780302312953</v>
      </c>
      <c r="F110" s="150">
        <v>55864.780302312953</v>
      </c>
      <c r="G110" s="151">
        <v>-0.12950318645248574</v>
      </c>
      <c r="H110" s="151">
        <v>1</v>
      </c>
      <c r="AD110" s="14"/>
      <c r="AE110" s="14"/>
      <c r="AH110" s="14"/>
    </row>
    <row r="111" spans="2:44" x14ac:dyDescent="0.25">
      <c r="C111" s="147" t="s">
        <v>37</v>
      </c>
      <c r="D111" s="150">
        <v>9139.2576278187753</v>
      </c>
      <c r="E111" s="150">
        <v>13376.665488460038</v>
      </c>
      <c r="F111" s="150">
        <v>12764.781882186551</v>
      </c>
      <c r="G111" s="151">
        <v>0.46364902196685148</v>
      </c>
      <c r="H111" s="151">
        <v>0.95425738897325685</v>
      </c>
      <c r="AC111" s="100"/>
      <c r="AH111" s="14"/>
      <c r="AI111" s="14"/>
    </row>
    <row r="112" spans="2:44" x14ac:dyDescent="0.25">
      <c r="C112" s="147" t="s">
        <v>38</v>
      </c>
      <c r="D112" s="150">
        <v>18763.972864581803</v>
      </c>
      <c r="E112" s="150">
        <v>23226.339348615056</v>
      </c>
      <c r="F112" s="150">
        <v>20917.561594709565</v>
      </c>
      <c r="G112" s="151">
        <v>0.23781565429868293</v>
      </c>
      <c r="H112" s="151">
        <v>0.90059657188108899</v>
      </c>
      <c r="AH112" s="14"/>
      <c r="AI112" s="152"/>
      <c r="AJ112" s="152"/>
      <c r="AK112" s="152"/>
      <c r="AL112" s="152"/>
      <c r="AM112" s="152"/>
      <c r="AN112" s="152"/>
      <c r="AO112" s="152"/>
      <c r="AP112" s="152"/>
    </row>
    <row r="113" spans="1:42" x14ac:dyDescent="0.25">
      <c r="C113" s="147" t="s">
        <v>39</v>
      </c>
      <c r="D113" s="150">
        <v>45904.919573288469</v>
      </c>
      <c r="E113" s="150">
        <v>66102.412713000333</v>
      </c>
      <c r="F113" s="150">
        <v>61573.293228768547</v>
      </c>
      <c r="G113" s="151">
        <v>0.43998537253651016</v>
      </c>
      <c r="H113" s="151">
        <v>0.93148329541470665</v>
      </c>
      <c r="AE113" s="153"/>
      <c r="AF113" s="152"/>
      <c r="AG113" s="152"/>
      <c r="AH113" s="14"/>
      <c r="AI113" s="152"/>
      <c r="AJ113" s="153"/>
      <c r="AK113" s="153"/>
      <c r="AL113" s="153"/>
      <c r="AM113" s="153"/>
      <c r="AN113" s="153"/>
      <c r="AO113" s="153"/>
      <c r="AP113" s="152"/>
    </row>
    <row r="114" spans="1:42" x14ac:dyDescent="0.25">
      <c r="C114" s="147" t="s">
        <v>40</v>
      </c>
      <c r="D114" s="150">
        <v>18268.226860644565</v>
      </c>
      <c r="E114" s="150">
        <v>21316.059783226872</v>
      </c>
      <c r="F114" s="150">
        <v>19340.533873022527</v>
      </c>
      <c r="G114" s="151">
        <v>0.16683791732126374</v>
      </c>
      <c r="H114" s="151">
        <v>0.9073221819466446</v>
      </c>
      <c r="AB114" s="135"/>
      <c r="AC114" s="135"/>
      <c r="AD114" s="135"/>
      <c r="AE114" s="154"/>
      <c r="AF114" s="154"/>
      <c r="AG114" s="152"/>
      <c r="AH114" s="153"/>
      <c r="AI114" s="152"/>
      <c r="AJ114" s="152"/>
      <c r="AK114" s="152"/>
      <c r="AL114" s="152"/>
      <c r="AM114" s="152"/>
      <c r="AN114" s="152"/>
      <c r="AO114" s="152"/>
      <c r="AP114" s="152"/>
    </row>
    <row r="115" spans="1:42" x14ac:dyDescent="0.25">
      <c r="E115" s="100"/>
      <c r="AC115" s="100"/>
      <c r="AE115" s="153"/>
      <c r="AF115" s="152"/>
      <c r="AG115" s="152"/>
      <c r="AH115" s="100"/>
      <c r="AJ115" s="153"/>
      <c r="AK115" s="152"/>
      <c r="AL115" s="152"/>
      <c r="AM115" s="152"/>
      <c r="AN115" s="152"/>
      <c r="AO115" s="152"/>
      <c r="AP115" s="152"/>
    </row>
    <row r="117" spans="1:42" s="161" customFormat="1" x14ac:dyDescent="0.25">
      <c r="A117" s="160"/>
    </row>
    <row r="119" spans="1:42" x14ac:dyDescent="0.25">
      <c r="B119" s="157" t="s">
        <v>69</v>
      </c>
    </row>
    <row r="120" spans="1:42" x14ac:dyDescent="0.25">
      <c r="B120" t="s">
        <v>70</v>
      </c>
    </row>
    <row r="122" spans="1:42" x14ac:dyDescent="0.25">
      <c r="C122">
        <v>2010</v>
      </c>
      <c r="D122">
        <v>2011</v>
      </c>
      <c r="E122">
        <v>2012</v>
      </c>
      <c r="F122">
        <v>2013</v>
      </c>
      <c r="G122">
        <f t="shared" ref="G122:L122" si="10">F122+1</f>
        <v>2014</v>
      </c>
      <c r="H122">
        <f t="shared" si="10"/>
        <v>2015</v>
      </c>
      <c r="I122">
        <f t="shared" si="10"/>
        <v>2016</v>
      </c>
      <c r="J122">
        <f t="shared" si="10"/>
        <v>2017</v>
      </c>
      <c r="K122">
        <f t="shared" si="10"/>
        <v>2018</v>
      </c>
      <c r="L122">
        <f t="shared" si="10"/>
        <v>2019</v>
      </c>
    </row>
    <row r="123" spans="1:42" x14ac:dyDescent="0.25">
      <c r="B123" s="157" t="s">
        <v>71</v>
      </c>
      <c r="C123">
        <v>23.471340999999999</v>
      </c>
      <c r="D123">
        <v>15.654388000000001</v>
      </c>
      <c r="E123">
        <v>16.177610999999999</v>
      </c>
      <c r="F123">
        <v>13.049913</v>
      </c>
    </row>
    <row r="124" spans="1:42" x14ac:dyDescent="0.25">
      <c r="B124" t="s">
        <v>72</v>
      </c>
      <c r="C124">
        <v>12.239734</v>
      </c>
      <c r="D124">
        <v>12.045002</v>
      </c>
      <c r="E124">
        <v>12.566719000000001</v>
      </c>
      <c r="F124">
        <v>10.342922</v>
      </c>
    </row>
    <row r="125" spans="1:42" x14ac:dyDescent="0.25">
      <c r="B125" t="s">
        <v>73</v>
      </c>
      <c r="C125">
        <v>4.5615500000000004</v>
      </c>
      <c r="D125">
        <v>4.6675000000000004</v>
      </c>
      <c r="E125">
        <v>4.5891409999999997</v>
      </c>
      <c r="F125">
        <v>4.5392890000000001</v>
      </c>
    </row>
    <row r="126" spans="1:42" x14ac:dyDescent="0.25">
      <c r="B126" t="s">
        <v>74</v>
      </c>
      <c r="C126">
        <v>4.4165049999999999</v>
      </c>
      <c r="D126">
        <v>4.5535319999999997</v>
      </c>
      <c r="E126">
        <v>4.5836699999999997</v>
      </c>
      <c r="F126">
        <v>4.615856</v>
      </c>
    </row>
    <row r="127" spans="1:42" x14ac:dyDescent="0.25">
      <c r="B127" t="s">
        <v>75</v>
      </c>
      <c r="C127">
        <v>4.3822070000000002</v>
      </c>
      <c r="D127">
        <v>4.3620289999999997</v>
      </c>
      <c r="E127">
        <v>4.6875660000000003</v>
      </c>
      <c r="F127">
        <v>4.3963890000000001</v>
      </c>
    </row>
    <row r="128" spans="1:42" x14ac:dyDescent="0.25">
      <c r="B128" t="s">
        <v>76</v>
      </c>
      <c r="C128">
        <v>1.025134</v>
      </c>
      <c r="D128">
        <v>0.94970900000000003</v>
      </c>
      <c r="E128">
        <v>0.89521799999999996</v>
      </c>
      <c r="F128">
        <v>1.1112010000000001</v>
      </c>
    </row>
    <row r="129" spans="2:6" x14ac:dyDescent="0.25">
      <c r="B129" t="s">
        <v>77</v>
      </c>
      <c r="C129">
        <v>0.96855500000000005</v>
      </c>
      <c r="D129">
        <v>1.0279100000000001</v>
      </c>
      <c r="E129">
        <v>1.000391</v>
      </c>
      <c r="F129">
        <v>0.78884200000000004</v>
      </c>
    </row>
    <row r="130" spans="2:6" x14ac:dyDescent="0.25">
      <c r="B130" t="s">
        <v>78</v>
      </c>
      <c r="C130">
        <v>0.87819999999999998</v>
      </c>
      <c r="D130">
        <v>0.90612099999999995</v>
      </c>
      <c r="E130">
        <v>0.79643900000000001</v>
      </c>
      <c r="F130">
        <v>1.0696969999999999</v>
      </c>
    </row>
    <row r="131" spans="2:6" x14ac:dyDescent="0.25">
      <c r="B131" t="s">
        <v>79</v>
      </c>
      <c r="C131">
        <v>0.59262700000000001</v>
      </c>
      <c r="D131">
        <v>0.61369200000000002</v>
      </c>
      <c r="E131">
        <v>0.59292299999999998</v>
      </c>
      <c r="F131">
        <v>0.58471099999999998</v>
      </c>
    </row>
    <row r="132" spans="2:6" x14ac:dyDescent="0.25">
      <c r="B132" t="s">
        <v>80</v>
      </c>
      <c r="C132">
        <v>2.316058</v>
      </c>
      <c r="D132">
        <v>2.4277060000000001</v>
      </c>
      <c r="E132">
        <v>2.354225</v>
      </c>
      <c r="F132">
        <v>2.4289070000000001</v>
      </c>
    </row>
    <row r="133" spans="2:6" x14ac:dyDescent="0.25">
      <c r="B133" t="s">
        <v>81</v>
      </c>
      <c r="C133">
        <v>54.851911000000001</v>
      </c>
      <c r="D133">
        <v>47.207588999999999</v>
      </c>
      <c r="E133">
        <v>48.243903000000003</v>
      </c>
      <c r="F133">
        <v>42.927726999999997</v>
      </c>
    </row>
    <row r="134" spans="2:6" x14ac:dyDescent="0.25">
      <c r="B134" s="157" t="s">
        <v>82</v>
      </c>
    </row>
    <row r="135" spans="2:6" x14ac:dyDescent="0.25">
      <c r="B135" t="s">
        <v>83</v>
      </c>
      <c r="C135">
        <v>0.54015599999999997</v>
      </c>
      <c r="D135">
        <v>0.55067600000000005</v>
      </c>
      <c r="E135">
        <v>0.463028</v>
      </c>
      <c r="F135">
        <v>0.51003299999999996</v>
      </c>
    </row>
    <row r="136" spans="2:6" x14ac:dyDescent="0.25">
      <c r="B136" t="s">
        <v>84</v>
      </c>
      <c r="C136">
        <v>0.37824099999999999</v>
      </c>
      <c r="D136">
        <v>0.38194</v>
      </c>
      <c r="E136">
        <v>0.357153</v>
      </c>
      <c r="F136">
        <v>0.36861699999999997</v>
      </c>
    </row>
    <row r="137" spans="2:6" x14ac:dyDescent="0.25">
      <c r="B137" t="s">
        <v>85</v>
      </c>
      <c r="C137">
        <v>0.36312299999999997</v>
      </c>
      <c r="D137">
        <v>0.47993200000000003</v>
      </c>
      <c r="E137">
        <v>0.48398400000000003</v>
      </c>
      <c r="F137">
        <v>0.49171700000000002</v>
      </c>
    </row>
    <row r="138" spans="2:6" x14ac:dyDescent="0.25">
      <c r="B138" t="s">
        <v>86</v>
      </c>
      <c r="C138">
        <v>0.29633300000000001</v>
      </c>
      <c r="D138">
        <v>0.29138399999999998</v>
      </c>
      <c r="E138">
        <v>0.26049299999999997</v>
      </c>
      <c r="F138">
        <v>0.25771500000000003</v>
      </c>
    </row>
    <row r="139" spans="2:6" x14ac:dyDescent="0.25">
      <c r="B139" t="s">
        <v>87</v>
      </c>
      <c r="C139">
        <v>0.28870200000000001</v>
      </c>
      <c r="D139">
        <v>0.304591</v>
      </c>
      <c r="E139">
        <v>0.32132899999999998</v>
      </c>
      <c r="F139">
        <v>0.323932</v>
      </c>
    </row>
    <row r="140" spans="2:6" x14ac:dyDescent="0.25">
      <c r="B140" t="s">
        <v>88</v>
      </c>
      <c r="C140">
        <v>0.20796100000000001</v>
      </c>
      <c r="D140">
        <v>0.14618500000000001</v>
      </c>
      <c r="E140">
        <v>0.18004899999999999</v>
      </c>
      <c r="F140">
        <v>0.18599299999999999</v>
      </c>
    </row>
    <row r="141" spans="2:6" x14ac:dyDescent="0.25">
      <c r="B141" t="s">
        <v>89</v>
      </c>
      <c r="C141">
        <v>0.13961899999999999</v>
      </c>
      <c r="D141">
        <v>0.13515199999999999</v>
      </c>
      <c r="E141">
        <v>0.145704</v>
      </c>
      <c r="F141">
        <v>0.135209</v>
      </c>
    </row>
    <row r="142" spans="2:6" x14ac:dyDescent="0.25">
      <c r="B142" t="s">
        <v>90</v>
      </c>
      <c r="C142">
        <v>0.101923</v>
      </c>
      <c r="D142">
        <v>0.137846</v>
      </c>
      <c r="E142">
        <v>0.142485</v>
      </c>
      <c r="F142">
        <v>0.155691</v>
      </c>
    </row>
    <row r="144" spans="2:6" x14ac:dyDescent="0.25">
      <c r="B144" s="157" t="s">
        <v>91</v>
      </c>
    </row>
    <row r="145" spans="1:44" x14ac:dyDescent="0.25">
      <c r="B145" t="s">
        <v>92</v>
      </c>
      <c r="C145">
        <v>30.604073000000007</v>
      </c>
      <c r="D145">
        <v>30.742030999999997</v>
      </c>
      <c r="E145">
        <v>31.306160999999999</v>
      </c>
      <c r="F145">
        <v>29.095790999999998</v>
      </c>
    </row>
    <row r="146" spans="1:44" x14ac:dyDescent="0.25">
      <c r="B146" t="s">
        <v>93</v>
      </c>
      <c r="C146">
        <v>23.471340999999999</v>
      </c>
      <c r="D146">
        <v>15.654388000000001</v>
      </c>
      <c r="E146">
        <v>16.177610999999999</v>
      </c>
      <c r="F146">
        <v>13.049913</v>
      </c>
      <c r="AE146" s="515">
        <v>35.936886083891565</v>
      </c>
      <c r="AF146" s="515">
        <v>34.804807674705678</v>
      </c>
      <c r="AG146" s="515">
        <v>33.352890657864229</v>
      </c>
      <c r="AH146" s="515">
        <v>32.039467938099527</v>
      </c>
    </row>
    <row r="147" spans="1:44" x14ac:dyDescent="0.25">
      <c r="B147" t="s">
        <v>94</v>
      </c>
      <c r="C147">
        <v>0.37824099999999999</v>
      </c>
      <c r="D147">
        <v>0.38194</v>
      </c>
      <c r="E147">
        <v>0.357153</v>
      </c>
      <c r="F147">
        <v>0.36861699999999997</v>
      </c>
      <c r="AE147" s="516" t="e">
        <f>AE146/AE164</f>
        <v>#REF!</v>
      </c>
      <c r="AF147" s="516" t="e">
        <f>AF146/AF164</f>
        <v>#REF!</v>
      </c>
      <c r="AG147" s="516" t="e">
        <f>AG146/AG164</f>
        <v>#REF!</v>
      </c>
      <c r="AH147" s="516" t="e">
        <f>AH146/AH164</f>
        <v>#REF!</v>
      </c>
    </row>
    <row r="148" spans="1:44" x14ac:dyDescent="0.25">
      <c r="B148" t="s">
        <v>90</v>
      </c>
      <c r="C148">
        <v>0.101923</v>
      </c>
      <c r="D148">
        <v>0.137846</v>
      </c>
      <c r="E148">
        <v>0.142485</v>
      </c>
      <c r="F148">
        <v>0.155691</v>
      </c>
      <c r="AE148" s="514" t="e">
        <f>AE160/AE164</f>
        <v>#REF!</v>
      </c>
      <c r="AF148" s="514" t="e">
        <f>AF160/AF164</f>
        <v>#REF!</v>
      </c>
      <c r="AG148" s="514" t="e">
        <f>AG160/AG164</f>
        <v>#REF!</v>
      </c>
      <c r="AH148" s="514" t="e">
        <f>AH160/AH164</f>
        <v>#REF!</v>
      </c>
    </row>
    <row r="149" spans="1:44" x14ac:dyDescent="0.25">
      <c r="B149" t="s">
        <v>86</v>
      </c>
      <c r="C149">
        <v>0.29633300000000001</v>
      </c>
      <c r="D149">
        <v>0.29138399999999998</v>
      </c>
      <c r="E149">
        <v>0.26049299999999997</v>
      </c>
      <c r="F149">
        <v>0.25771500000000003</v>
      </c>
    </row>
    <row r="150" spans="1:44" x14ac:dyDescent="0.25">
      <c r="B150" t="s">
        <v>81</v>
      </c>
      <c r="C150">
        <v>54.851911000000008</v>
      </c>
      <c r="D150">
        <v>47.207588999999999</v>
      </c>
      <c r="E150">
        <v>48.243902999999996</v>
      </c>
      <c r="F150">
        <v>42.92772699999999</v>
      </c>
      <c r="W150" s="362"/>
      <c r="X150" s="171">
        <v>2010</v>
      </c>
      <c r="Y150" s="171">
        <v>2011</v>
      </c>
      <c r="Z150" s="171">
        <v>2012</v>
      </c>
      <c r="AA150" s="171">
        <v>2013</v>
      </c>
      <c r="AB150" s="171">
        <v>2014</v>
      </c>
      <c r="AC150" s="171">
        <v>2015</v>
      </c>
      <c r="AD150" s="171">
        <v>2016</v>
      </c>
      <c r="AE150" s="365">
        <v>2017</v>
      </c>
      <c r="AF150" s="365">
        <v>2018</v>
      </c>
      <c r="AG150" s="365">
        <v>2019</v>
      </c>
      <c r="AH150" s="365">
        <v>2020</v>
      </c>
    </row>
    <row r="151" spans="1:44" x14ac:dyDescent="0.25">
      <c r="B151" s="158" t="s">
        <v>95</v>
      </c>
      <c r="C151" s="124">
        <f>SUM(C145,C147,C148,C149)</f>
        <v>31.380570000000006</v>
      </c>
      <c r="D151" s="124">
        <f>SUM(D145,D147,D148,D149)</f>
        <v>31.553200999999998</v>
      </c>
      <c r="E151" s="124">
        <f>SUM(E145,E147,E148,E149)</f>
        <v>32.066291999999997</v>
      </c>
      <c r="F151" s="124">
        <f>SUM(F145,F147,F148,F149)</f>
        <v>29.877814000000001</v>
      </c>
      <c r="W151" s="363" t="s">
        <v>195</v>
      </c>
      <c r="X151" s="353">
        <f>X152/(X93/1000)</f>
        <v>6.9634953114697598E-2</v>
      </c>
      <c r="Y151" s="353">
        <f t="shared" ref="Y151:AJ151" si="11">Y152/(Y93/1000)</f>
        <v>7.2580819089629184E-2</v>
      </c>
      <c r="Z151" s="353">
        <f t="shared" si="11"/>
        <v>7.5960495148709659E-2</v>
      </c>
      <c r="AA151" s="353">
        <f t="shared" si="11"/>
        <v>6.9876018830649131E-2</v>
      </c>
      <c r="AB151" s="353" t="e">
        <f t="shared" si="11"/>
        <v>#REF!</v>
      </c>
      <c r="AC151" s="353" t="e">
        <f t="shared" si="11"/>
        <v>#REF!</v>
      </c>
      <c r="AD151" s="353" t="e">
        <f t="shared" si="11"/>
        <v>#REF!</v>
      </c>
      <c r="AE151" s="366" t="e">
        <f t="shared" si="11"/>
        <v>#REF!</v>
      </c>
      <c r="AF151" s="366" t="e">
        <f t="shared" si="11"/>
        <v>#REF!</v>
      </c>
      <c r="AG151" s="366" t="e">
        <f t="shared" si="11"/>
        <v>#REF!</v>
      </c>
      <c r="AH151" s="366" t="e">
        <f t="shared" si="11"/>
        <v>#REF!</v>
      </c>
      <c r="AI151" s="360" t="e">
        <f t="shared" si="11"/>
        <v>#REF!</v>
      </c>
      <c r="AJ151" s="360" t="e">
        <f t="shared" si="11"/>
        <v>#REF!</v>
      </c>
    </row>
    <row r="152" spans="1:44" x14ac:dyDescent="0.25">
      <c r="W152" s="363" t="s">
        <v>196</v>
      </c>
      <c r="X152" s="171">
        <f>X155*0.42</f>
        <v>12.418809899999999</v>
      </c>
      <c r="Y152" s="171">
        <f t="shared" ref="Y152:AJ152" si="12">Y155*0.42</f>
        <v>12.676261499999999</v>
      </c>
      <c r="Z152" s="171">
        <f t="shared" si="12"/>
        <v>12.9817737</v>
      </c>
      <c r="AA152" s="171">
        <f t="shared" si="12"/>
        <v>11.93300136</v>
      </c>
      <c r="AB152" s="171">
        <f t="shared" si="12"/>
        <v>12.04901210966033</v>
      </c>
      <c r="AC152" s="171">
        <f t="shared" si="12"/>
        <v>12.148575249608085</v>
      </c>
      <c r="AD152" s="171">
        <f t="shared" si="12"/>
        <v>12.26232047396174</v>
      </c>
      <c r="AE152" s="171">
        <f t="shared" si="12"/>
        <v>12.390987202386567</v>
      </c>
      <c r="AF152" s="171">
        <f t="shared" si="12"/>
        <v>12.230006905704297</v>
      </c>
      <c r="AG152" s="171">
        <f t="shared" si="12"/>
        <v>12.072415033373012</v>
      </c>
      <c r="AH152" s="171">
        <f t="shared" si="12"/>
        <v>11.918118450434541</v>
      </c>
      <c r="AI152">
        <f t="shared" si="12"/>
        <v>11.880919822825007</v>
      </c>
      <c r="AJ152">
        <f t="shared" si="12"/>
        <v>11.844918462865948</v>
      </c>
    </row>
    <row r="153" spans="1:44" hidden="1" x14ac:dyDescent="0.25">
      <c r="A153" s="184" t="s">
        <v>97</v>
      </c>
      <c r="B153" s="184"/>
      <c r="C153" s="184"/>
      <c r="W153" s="364"/>
      <c r="X153" s="361">
        <f>C151</f>
        <v>31.380570000000006</v>
      </c>
      <c r="Y153" s="361">
        <f>D151</f>
        <v>31.553200999999998</v>
      </c>
      <c r="Z153" s="361">
        <f>E151</f>
        <v>32.066291999999997</v>
      </c>
      <c r="AA153" s="361">
        <f>F151</f>
        <v>29.877814000000001</v>
      </c>
      <c r="AB153" s="361" t="e">
        <f>AA153*AB87/AA87</f>
        <v>#REF!</v>
      </c>
      <c r="AC153" s="361" t="e">
        <f t="shared" ref="AC153:AR153" si="13">AB153*AC87/AB87</f>
        <v>#REF!</v>
      </c>
      <c r="AD153" s="361" t="e">
        <f t="shared" si="13"/>
        <v>#REF!</v>
      </c>
      <c r="AE153" s="361" t="e">
        <f t="shared" si="13"/>
        <v>#REF!</v>
      </c>
      <c r="AF153" s="361" t="e">
        <f t="shared" si="13"/>
        <v>#REF!</v>
      </c>
      <c r="AG153" s="361" t="e">
        <f t="shared" si="13"/>
        <v>#REF!</v>
      </c>
      <c r="AH153" s="361" t="e">
        <f t="shared" si="13"/>
        <v>#REF!</v>
      </c>
      <c r="AI153" s="307" t="e">
        <f t="shared" si="13"/>
        <v>#REF!</v>
      </c>
      <c r="AJ153" s="307" t="e">
        <f t="shared" si="13"/>
        <v>#REF!</v>
      </c>
      <c r="AK153" s="307" t="e">
        <f t="shared" si="13"/>
        <v>#REF!</v>
      </c>
      <c r="AL153" s="307" t="e">
        <f t="shared" si="13"/>
        <v>#REF!</v>
      </c>
      <c r="AM153" s="307" t="e">
        <f t="shared" si="13"/>
        <v>#REF!</v>
      </c>
      <c r="AN153" s="307" t="e">
        <f t="shared" si="13"/>
        <v>#REF!</v>
      </c>
      <c r="AO153" s="307" t="e">
        <f t="shared" si="13"/>
        <v>#REF!</v>
      </c>
      <c r="AP153" s="307" t="e">
        <f t="shared" si="13"/>
        <v>#REF!</v>
      </c>
      <c r="AQ153" s="307" t="e">
        <f t="shared" si="13"/>
        <v>#REF!</v>
      </c>
      <c r="AR153" s="307" t="e">
        <f t="shared" si="13"/>
        <v>#REF!</v>
      </c>
    </row>
    <row r="154" spans="1:44" hidden="1" x14ac:dyDescent="0.25">
      <c r="A154" s="184"/>
      <c r="B154" s="183" t="s">
        <v>98</v>
      </c>
      <c r="C154" s="184"/>
      <c r="W154" s="364"/>
      <c r="X154" s="1707" t="s">
        <v>101</v>
      </c>
      <c r="Y154" s="1707"/>
      <c r="Z154" s="1707"/>
      <c r="AA154" s="1707"/>
      <c r="AB154" s="1708" t="s">
        <v>181</v>
      </c>
      <c r="AC154" s="1708"/>
      <c r="AD154" s="1708"/>
      <c r="AE154" s="1708"/>
      <c r="AF154" s="1708"/>
      <c r="AG154" s="1708"/>
      <c r="AH154" s="1708"/>
      <c r="AI154" s="1708"/>
      <c r="AJ154" s="1708"/>
      <c r="AK154" s="1708"/>
      <c r="AL154" s="1708"/>
      <c r="AM154" s="1708"/>
      <c r="AN154" s="1708"/>
      <c r="AO154" s="1708"/>
      <c r="AP154" s="1708"/>
      <c r="AQ154" s="1708"/>
      <c r="AR154" s="1708"/>
    </row>
    <row r="155" spans="1:44" x14ac:dyDescent="0.25">
      <c r="B155" s="185" t="s">
        <v>99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363" t="s">
        <v>197</v>
      </c>
      <c r="X155" s="305">
        <f>X158/1000000</f>
        <v>29.568594999999998</v>
      </c>
      <c r="Y155" s="305">
        <f t="shared" ref="Y155:AR155" si="14">Y158/1000000</f>
        <v>30.181574999999999</v>
      </c>
      <c r="Z155" s="305">
        <f t="shared" si="14"/>
        <v>30.908985000000001</v>
      </c>
      <c r="AA155" s="305">
        <f t="shared" si="14"/>
        <v>28.411908</v>
      </c>
      <c r="AB155" s="305">
        <f t="shared" si="14"/>
        <v>28.688124070619835</v>
      </c>
      <c r="AC155" s="305">
        <f t="shared" si="14"/>
        <v>28.925179165733535</v>
      </c>
      <c r="AD155" s="305">
        <f t="shared" si="14"/>
        <v>29.196001128480333</v>
      </c>
      <c r="AE155" s="305">
        <f t="shared" si="14"/>
        <v>29.502350481872782</v>
      </c>
      <c r="AF155" s="305">
        <f t="shared" si="14"/>
        <v>29.119064061200707</v>
      </c>
      <c r="AG155" s="305">
        <f t="shared" si="14"/>
        <v>28.743845317554793</v>
      </c>
      <c r="AH155" s="305">
        <f t="shared" si="14"/>
        <v>28.376472501034623</v>
      </c>
      <c r="AI155" s="305">
        <f t="shared" si="14"/>
        <v>28.287904340059541</v>
      </c>
      <c r="AJ155" s="305">
        <f t="shared" si="14"/>
        <v>28.202186816347496</v>
      </c>
      <c r="AK155" s="305">
        <f t="shared" si="14"/>
        <v>28.119274205747686</v>
      </c>
      <c r="AL155" s="305">
        <f t="shared" si="14"/>
        <v>27.96188828683243</v>
      </c>
      <c r="AM155" s="305">
        <f t="shared" si="14"/>
        <v>27.811303781710581</v>
      </c>
      <c r="AN155" s="305">
        <f t="shared" si="14"/>
        <v>27.667315363055351</v>
      </c>
      <c r="AO155" s="305">
        <f t="shared" si="14"/>
        <v>27.655336824046266</v>
      </c>
      <c r="AP155" s="305">
        <f t="shared" si="14"/>
        <v>27.645743314614602</v>
      </c>
      <c r="AQ155" s="305">
        <f t="shared" si="14"/>
        <v>27.638501463928563</v>
      </c>
      <c r="AR155" s="305">
        <f t="shared" si="14"/>
        <v>27.440732266348103</v>
      </c>
    </row>
    <row r="156" spans="1:44" x14ac:dyDescent="0.25">
      <c r="B156" s="172" t="s">
        <v>100</v>
      </c>
      <c r="C156" s="171"/>
      <c r="D156" s="171"/>
      <c r="E156" s="171"/>
      <c r="F156" s="171"/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71"/>
      <c r="R156" s="171"/>
      <c r="S156" s="171"/>
      <c r="T156" s="171"/>
      <c r="U156" s="171"/>
      <c r="V156" s="171"/>
      <c r="W156" s="171"/>
      <c r="X156" s="172" t="e">
        <f t="shared" ref="X156:AR156" si="15">(X87-X71-X73-X74-X75+X88)/1000-X155</f>
        <v>#REF!</v>
      </c>
      <c r="Y156" s="172" t="e">
        <f t="shared" si="15"/>
        <v>#REF!</v>
      </c>
      <c r="Z156" s="172" t="e">
        <f t="shared" si="15"/>
        <v>#REF!</v>
      </c>
      <c r="AA156" s="172" t="e">
        <f t="shared" si="15"/>
        <v>#REF!</v>
      </c>
      <c r="AB156" s="172" t="e">
        <f t="shared" si="15"/>
        <v>#REF!</v>
      </c>
      <c r="AC156" s="172" t="e">
        <f t="shared" si="15"/>
        <v>#REF!</v>
      </c>
      <c r="AD156" s="172" t="e">
        <f t="shared" si="15"/>
        <v>#REF!</v>
      </c>
      <c r="AE156" s="172" t="e">
        <f t="shared" si="15"/>
        <v>#REF!</v>
      </c>
      <c r="AF156" s="172" t="e">
        <f t="shared" si="15"/>
        <v>#REF!</v>
      </c>
      <c r="AG156" s="172" t="e">
        <f t="shared" si="15"/>
        <v>#REF!</v>
      </c>
      <c r="AH156" s="172" t="e">
        <f t="shared" si="15"/>
        <v>#REF!</v>
      </c>
      <c r="AI156" s="172" t="e">
        <f t="shared" si="15"/>
        <v>#REF!</v>
      </c>
      <c r="AJ156" s="172" t="e">
        <f t="shared" si="15"/>
        <v>#REF!</v>
      </c>
      <c r="AK156" s="172" t="e">
        <f t="shared" si="15"/>
        <v>#REF!</v>
      </c>
      <c r="AL156" s="172" t="e">
        <f t="shared" si="15"/>
        <v>#REF!</v>
      </c>
      <c r="AM156" s="172" t="e">
        <f t="shared" si="15"/>
        <v>#REF!</v>
      </c>
      <c r="AN156" s="172" t="e">
        <f t="shared" si="15"/>
        <v>#REF!</v>
      </c>
      <c r="AO156" s="172" t="e">
        <f t="shared" si="15"/>
        <v>#REF!</v>
      </c>
      <c r="AP156" s="172" t="e">
        <f t="shared" si="15"/>
        <v>#REF!</v>
      </c>
      <c r="AQ156" s="172" t="e">
        <f t="shared" si="15"/>
        <v>#REF!</v>
      </c>
      <c r="AR156" s="172" t="e">
        <f t="shared" si="15"/>
        <v>#REF!</v>
      </c>
    </row>
    <row r="157" spans="1:44" x14ac:dyDescent="0.25">
      <c r="X157" s="1709" t="s">
        <v>103</v>
      </c>
      <c r="Y157" s="1709"/>
      <c r="Z157" s="1709"/>
      <c r="AA157" s="1709"/>
      <c r="AB157" s="1709"/>
      <c r="AC157" s="1709"/>
      <c r="AD157" s="1709"/>
      <c r="AE157" s="1709"/>
      <c r="AF157" s="1709"/>
      <c r="AG157" s="1709"/>
      <c r="AH157" s="1709"/>
      <c r="AI157" s="1709"/>
      <c r="AJ157" s="1709"/>
      <c r="AK157" s="1709"/>
      <c r="AL157" s="1709"/>
      <c r="AM157" s="1709"/>
      <c r="AN157" s="1709"/>
      <c r="AO157" s="1709"/>
      <c r="AP157" s="1709"/>
      <c r="AQ157" s="1709"/>
      <c r="AR157" s="1709"/>
    </row>
    <row r="158" spans="1:44" x14ac:dyDescent="0.25">
      <c r="B158" t="s">
        <v>154</v>
      </c>
      <c r="X158" s="306">
        <v>29568595</v>
      </c>
      <c r="Y158" s="306">
        <v>30181575</v>
      </c>
      <c r="Z158" s="306">
        <v>30908985</v>
      </c>
      <c r="AA158" s="306">
        <v>28411908</v>
      </c>
      <c r="AB158" s="306">
        <v>28688124.070619836</v>
      </c>
      <c r="AC158" s="306">
        <v>28925179.165733535</v>
      </c>
      <c r="AD158" s="306">
        <v>29196001.128480334</v>
      </c>
      <c r="AE158" s="306">
        <v>29502350.481872782</v>
      </c>
      <c r="AF158" s="306">
        <v>29119064.061200708</v>
      </c>
      <c r="AG158" s="306">
        <v>28743845.317554794</v>
      </c>
      <c r="AH158" s="306">
        <v>28376472.501034625</v>
      </c>
      <c r="AI158" s="306">
        <v>28287904.340059541</v>
      </c>
      <c r="AJ158" s="306">
        <v>28202186.816347495</v>
      </c>
      <c r="AK158" s="306">
        <v>28119274.205747686</v>
      </c>
      <c r="AL158" s="306">
        <v>27961888.286832429</v>
      </c>
      <c r="AM158" s="306">
        <v>27811303.78171058</v>
      </c>
      <c r="AN158" s="306">
        <v>27667315.363055352</v>
      </c>
      <c r="AO158" s="306">
        <v>27655336.824046265</v>
      </c>
      <c r="AP158" s="306">
        <v>27645743.314614601</v>
      </c>
      <c r="AQ158" s="306">
        <v>27638501.463928562</v>
      </c>
      <c r="AR158" s="306">
        <v>27440732.266348105</v>
      </c>
    </row>
    <row r="159" spans="1:44" s="165" customFormat="1" hidden="1" x14ac:dyDescent="0.25">
      <c r="A159" s="165" t="s">
        <v>30</v>
      </c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 t="s">
        <v>104</v>
      </c>
      <c r="X159" s="166" t="e">
        <f t="shared" ref="X159:AR159" si="16">X81</f>
        <v>#REF!</v>
      </c>
      <c r="Y159" s="166" t="e">
        <f t="shared" si="16"/>
        <v>#REF!</v>
      </c>
      <c r="Z159" s="166" t="e">
        <f t="shared" si="16"/>
        <v>#REF!</v>
      </c>
      <c r="AA159" s="166" t="e">
        <f t="shared" si="16"/>
        <v>#REF!</v>
      </c>
      <c r="AB159" s="166" t="e">
        <f t="shared" si="16"/>
        <v>#REF!</v>
      </c>
      <c r="AC159" s="166" t="e">
        <f t="shared" si="16"/>
        <v>#REF!</v>
      </c>
      <c r="AD159" s="166" t="e">
        <f t="shared" si="16"/>
        <v>#REF!</v>
      </c>
      <c r="AE159" s="166" t="e">
        <f t="shared" si="16"/>
        <v>#REF!</v>
      </c>
      <c r="AF159" s="166" t="e">
        <f t="shared" si="16"/>
        <v>#REF!</v>
      </c>
      <c r="AG159" s="166" t="e">
        <f t="shared" si="16"/>
        <v>#REF!</v>
      </c>
      <c r="AH159" s="166" t="e">
        <f t="shared" si="16"/>
        <v>#REF!</v>
      </c>
      <c r="AI159" s="166" t="e">
        <f t="shared" si="16"/>
        <v>#REF!</v>
      </c>
      <c r="AJ159" s="166" t="e">
        <f t="shared" si="16"/>
        <v>#REF!</v>
      </c>
      <c r="AK159" s="166" t="e">
        <f t="shared" si="16"/>
        <v>#REF!</v>
      </c>
      <c r="AL159" s="166" t="e">
        <f t="shared" si="16"/>
        <v>#REF!</v>
      </c>
      <c r="AM159" s="166" t="e">
        <f t="shared" si="16"/>
        <v>#REF!</v>
      </c>
      <c r="AN159" s="166" t="e">
        <f t="shared" si="16"/>
        <v>#REF!</v>
      </c>
      <c r="AO159" s="166" t="e">
        <f t="shared" si="16"/>
        <v>#REF!</v>
      </c>
      <c r="AP159" s="166" t="e">
        <f t="shared" si="16"/>
        <v>#REF!</v>
      </c>
      <c r="AQ159" s="166" t="e">
        <f t="shared" si="16"/>
        <v>#REF!</v>
      </c>
      <c r="AR159" s="166" t="e">
        <f t="shared" si="16"/>
        <v>#REF!</v>
      </c>
    </row>
    <row r="160" spans="1:44" x14ac:dyDescent="0.25">
      <c r="B160" s="170"/>
      <c r="C160" s="170" t="s">
        <v>96</v>
      </c>
      <c r="W160" t="s">
        <v>105</v>
      </c>
      <c r="X160" s="180">
        <f t="shared" ref="X160:AR160" si="17">X155</f>
        <v>29.568594999999998</v>
      </c>
      <c r="Y160" s="180">
        <f t="shared" si="17"/>
        <v>30.181574999999999</v>
      </c>
      <c r="Z160" s="180">
        <f t="shared" si="17"/>
        <v>30.908985000000001</v>
      </c>
      <c r="AA160" s="180">
        <f t="shared" si="17"/>
        <v>28.411908</v>
      </c>
      <c r="AB160" s="180">
        <f t="shared" si="17"/>
        <v>28.688124070619835</v>
      </c>
      <c r="AC160" s="180">
        <f t="shared" si="17"/>
        <v>28.925179165733535</v>
      </c>
      <c r="AD160" s="180">
        <f t="shared" si="17"/>
        <v>29.196001128480333</v>
      </c>
      <c r="AE160" s="180">
        <f t="shared" si="17"/>
        <v>29.502350481872782</v>
      </c>
      <c r="AF160" s="180">
        <f t="shared" si="17"/>
        <v>29.119064061200707</v>
      </c>
      <c r="AG160" s="180">
        <f t="shared" si="17"/>
        <v>28.743845317554793</v>
      </c>
      <c r="AH160" s="180">
        <f t="shared" si="17"/>
        <v>28.376472501034623</v>
      </c>
      <c r="AI160" s="180">
        <f t="shared" si="17"/>
        <v>28.287904340059541</v>
      </c>
      <c r="AJ160" s="180">
        <f t="shared" si="17"/>
        <v>28.202186816347496</v>
      </c>
      <c r="AK160" s="180">
        <f t="shared" si="17"/>
        <v>28.119274205747686</v>
      </c>
      <c r="AL160" s="180">
        <f t="shared" si="17"/>
        <v>27.96188828683243</v>
      </c>
      <c r="AM160" s="180">
        <f t="shared" si="17"/>
        <v>27.811303781710581</v>
      </c>
      <c r="AN160" s="180">
        <f t="shared" si="17"/>
        <v>27.667315363055351</v>
      </c>
      <c r="AO160" s="180">
        <f t="shared" si="17"/>
        <v>27.655336824046266</v>
      </c>
      <c r="AP160" s="180">
        <f t="shared" si="17"/>
        <v>27.645743314614602</v>
      </c>
      <c r="AQ160" s="180">
        <f t="shared" si="17"/>
        <v>27.638501463928563</v>
      </c>
      <c r="AR160" s="180">
        <f t="shared" si="17"/>
        <v>27.440732266348103</v>
      </c>
    </row>
    <row r="161" spans="2:44" x14ac:dyDescent="0.25">
      <c r="B161" s="167"/>
      <c r="C161" s="167" t="s">
        <v>110</v>
      </c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t="s">
        <v>105</v>
      </c>
      <c r="X161" s="181">
        <f>X86/1000</f>
        <v>19.802272114057871</v>
      </c>
      <c r="Y161" s="181">
        <f t="shared" ref="Y161:AR161" si="18">Y86/1000</f>
        <v>14.218297326696581</v>
      </c>
      <c r="Z161" s="181">
        <f t="shared" si="18"/>
        <v>14.154796364649654</v>
      </c>
      <c r="AA161" s="181">
        <f t="shared" si="18"/>
        <v>10.890218042777899</v>
      </c>
      <c r="AB161" s="181" t="e">
        <f t="shared" si="18"/>
        <v>#REF!</v>
      </c>
      <c r="AC161" s="181" t="e">
        <f t="shared" si="18"/>
        <v>#REF!</v>
      </c>
      <c r="AD161" s="181" t="e">
        <f t="shared" si="18"/>
        <v>#REF!</v>
      </c>
      <c r="AE161" s="181">
        <f>AE86/1000</f>
        <v>6.480922986572784</v>
      </c>
      <c r="AF161" s="181">
        <f t="shared" si="18"/>
        <v>6.480922986572784</v>
      </c>
      <c r="AG161" s="181">
        <f t="shared" si="18"/>
        <v>6.480922986572784</v>
      </c>
      <c r="AH161" s="181">
        <f t="shared" si="18"/>
        <v>6.480922986572784</v>
      </c>
      <c r="AI161" s="181">
        <f t="shared" si="18"/>
        <v>6.480922986572784</v>
      </c>
      <c r="AJ161" s="181">
        <f t="shared" si="18"/>
        <v>6.480922986572784</v>
      </c>
      <c r="AK161" s="181">
        <f t="shared" si="18"/>
        <v>6.480922986572784</v>
      </c>
      <c r="AL161" s="181">
        <f t="shared" si="18"/>
        <v>6.480922986572784</v>
      </c>
      <c r="AM161" s="181">
        <f t="shared" si="18"/>
        <v>6.480922986572784</v>
      </c>
      <c r="AN161" s="181">
        <f t="shared" si="18"/>
        <v>6.480922986572784</v>
      </c>
      <c r="AO161" s="181">
        <f t="shared" si="18"/>
        <v>6.480922986572784</v>
      </c>
      <c r="AP161" s="181">
        <f t="shared" si="18"/>
        <v>6.480922986572784</v>
      </c>
      <c r="AQ161" s="181">
        <f t="shared" si="18"/>
        <v>6.480922986572784</v>
      </c>
      <c r="AR161" s="181">
        <f t="shared" si="18"/>
        <v>6.480922986572784</v>
      </c>
    </row>
    <row r="162" spans="2:44" x14ac:dyDescent="0.25">
      <c r="B162" s="168"/>
      <c r="C162" s="168" t="s">
        <v>66</v>
      </c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  <c r="V162" s="181"/>
      <c r="W162" t="s">
        <v>105</v>
      </c>
      <c r="X162" s="181" t="e">
        <f t="shared" ref="X162:AR162" si="19">(X91-X68-X69)/1000</f>
        <v>#REF!</v>
      </c>
      <c r="Y162" s="181" t="e">
        <f t="shared" si="19"/>
        <v>#REF!</v>
      </c>
      <c r="Z162" s="181" t="e">
        <f t="shared" si="19"/>
        <v>#REF!</v>
      </c>
      <c r="AA162" s="181" t="e">
        <f t="shared" si="19"/>
        <v>#REF!</v>
      </c>
      <c r="AB162" s="181" t="e">
        <f t="shared" si="19"/>
        <v>#REF!</v>
      </c>
      <c r="AC162" s="181" t="e">
        <f t="shared" si="19"/>
        <v>#REF!</v>
      </c>
      <c r="AD162" s="181" t="e">
        <f t="shared" si="19"/>
        <v>#REF!</v>
      </c>
      <c r="AE162" s="181" t="e">
        <f t="shared" si="19"/>
        <v>#REF!</v>
      </c>
      <c r="AF162" s="181" t="e">
        <f t="shared" si="19"/>
        <v>#REF!</v>
      </c>
      <c r="AG162" s="181" t="e">
        <f t="shared" si="19"/>
        <v>#REF!</v>
      </c>
      <c r="AH162" s="181" t="e">
        <f t="shared" si="19"/>
        <v>#REF!</v>
      </c>
      <c r="AI162" s="181" t="e">
        <f t="shared" si="19"/>
        <v>#REF!</v>
      </c>
      <c r="AJ162" s="181" t="e">
        <f t="shared" si="19"/>
        <v>#REF!</v>
      </c>
      <c r="AK162" s="181" t="e">
        <f t="shared" si="19"/>
        <v>#REF!</v>
      </c>
      <c r="AL162" s="181" t="e">
        <f t="shared" si="19"/>
        <v>#REF!</v>
      </c>
      <c r="AM162" s="181" t="e">
        <f t="shared" si="19"/>
        <v>#REF!</v>
      </c>
      <c r="AN162" s="181" t="e">
        <f t="shared" si="19"/>
        <v>#REF!</v>
      </c>
      <c r="AO162" s="181" t="e">
        <f t="shared" si="19"/>
        <v>#REF!</v>
      </c>
      <c r="AP162" s="181" t="e">
        <f t="shared" si="19"/>
        <v>#REF!</v>
      </c>
      <c r="AQ162" s="181" t="e">
        <f t="shared" si="19"/>
        <v>#REF!</v>
      </c>
      <c r="AR162" s="181" t="e">
        <f t="shared" si="19"/>
        <v>#REF!</v>
      </c>
    </row>
    <row r="163" spans="2:44" x14ac:dyDescent="0.25">
      <c r="B163" s="169"/>
      <c r="C163" s="169" t="s">
        <v>67</v>
      </c>
      <c r="W163" t="s">
        <v>105</v>
      </c>
      <c r="X163" s="182" t="e">
        <f t="shared" ref="X163:AR163" si="20">X156</f>
        <v>#REF!</v>
      </c>
      <c r="Y163" s="182" t="e">
        <f t="shared" si="20"/>
        <v>#REF!</v>
      </c>
      <c r="Z163" s="182" t="e">
        <f t="shared" si="20"/>
        <v>#REF!</v>
      </c>
      <c r="AA163" s="182" t="e">
        <f t="shared" si="20"/>
        <v>#REF!</v>
      </c>
      <c r="AB163" s="182" t="e">
        <f t="shared" si="20"/>
        <v>#REF!</v>
      </c>
      <c r="AC163" s="182" t="e">
        <f t="shared" si="20"/>
        <v>#REF!</v>
      </c>
      <c r="AD163" s="182" t="e">
        <f t="shared" si="20"/>
        <v>#REF!</v>
      </c>
      <c r="AE163" s="182" t="e">
        <f t="shared" si="20"/>
        <v>#REF!</v>
      </c>
      <c r="AF163" s="182" t="e">
        <f t="shared" si="20"/>
        <v>#REF!</v>
      </c>
      <c r="AG163" s="182" t="e">
        <f t="shared" si="20"/>
        <v>#REF!</v>
      </c>
      <c r="AH163" s="182" t="e">
        <f t="shared" si="20"/>
        <v>#REF!</v>
      </c>
      <c r="AI163" s="182" t="e">
        <f t="shared" si="20"/>
        <v>#REF!</v>
      </c>
      <c r="AJ163" s="182" t="e">
        <f t="shared" si="20"/>
        <v>#REF!</v>
      </c>
      <c r="AK163" s="182" t="e">
        <f t="shared" si="20"/>
        <v>#REF!</v>
      </c>
      <c r="AL163" s="182" t="e">
        <f t="shared" si="20"/>
        <v>#REF!</v>
      </c>
      <c r="AM163" s="182" t="e">
        <f t="shared" si="20"/>
        <v>#REF!</v>
      </c>
      <c r="AN163" s="182" t="e">
        <f t="shared" si="20"/>
        <v>#REF!</v>
      </c>
      <c r="AO163" s="182" t="e">
        <f t="shared" si="20"/>
        <v>#REF!</v>
      </c>
      <c r="AP163" s="182" t="e">
        <f t="shared" si="20"/>
        <v>#REF!</v>
      </c>
      <c r="AQ163" s="182" t="e">
        <f t="shared" si="20"/>
        <v>#REF!</v>
      </c>
      <c r="AR163" s="182" t="e">
        <f t="shared" si="20"/>
        <v>#REF!</v>
      </c>
    </row>
    <row r="164" spans="2:44" x14ac:dyDescent="0.25">
      <c r="C164" s="159" t="s">
        <v>68</v>
      </c>
      <c r="D164" s="186"/>
      <c r="E164" s="186"/>
      <c r="F164" s="186"/>
      <c r="G164" s="186"/>
      <c r="H164" s="186"/>
      <c r="I164" s="186"/>
      <c r="J164" s="186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 t="s">
        <v>105</v>
      </c>
      <c r="X164" s="187" t="e">
        <f t="shared" ref="X164:AR164" si="21">SUM(X160:X163)</f>
        <v>#REF!</v>
      </c>
      <c r="Y164" s="187" t="e">
        <f t="shared" si="21"/>
        <v>#REF!</v>
      </c>
      <c r="Z164" s="187" t="e">
        <f t="shared" si="21"/>
        <v>#REF!</v>
      </c>
      <c r="AA164" s="187" t="e">
        <f t="shared" si="21"/>
        <v>#REF!</v>
      </c>
      <c r="AB164" s="187" t="e">
        <f t="shared" si="21"/>
        <v>#REF!</v>
      </c>
      <c r="AC164" s="187" t="e">
        <f t="shared" si="21"/>
        <v>#REF!</v>
      </c>
      <c r="AD164" s="187" t="e">
        <f t="shared" si="21"/>
        <v>#REF!</v>
      </c>
      <c r="AE164" s="187" t="e">
        <f t="shared" si="21"/>
        <v>#REF!</v>
      </c>
      <c r="AF164" s="187" t="e">
        <f t="shared" si="21"/>
        <v>#REF!</v>
      </c>
      <c r="AG164" s="187" t="e">
        <f t="shared" si="21"/>
        <v>#REF!</v>
      </c>
      <c r="AH164" s="187" t="e">
        <f t="shared" si="21"/>
        <v>#REF!</v>
      </c>
      <c r="AI164" s="187" t="e">
        <f t="shared" si="21"/>
        <v>#REF!</v>
      </c>
      <c r="AJ164" s="187" t="e">
        <f t="shared" si="21"/>
        <v>#REF!</v>
      </c>
      <c r="AK164" s="187" t="e">
        <f t="shared" si="21"/>
        <v>#REF!</v>
      </c>
      <c r="AL164" s="187" t="e">
        <f t="shared" si="21"/>
        <v>#REF!</v>
      </c>
      <c r="AM164" s="187" t="e">
        <f t="shared" si="21"/>
        <v>#REF!</v>
      </c>
      <c r="AN164" s="187" t="e">
        <f t="shared" si="21"/>
        <v>#REF!</v>
      </c>
      <c r="AO164" s="187" t="e">
        <f t="shared" si="21"/>
        <v>#REF!</v>
      </c>
      <c r="AP164" s="187" t="e">
        <f t="shared" si="21"/>
        <v>#REF!</v>
      </c>
      <c r="AQ164" s="187" t="e">
        <f t="shared" si="21"/>
        <v>#REF!</v>
      </c>
      <c r="AR164" s="187" t="e">
        <f t="shared" si="21"/>
        <v>#REF!</v>
      </c>
    </row>
    <row r="165" spans="2:44" x14ac:dyDescent="0.25">
      <c r="C165" s="103" t="s">
        <v>106</v>
      </c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 t="s">
        <v>105</v>
      </c>
      <c r="X165" s="188" t="e">
        <f t="shared" ref="X165:AR165" si="22">X79/1000</f>
        <v>#REF!</v>
      </c>
      <c r="Y165" s="188" t="e">
        <f t="shared" si="22"/>
        <v>#REF!</v>
      </c>
      <c r="Z165" s="188" t="e">
        <f t="shared" si="22"/>
        <v>#REF!</v>
      </c>
      <c r="AA165" s="188" t="e">
        <f t="shared" si="22"/>
        <v>#REF!</v>
      </c>
      <c r="AB165" s="188" t="e">
        <f t="shared" si="22"/>
        <v>#REF!</v>
      </c>
      <c r="AC165" s="188" t="e">
        <f t="shared" si="22"/>
        <v>#REF!</v>
      </c>
      <c r="AD165" s="188" t="e">
        <f t="shared" si="22"/>
        <v>#REF!</v>
      </c>
      <c r="AE165" s="188" t="e">
        <f t="shared" si="22"/>
        <v>#REF!</v>
      </c>
      <c r="AF165" s="188" t="e">
        <f t="shared" si="22"/>
        <v>#REF!</v>
      </c>
      <c r="AG165" s="188" t="e">
        <f t="shared" si="22"/>
        <v>#REF!</v>
      </c>
      <c r="AH165" s="188" t="e">
        <f t="shared" si="22"/>
        <v>#REF!</v>
      </c>
      <c r="AI165" s="188" t="e">
        <f t="shared" si="22"/>
        <v>#REF!</v>
      </c>
      <c r="AJ165" s="188" t="e">
        <f t="shared" si="22"/>
        <v>#REF!</v>
      </c>
      <c r="AK165" s="188" t="e">
        <f t="shared" si="22"/>
        <v>#REF!</v>
      </c>
      <c r="AL165" s="188" t="e">
        <f t="shared" si="22"/>
        <v>#REF!</v>
      </c>
      <c r="AM165" s="188" t="e">
        <f t="shared" si="22"/>
        <v>#REF!</v>
      </c>
      <c r="AN165" s="188" t="e">
        <f t="shared" si="22"/>
        <v>#REF!</v>
      </c>
      <c r="AO165" s="188" t="e">
        <f t="shared" si="22"/>
        <v>#REF!</v>
      </c>
      <c r="AP165" s="188" t="e">
        <f t="shared" si="22"/>
        <v>#REF!</v>
      </c>
      <c r="AQ165" s="188" t="e">
        <f t="shared" si="22"/>
        <v>#REF!</v>
      </c>
      <c r="AR165" s="188" t="e">
        <f t="shared" si="22"/>
        <v>#REF!</v>
      </c>
    </row>
    <row r="166" spans="2:44" s="189" customFormat="1" x14ac:dyDescent="0.25">
      <c r="C166" s="191" t="s">
        <v>107</v>
      </c>
      <c r="X166" s="190" t="e">
        <f>X164/(X164+X165)</f>
        <v>#REF!</v>
      </c>
      <c r="Y166" s="190" t="e">
        <f t="shared" ref="Y166:AR166" si="23">Y164/(Y164+Y165)</f>
        <v>#REF!</v>
      </c>
      <c r="Z166" s="190" t="e">
        <f t="shared" si="23"/>
        <v>#REF!</v>
      </c>
      <c r="AA166" s="190" t="e">
        <f t="shared" si="23"/>
        <v>#REF!</v>
      </c>
      <c r="AB166" s="190" t="e">
        <f t="shared" si="23"/>
        <v>#REF!</v>
      </c>
      <c r="AC166" s="190" t="e">
        <f t="shared" si="23"/>
        <v>#REF!</v>
      </c>
      <c r="AD166" s="190" t="e">
        <f t="shared" si="23"/>
        <v>#REF!</v>
      </c>
      <c r="AE166" s="359" t="e">
        <f t="shared" si="23"/>
        <v>#REF!</v>
      </c>
      <c r="AF166" s="359" t="e">
        <f t="shared" si="23"/>
        <v>#REF!</v>
      </c>
      <c r="AG166" s="359" t="e">
        <f t="shared" si="23"/>
        <v>#REF!</v>
      </c>
      <c r="AH166" s="359" t="e">
        <f t="shared" si="23"/>
        <v>#REF!</v>
      </c>
      <c r="AI166" s="190" t="e">
        <f t="shared" si="23"/>
        <v>#REF!</v>
      </c>
      <c r="AJ166" s="190" t="e">
        <f t="shared" si="23"/>
        <v>#REF!</v>
      </c>
      <c r="AK166" s="190" t="e">
        <f t="shared" si="23"/>
        <v>#REF!</v>
      </c>
      <c r="AL166" s="190" t="e">
        <f t="shared" si="23"/>
        <v>#REF!</v>
      </c>
      <c r="AM166" s="190" t="e">
        <f t="shared" si="23"/>
        <v>#REF!</v>
      </c>
      <c r="AN166" s="190" t="e">
        <f t="shared" si="23"/>
        <v>#REF!</v>
      </c>
      <c r="AO166" s="190" t="e">
        <f t="shared" si="23"/>
        <v>#REF!</v>
      </c>
      <c r="AP166" s="190" t="e">
        <f t="shared" si="23"/>
        <v>#REF!</v>
      </c>
      <c r="AQ166" s="190" t="e">
        <f t="shared" si="23"/>
        <v>#REF!</v>
      </c>
      <c r="AR166" s="190" t="e">
        <f t="shared" si="23"/>
        <v>#REF!</v>
      </c>
    </row>
    <row r="167" spans="2:44" x14ac:dyDescent="0.25">
      <c r="C167" s="331" t="s">
        <v>182</v>
      </c>
      <c r="D167" s="331"/>
      <c r="E167" s="331"/>
      <c r="F167" s="331"/>
      <c r="G167" s="331"/>
      <c r="H167" s="331"/>
      <c r="I167" s="331"/>
      <c r="J167" s="331"/>
      <c r="K167" s="331"/>
      <c r="L167" s="331"/>
      <c r="M167" s="331"/>
      <c r="N167" s="331"/>
      <c r="O167" s="331"/>
      <c r="P167" s="331"/>
      <c r="Q167" s="331"/>
      <c r="R167" s="331"/>
      <c r="S167" s="331"/>
      <c r="T167" s="331"/>
      <c r="U167" s="331"/>
      <c r="V167" s="331"/>
      <c r="W167" s="331"/>
      <c r="X167" s="331"/>
      <c r="Y167" s="331"/>
      <c r="Z167" s="331"/>
      <c r="AA167" s="331"/>
      <c r="AB167" s="331"/>
      <c r="AC167" s="350" t="s">
        <v>192</v>
      </c>
      <c r="AD167" s="331"/>
      <c r="AE167" s="348">
        <v>18.09</v>
      </c>
      <c r="AF167" s="348">
        <v>18.100000000000001</v>
      </c>
      <c r="AG167" s="348">
        <v>18.82</v>
      </c>
      <c r="AH167" s="348">
        <v>19.86</v>
      </c>
      <c r="AI167" s="348">
        <v>20.88</v>
      </c>
      <c r="AJ167" s="332">
        <v>22.299693806578958</v>
      </c>
      <c r="AK167" s="332">
        <v>23.6255839635052</v>
      </c>
      <c r="AL167" s="332">
        <v>25.117684676280334</v>
      </c>
      <c r="AM167" s="332">
        <v>27.128730789073479</v>
      </c>
      <c r="AN167" s="332">
        <v>30.795194088179286</v>
      </c>
      <c r="AO167" s="332">
        <v>41.112789475299017</v>
      </c>
      <c r="AP167" s="332">
        <v>53.733439873585816</v>
      </c>
      <c r="AQ167" s="332">
        <v>64.698835772068364</v>
      </c>
      <c r="AR167" s="332">
        <v>74.589430981209759</v>
      </c>
    </row>
    <row r="168" spans="2:44" x14ac:dyDescent="0.25">
      <c r="C168" s="157" t="s">
        <v>45</v>
      </c>
      <c r="AH168" s="181">
        <f>AH100/1000</f>
        <v>154.74139061594644</v>
      </c>
      <c r="AR168" s="181">
        <f>AR100/1000</f>
        <v>114.69067775064266</v>
      </c>
    </row>
    <row r="169" spans="2:44" x14ac:dyDescent="0.25">
      <c r="C169" s="199" t="s">
        <v>108</v>
      </c>
      <c r="AH169" s="201" t="e">
        <f>F103/1000</f>
        <v>#REF!</v>
      </c>
      <c r="AR169" s="337" t="e">
        <f>G103/1000</f>
        <v>#REF!</v>
      </c>
    </row>
    <row r="170" spans="2:44" x14ac:dyDescent="0.25">
      <c r="C170" s="199" t="s">
        <v>111</v>
      </c>
      <c r="AE170" s="197" t="e">
        <f>AE164-AE176</f>
        <v>#REF!</v>
      </c>
      <c r="AF170" s="197" t="e">
        <f t="shared" ref="AF170:AR170" si="24">AF164-AF176</f>
        <v>#REF!</v>
      </c>
      <c r="AG170" s="197" t="e">
        <f t="shared" si="24"/>
        <v>#REF!</v>
      </c>
      <c r="AH170" s="197" t="e">
        <f t="shared" si="24"/>
        <v>#REF!</v>
      </c>
      <c r="AI170" s="197" t="e">
        <f t="shared" si="24"/>
        <v>#REF!</v>
      </c>
      <c r="AJ170" s="197" t="e">
        <f t="shared" si="24"/>
        <v>#REF!</v>
      </c>
      <c r="AK170" s="197" t="e">
        <f t="shared" si="24"/>
        <v>#REF!</v>
      </c>
      <c r="AL170" s="197" t="e">
        <f t="shared" si="24"/>
        <v>#REF!</v>
      </c>
      <c r="AM170" s="197" t="e">
        <f t="shared" si="24"/>
        <v>#REF!</v>
      </c>
      <c r="AN170" s="197" t="e">
        <f t="shared" si="24"/>
        <v>#REF!</v>
      </c>
      <c r="AO170" s="197" t="e">
        <f t="shared" si="24"/>
        <v>#REF!</v>
      </c>
      <c r="AP170" s="197" t="e">
        <f t="shared" si="24"/>
        <v>#REF!</v>
      </c>
      <c r="AQ170" s="197" t="e">
        <f t="shared" si="24"/>
        <v>#REF!</v>
      </c>
      <c r="AR170" s="197" t="e">
        <f t="shared" si="24"/>
        <v>#REF!</v>
      </c>
    </row>
    <row r="171" spans="2:44" x14ac:dyDescent="0.25">
      <c r="C171" s="193" t="s">
        <v>96</v>
      </c>
      <c r="AE171" s="181">
        <f>AE160-AE177</f>
        <v>0</v>
      </c>
      <c r="AF171" s="181">
        <f>AF160-AF177</f>
        <v>0.39818954030205944</v>
      </c>
      <c r="AG171" s="181">
        <f>IF((AG160-AG177)&gt;0,AG160-AG177,0)</f>
        <v>0.80444675763028428</v>
      </c>
      <c r="AH171" s="181">
        <f>IF((AH160-AH177)&gt;0,AH160-AH177,0)</f>
        <v>1.2185499020842485</v>
      </c>
      <c r="AI171" s="181">
        <f t="shared" ref="AI171:AR171" si="25">AI160-AI177</f>
        <v>1.6445863532676377</v>
      </c>
      <c r="AJ171" s="181">
        <f t="shared" si="25"/>
        <v>2.0734734417140643</v>
      </c>
      <c r="AK171" s="181">
        <f t="shared" si="25"/>
        <v>2.5051654432727233</v>
      </c>
      <c r="AL171" s="181">
        <f t="shared" si="25"/>
        <v>2.8623841365159386</v>
      </c>
      <c r="AM171" s="181">
        <f t="shared" si="25"/>
        <v>3.2264042435525617</v>
      </c>
      <c r="AN171" s="181">
        <f t="shared" si="25"/>
        <v>3.5970204370558037</v>
      </c>
      <c r="AO171" s="181">
        <f t="shared" si="25"/>
        <v>4.09964651020519</v>
      </c>
      <c r="AP171" s="181">
        <f t="shared" si="25"/>
        <v>4.604657612931998</v>
      </c>
      <c r="AQ171" s="181">
        <f t="shared" si="25"/>
        <v>5.1120203744044268</v>
      </c>
      <c r="AR171" s="181">
        <f t="shared" si="25"/>
        <v>5.4288557889824389</v>
      </c>
    </row>
    <row r="172" spans="2:44" x14ac:dyDescent="0.25">
      <c r="C172" s="194" t="s">
        <v>2</v>
      </c>
      <c r="AE172" s="181">
        <f>AE161-AE179</f>
        <v>0</v>
      </c>
      <c r="AF172" s="181">
        <f>AF161-AF179</f>
        <v>0</v>
      </c>
      <c r="AG172" s="181">
        <f t="shared" ref="AG172:AR172" si="26">IF((AG161-AG179)&gt;0,AG161-AG179,0)</f>
        <v>0</v>
      </c>
      <c r="AH172" s="181">
        <f t="shared" si="26"/>
        <v>0</v>
      </c>
      <c r="AI172" s="181">
        <f t="shared" si="26"/>
        <v>0</v>
      </c>
      <c r="AJ172" s="181">
        <f t="shared" si="26"/>
        <v>0</v>
      </c>
      <c r="AK172" s="181">
        <f t="shared" si="26"/>
        <v>0</v>
      </c>
      <c r="AL172" s="181">
        <f t="shared" si="26"/>
        <v>0</v>
      </c>
      <c r="AM172" s="181">
        <f t="shared" si="26"/>
        <v>0</v>
      </c>
      <c r="AN172" s="181">
        <f t="shared" si="26"/>
        <v>0</v>
      </c>
      <c r="AO172" s="181">
        <f t="shared" si="26"/>
        <v>0</v>
      </c>
      <c r="AP172" s="181">
        <f t="shared" si="26"/>
        <v>0</v>
      </c>
      <c r="AQ172" s="181">
        <f t="shared" si="26"/>
        <v>0</v>
      </c>
      <c r="AR172" s="181">
        <f t="shared" si="26"/>
        <v>0</v>
      </c>
    </row>
    <row r="173" spans="2:44" x14ac:dyDescent="0.25">
      <c r="C173" s="195" t="s">
        <v>63</v>
      </c>
      <c r="AE173" s="181" t="e">
        <f>(AE162+AE163)-AE180</f>
        <v>#REF!</v>
      </c>
      <c r="AF173" s="181" t="e">
        <f>(AF162+AF163)-AF180</f>
        <v>#REF!</v>
      </c>
      <c r="AG173" s="181" t="e">
        <f>(AG162+AG163)-AG180</f>
        <v>#REF!</v>
      </c>
      <c r="AH173" s="200" t="e">
        <f>AH169-AH171-AH172</f>
        <v>#REF!</v>
      </c>
      <c r="AI173" s="181" t="e">
        <f t="shared" ref="AI173:AQ173" si="27">(AI162+AI163)-AI180</f>
        <v>#REF!</v>
      </c>
      <c r="AJ173" s="181" t="e">
        <f t="shared" si="27"/>
        <v>#REF!</v>
      </c>
      <c r="AK173" s="181" t="e">
        <f t="shared" si="27"/>
        <v>#REF!</v>
      </c>
      <c r="AL173" s="181" t="e">
        <f t="shared" si="27"/>
        <v>#REF!</v>
      </c>
      <c r="AM173" s="181" t="e">
        <f t="shared" si="27"/>
        <v>#REF!</v>
      </c>
      <c r="AN173" s="181" t="e">
        <f t="shared" si="27"/>
        <v>#REF!</v>
      </c>
      <c r="AO173" s="181" t="e">
        <f t="shared" si="27"/>
        <v>#REF!</v>
      </c>
      <c r="AP173" s="181" t="e">
        <f t="shared" si="27"/>
        <v>#REF!</v>
      </c>
      <c r="AQ173" s="181" t="e">
        <f t="shared" si="27"/>
        <v>#REF!</v>
      </c>
      <c r="AR173" s="200" t="e">
        <f>AR169-AR171-AR172</f>
        <v>#REF!</v>
      </c>
    </row>
    <row r="174" spans="2:44" s="173" customFormat="1" ht="11.25" x14ac:dyDescent="0.2">
      <c r="C174" s="192" t="s">
        <v>66</v>
      </c>
      <c r="AE174" s="198" t="e">
        <f t="shared" ref="AE174:AR174" si="28">AE162-AE181</f>
        <v>#REF!</v>
      </c>
      <c r="AF174" s="198" t="e">
        <f t="shared" si="28"/>
        <v>#REF!</v>
      </c>
      <c r="AG174" s="198" t="e">
        <f t="shared" si="28"/>
        <v>#REF!</v>
      </c>
      <c r="AH174" s="198" t="e">
        <f t="shared" si="28"/>
        <v>#REF!</v>
      </c>
      <c r="AI174" s="198" t="e">
        <f t="shared" si="28"/>
        <v>#REF!</v>
      </c>
      <c r="AJ174" s="198" t="e">
        <f t="shared" si="28"/>
        <v>#REF!</v>
      </c>
      <c r="AK174" s="198" t="e">
        <f t="shared" si="28"/>
        <v>#REF!</v>
      </c>
      <c r="AL174" s="198" t="e">
        <f t="shared" si="28"/>
        <v>#REF!</v>
      </c>
      <c r="AM174" s="198" t="e">
        <f t="shared" si="28"/>
        <v>#REF!</v>
      </c>
      <c r="AN174" s="198" t="e">
        <f t="shared" si="28"/>
        <v>#REF!</v>
      </c>
      <c r="AO174" s="198" t="e">
        <f t="shared" si="28"/>
        <v>#REF!</v>
      </c>
      <c r="AP174" s="198" t="e">
        <f t="shared" si="28"/>
        <v>#REF!</v>
      </c>
      <c r="AQ174" s="198" t="e">
        <f t="shared" si="28"/>
        <v>#REF!</v>
      </c>
      <c r="AR174" s="198" t="e">
        <f t="shared" si="28"/>
        <v>#REF!</v>
      </c>
    </row>
    <row r="175" spans="2:44" s="173" customFormat="1" ht="11.25" x14ac:dyDescent="0.2">
      <c r="C175" s="192" t="s">
        <v>67</v>
      </c>
      <c r="AE175" s="198" t="e">
        <f t="shared" ref="AE175:AR175" si="29">AE163-AE182</f>
        <v>#REF!</v>
      </c>
      <c r="AF175" s="198" t="e">
        <f t="shared" si="29"/>
        <v>#REF!</v>
      </c>
      <c r="AG175" s="198" t="e">
        <f t="shared" si="29"/>
        <v>#REF!</v>
      </c>
      <c r="AH175" s="198" t="e">
        <f t="shared" si="29"/>
        <v>#REF!</v>
      </c>
      <c r="AI175" s="198" t="e">
        <f t="shared" si="29"/>
        <v>#REF!</v>
      </c>
      <c r="AJ175" s="198" t="e">
        <f t="shared" si="29"/>
        <v>#REF!</v>
      </c>
      <c r="AK175" s="198" t="e">
        <f t="shared" si="29"/>
        <v>#REF!</v>
      </c>
      <c r="AL175" s="198" t="e">
        <f t="shared" si="29"/>
        <v>#REF!</v>
      </c>
      <c r="AM175" s="198" t="e">
        <f t="shared" si="29"/>
        <v>#REF!</v>
      </c>
      <c r="AN175" s="198" t="e">
        <f t="shared" si="29"/>
        <v>#REF!</v>
      </c>
      <c r="AO175" s="198" t="e">
        <f t="shared" si="29"/>
        <v>#REF!</v>
      </c>
      <c r="AP175" s="198" t="e">
        <f t="shared" si="29"/>
        <v>#REF!</v>
      </c>
      <c r="AQ175" s="198" t="e">
        <f t="shared" si="29"/>
        <v>#REF!</v>
      </c>
      <c r="AR175" s="198" t="e">
        <f t="shared" si="29"/>
        <v>#REF!</v>
      </c>
    </row>
    <row r="176" spans="2:44" x14ac:dyDescent="0.25">
      <c r="C176" s="157" t="s">
        <v>109</v>
      </c>
      <c r="AE176" s="181" t="e">
        <f>SUM(AE177:AE180)</f>
        <v>#REF!</v>
      </c>
      <c r="AF176" s="181" t="e">
        <f>SUM(AF177:AF180)</f>
        <v>#REF!</v>
      </c>
      <c r="AG176" s="181" t="e">
        <f>SUM(AG177:AG180)</f>
        <v>#REF!</v>
      </c>
      <c r="AH176" s="200" t="e">
        <f>AH164-AH169</f>
        <v>#REF!</v>
      </c>
      <c r="AI176" s="261" t="e">
        <f>$AH$176-$AH$176*$AH$197</f>
        <v>#REF!</v>
      </c>
      <c r="AJ176" s="261" t="e">
        <f>$AH$176-$AH$176*$AH$197*2</f>
        <v>#REF!</v>
      </c>
      <c r="AK176" s="261" t="e">
        <f>$AH$176-$AH$176*$AH$197*3</f>
        <v>#REF!</v>
      </c>
      <c r="AL176" s="261" t="e">
        <f>$AH$176-$AH$176*$AH$197*4</f>
        <v>#REF!</v>
      </c>
      <c r="AM176" s="261" t="e">
        <f>$AH$176-$AH$176*$AH$197*5</f>
        <v>#REF!</v>
      </c>
      <c r="AN176" s="261" t="e">
        <f>$AH$176-$AH$176*$AH$197*6</f>
        <v>#REF!</v>
      </c>
      <c r="AO176" s="261" t="e">
        <f>$AH$176-$AH$176*$AH$197*7</f>
        <v>#REF!</v>
      </c>
      <c r="AP176" s="261" t="e">
        <f>$AH$176-$AH$176*$AH$197*8</f>
        <v>#REF!</v>
      </c>
      <c r="AQ176" s="261" t="e">
        <f>$AH$176-$AH$176*$AH$197*9</f>
        <v>#REF!</v>
      </c>
      <c r="AR176" s="200" t="e">
        <f>AR164-AR169</f>
        <v>#REF!</v>
      </c>
    </row>
    <row r="177" spans="3:46" x14ac:dyDescent="0.25">
      <c r="C177" s="193" t="s">
        <v>96</v>
      </c>
      <c r="AE177" s="181">
        <f>AE160</f>
        <v>29.502350481872782</v>
      </c>
      <c r="AF177" s="181">
        <f>$AE177-$AE177*$AD189*$AJ189-$AE177*$AD190*$AJ190</f>
        <v>28.720874520898647</v>
      </c>
      <c r="AG177" s="181">
        <f>$AE177-($AE177*$AD189*$AJ189+$AE177*$AD190*$AJ190)*2</f>
        <v>27.939398559924509</v>
      </c>
      <c r="AH177" s="181">
        <f>$AE177-($AE177*$AD189*$AJ189+$AE177*$AD190*$AJ190)*3</f>
        <v>27.157922598950375</v>
      </c>
      <c r="AI177" s="181">
        <f>$AH177-($AH177*$AF189*$AJ189+$AH177*$AF190*$AJ190)</f>
        <v>26.643317986791903</v>
      </c>
      <c r="AJ177" s="181">
        <f>$AH177-($AH177*$AF189*$AJ189+$AH177*$AF190*$AJ190)*2</f>
        <v>26.128713374633431</v>
      </c>
      <c r="AK177" s="181">
        <f>$AH177-($AH177*$AF189*$AJ189+$AH177*$AF190*$AJ190)*3</f>
        <v>25.614108762474963</v>
      </c>
      <c r="AL177" s="181">
        <f>$AH177-($AH177*$AF189*$AJ189+$AH177*$AF190*$AJ190)*4</f>
        <v>25.099504150316491</v>
      </c>
      <c r="AM177" s="181">
        <f>$AH177-($AH177*$AF189*$AJ189+$AH177*$AF190*$AJ190)*5</f>
        <v>24.58489953815802</v>
      </c>
      <c r="AN177" s="181">
        <f>$AH177-($AH177*$AF189*$AJ189+$AH177*$AF190*$AJ190)*6</f>
        <v>24.070294925999548</v>
      </c>
      <c r="AO177" s="181">
        <f>$AH177-($AH177*$AF189*$AJ189+$AH177*$AF190*$AJ190)*7</f>
        <v>23.555690313841076</v>
      </c>
      <c r="AP177" s="181">
        <f>$AH177-($AH177*$AF189*$AJ189+$AH177*$AF190*$AJ190)*8</f>
        <v>23.041085701682604</v>
      </c>
      <c r="AQ177" s="181">
        <f>$AH177-($AH177*$AF189*$AJ189+$AH177*$AF190*$AJ190)*9</f>
        <v>22.526481089524136</v>
      </c>
      <c r="AR177" s="181">
        <f>$AH177-($AH177*$AF189*$AJ189+$AH177*$AF190*$AJ190)*10</f>
        <v>22.011876477365664</v>
      </c>
    </row>
    <row r="178" spans="3:46" x14ac:dyDescent="0.25">
      <c r="C178" s="193"/>
      <c r="AE178" s="181">
        <f>AE160-AE177</f>
        <v>0</v>
      </c>
      <c r="AF178" s="181">
        <f>AF160-AF177</f>
        <v>0.39818954030205944</v>
      </c>
      <c r="AG178" s="181">
        <f>AG160-AG177</f>
        <v>0.80444675763028428</v>
      </c>
      <c r="AH178" s="181">
        <f>AH160-AH177</f>
        <v>1.2185499020842485</v>
      </c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</row>
    <row r="179" spans="3:46" x14ac:dyDescent="0.25">
      <c r="C179" s="194" t="s">
        <v>2</v>
      </c>
      <c r="AE179" s="325">
        <f>AE161</f>
        <v>6.480922986572784</v>
      </c>
      <c r="AF179" s="181">
        <f>$AE179-$AE179*$AD191</f>
        <v>6.480922986572784</v>
      </c>
      <c r="AG179" s="181">
        <f>$AE179-$AE179*$AD191*2</f>
        <v>6.480922986572784</v>
      </c>
      <c r="AH179" s="325">
        <f>$AE179-$AE179*$AD191*3</f>
        <v>6.480922986572784</v>
      </c>
      <c r="AI179" s="181">
        <f>$AH179-$AH179*$AF191</f>
        <v>6.480922986572784</v>
      </c>
      <c r="AJ179" s="181">
        <f>$AH179-$AH179*$AF191*2</f>
        <v>6.480922986572784</v>
      </c>
      <c r="AK179" s="181">
        <f>$AH179-$AH179*$AF191*3</f>
        <v>6.480922986572784</v>
      </c>
      <c r="AL179" s="181">
        <f>$AH179-$AH179*$AF191*4</f>
        <v>6.480922986572784</v>
      </c>
      <c r="AM179" s="181">
        <f>$AH179-$AH179*$AF191*5</f>
        <v>6.480922986572784</v>
      </c>
      <c r="AN179" s="181">
        <f>$AH179-$AH179*$AF191*6</f>
        <v>6.480922986572784</v>
      </c>
      <c r="AO179" s="181">
        <f>$AH179-$AH179*$AF191*7</f>
        <v>6.480922986572784</v>
      </c>
      <c r="AP179" s="181">
        <f>$AH179-$AH179*$AF191*8</f>
        <v>6.480922986572784</v>
      </c>
      <c r="AQ179" s="181">
        <f>$AH179-$AH179*$AF191*9</f>
        <v>6.480922986572784</v>
      </c>
      <c r="AR179" s="181">
        <f>$AH179-$AH179*$AF191*10</f>
        <v>6.480922986572784</v>
      </c>
    </row>
    <row r="180" spans="3:46" x14ac:dyDescent="0.25">
      <c r="C180" s="195" t="s">
        <v>63</v>
      </c>
      <c r="AE180" s="325" t="e">
        <f>SUM(AE181:AE182)</f>
        <v>#REF!</v>
      </c>
      <c r="AF180" s="200" t="e">
        <f>AE180-($AE180-$AH180)/3</f>
        <v>#REF!</v>
      </c>
      <c r="AG180" s="200" t="e">
        <f>AF180-($AE180-$AH180)/3</f>
        <v>#REF!</v>
      </c>
      <c r="AH180" s="326" t="e">
        <f>(AH162+AH163)-AH173</f>
        <v>#REF!</v>
      </c>
      <c r="AI180" s="200" t="e">
        <f>AH180-($AH180-$AR180)/10</f>
        <v>#REF!</v>
      </c>
      <c r="AJ180" s="200" t="e">
        <f t="shared" ref="AJ180:AQ180" si="30">AI180-($AH180-$AR180)/10</f>
        <v>#REF!</v>
      </c>
      <c r="AK180" s="200" t="e">
        <f t="shared" si="30"/>
        <v>#REF!</v>
      </c>
      <c r="AL180" s="200" t="e">
        <f t="shared" si="30"/>
        <v>#REF!</v>
      </c>
      <c r="AM180" s="200" t="e">
        <f t="shared" si="30"/>
        <v>#REF!</v>
      </c>
      <c r="AN180" s="200" t="e">
        <f t="shared" si="30"/>
        <v>#REF!</v>
      </c>
      <c r="AO180" s="200" t="e">
        <f t="shared" si="30"/>
        <v>#REF!</v>
      </c>
      <c r="AP180" s="200" t="e">
        <f t="shared" si="30"/>
        <v>#REF!</v>
      </c>
      <c r="AQ180" s="200" t="e">
        <f t="shared" si="30"/>
        <v>#REF!</v>
      </c>
      <c r="AR180" s="200" t="e">
        <f>(AR162+AR163)-AR173</f>
        <v>#REF!</v>
      </c>
    </row>
    <row r="181" spans="3:46" s="173" customFormat="1" ht="11.25" x14ac:dyDescent="0.2">
      <c r="C181" s="192" t="s">
        <v>66</v>
      </c>
      <c r="AE181" s="196" t="e">
        <f>AE162</f>
        <v>#REF!</v>
      </c>
      <c r="AF181" s="196" t="e">
        <f>$AE181-$AE181*$AF$200*1</f>
        <v>#REF!</v>
      </c>
      <c r="AG181" s="196" t="e">
        <f>$AE181-$AE181*$AF$200*2</f>
        <v>#REF!</v>
      </c>
      <c r="AH181" s="196" t="e">
        <f>$AE181-$AE181*$AF$200*3</f>
        <v>#REF!</v>
      </c>
      <c r="AI181" s="196" t="e">
        <f>$AH181-$AH181*$AH$200*1</f>
        <v>#REF!</v>
      </c>
      <c r="AJ181" s="196" t="e">
        <f>$AH181-$AH181*$AH$200*2</f>
        <v>#REF!</v>
      </c>
      <c r="AK181" s="196" t="e">
        <f>$AH181-$AH181*$AH$200*3</f>
        <v>#REF!</v>
      </c>
      <c r="AL181" s="196" t="e">
        <f>$AH181-$AH181*$AH$200*4</f>
        <v>#REF!</v>
      </c>
      <c r="AM181" s="196" t="e">
        <f>$AH181-$AH181*$AH$200*5</f>
        <v>#REF!</v>
      </c>
      <c r="AN181" s="196" t="e">
        <f>$AH181-$AH181*$AH$200*6</f>
        <v>#REF!</v>
      </c>
      <c r="AO181" s="196" t="e">
        <f>$AH181-$AH181*$AH$200*7</f>
        <v>#REF!</v>
      </c>
      <c r="AP181" s="196" t="e">
        <f>$AH181-$AH181*$AH$200*8</f>
        <v>#REF!</v>
      </c>
      <c r="AQ181" s="196" t="e">
        <f>$AH181-$AH181*$AH$200*9</f>
        <v>#REF!</v>
      </c>
      <c r="AR181" s="196" t="e">
        <f>$AH181-$AH181*$AH$200*10</f>
        <v>#REF!</v>
      </c>
    </row>
    <row r="182" spans="3:46" s="173" customFormat="1" ht="11.25" x14ac:dyDescent="0.2">
      <c r="C182" s="192" t="s">
        <v>67</v>
      </c>
      <c r="AE182" s="196" t="e">
        <f>AE163</f>
        <v>#REF!</v>
      </c>
      <c r="AF182" s="196" t="e">
        <f>$AE182-$AE182*$AF$200*1</f>
        <v>#REF!</v>
      </c>
      <c r="AG182" s="196" t="e">
        <f>$AE182-$AE182*$AF$200*2</f>
        <v>#REF!</v>
      </c>
      <c r="AH182" s="196" t="e">
        <f>$AE182-$AE182*$AF$200*3</f>
        <v>#REF!</v>
      </c>
      <c r="AI182" s="196" t="e">
        <f>$AH182-$AH182*$AH$200*1</f>
        <v>#REF!</v>
      </c>
      <c r="AJ182" s="196" t="e">
        <f>$AH182-$AH182*$AH$200*2</f>
        <v>#REF!</v>
      </c>
      <c r="AK182" s="196" t="e">
        <f>$AH182-$AH182*$AH$200*3</f>
        <v>#REF!</v>
      </c>
      <c r="AL182" s="196" t="e">
        <f>$AH182-$AH182*$AH$200*4</f>
        <v>#REF!</v>
      </c>
      <c r="AM182" s="196" t="e">
        <f>$AH182-$AH182*$AH$200*5</f>
        <v>#REF!</v>
      </c>
      <c r="AN182" s="196" t="e">
        <f>$AH182-$AH182*$AH$200*6</f>
        <v>#REF!</v>
      </c>
      <c r="AO182" s="196" t="e">
        <f>$AH182-$AH182*$AH$200*7</f>
        <v>#REF!</v>
      </c>
      <c r="AP182" s="196" t="e">
        <f>$AH182-$AH182*$AH$200*8</f>
        <v>#REF!</v>
      </c>
      <c r="AQ182" s="196" t="e">
        <f>$AH182-$AH182*$AH$200*9</f>
        <v>#REF!</v>
      </c>
      <c r="AR182" s="196" t="e">
        <f>$AH182-$AH182*$AH$200*10</f>
        <v>#REF!</v>
      </c>
    </row>
    <row r="183" spans="3:46" x14ac:dyDescent="0.25">
      <c r="AE183" s="327" t="e">
        <f>AE179+AE180</f>
        <v>#REF!</v>
      </c>
      <c r="AF183" s="327" t="e">
        <f t="shared" ref="AF183:AR183" si="31">AF179+AF180</f>
        <v>#REF!</v>
      </c>
      <c r="AG183" s="327" t="e">
        <f t="shared" si="31"/>
        <v>#REF!</v>
      </c>
      <c r="AH183" s="327" t="e">
        <f t="shared" si="31"/>
        <v>#REF!</v>
      </c>
      <c r="AI183" s="327" t="e">
        <f t="shared" si="31"/>
        <v>#REF!</v>
      </c>
      <c r="AJ183" s="327" t="e">
        <f t="shared" si="31"/>
        <v>#REF!</v>
      </c>
      <c r="AK183" s="327" t="e">
        <f t="shared" si="31"/>
        <v>#REF!</v>
      </c>
      <c r="AL183" s="327" t="e">
        <f t="shared" si="31"/>
        <v>#REF!</v>
      </c>
      <c r="AM183" s="327" t="e">
        <f t="shared" si="31"/>
        <v>#REF!</v>
      </c>
      <c r="AN183" s="327" t="e">
        <f t="shared" si="31"/>
        <v>#REF!</v>
      </c>
      <c r="AO183" s="327" t="e">
        <f t="shared" si="31"/>
        <v>#REF!</v>
      </c>
      <c r="AP183" s="327" t="e">
        <f t="shared" si="31"/>
        <v>#REF!</v>
      </c>
      <c r="AQ183" s="327" t="e">
        <f t="shared" si="31"/>
        <v>#REF!</v>
      </c>
      <c r="AR183" s="327" t="e">
        <f t="shared" si="31"/>
        <v>#REF!</v>
      </c>
    </row>
    <row r="184" spans="3:46" x14ac:dyDescent="0.25">
      <c r="C184" s="285" t="s">
        <v>184</v>
      </c>
      <c r="D184" s="285"/>
      <c r="E184" s="285"/>
      <c r="F184" s="285"/>
      <c r="G184" s="285"/>
      <c r="H184" s="285"/>
      <c r="I184" s="285"/>
      <c r="J184" s="285"/>
      <c r="K184" s="285"/>
      <c r="L184" s="285"/>
      <c r="M184" s="285"/>
      <c r="N184" s="285"/>
      <c r="O184" s="285"/>
      <c r="P184" s="285"/>
      <c r="Q184" s="285"/>
      <c r="R184" s="285"/>
      <c r="S184" s="285"/>
      <c r="T184" s="285"/>
      <c r="U184" s="285"/>
      <c r="V184" s="285"/>
      <c r="W184" s="285"/>
      <c r="X184" s="285"/>
      <c r="Y184" s="285"/>
      <c r="Z184" s="285"/>
      <c r="AA184" s="285"/>
      <c r="AB184" s="285"/>
      <c r="AC184" s="285"/>
      <c r="AD184" s="285"/>
      <c r="AE184" s="284">
        <f t="shared" ref="AE184:AR184" si="32">AE177*AE167</f>
        <v>533.69752021707859</v>
      </c>
      <c r="AF184" s="284">
        <f t="shared" si="32"/>
        <v>519.84782882826551</v>
      </c>
      <c r="AG184" s="284">
        <f t="shared" si="32"/>
        <v>525.81948089777927</v>
      </c>
      <c r="AH184" s="284">
        <f t="shared" si="32"/>
        <v>539.35634281515445</v>
      </c>
      <c r="AI184" s="284">
        <f t="shared" si="32"/>
        <v>556.31247956421487</v>
      </c>
      <c r="AJ184" s="284">
        <f t="shared" si="32"/>
        <v>582.66230781418994</v>
      </c>
      <c r="AK184" s="284">
        <f t="shared" si="32"/>
        <v>605.14827721820654</v>
      </c>
      <c r="AL184" s="284">
        <f t="shared" si="32"/>
        <v>630.44143077863919</v>
      </c>
      <c r="AM184" s="284">
        <f t="shared" si="32"/>
        <v>666.95712104710583</v>
      </c>
      <c r="AN184" s="284">
        <f t="shared" si="32"/>
        <v>741.2494040058732</v>
      </c>
      <c r="AO184" s="284">
        <f t="shared" si="32"/>
        <v>968.44013681828835</v>
      </c>
      <c r="AP184" s="284">
        <f t="shared" si="32"/>
        <v>1238.0767931735002</v>
      </c>
      <c r="AQ184" s="284">
        <f t="shared" si="32"/>
        <v>1457.4371005337257</v>
      </c>
      <c r="AR184" s="284">
        <f t="shared" si="32"/>
        <v>1641.8533412753809</v>
      </c>
      <c r="AS184" s="344">
        <f>AVERAGE(AE184:AH184)</f>
        <v>529.68029318956951</v>
      </c>
      <c r="AT184" s="344">
        <f>AVERAGE(AI184:AR184)</f>
        <v>908.8578392229125</v>
      </c>
    </row>
    <row r="185" spans="3:46" ht="15.75" thickBot="1" x14ac:dyDescent="0.3">
      <c r="C185" s="331" t="s">
        <v>183</v>
      </c>
      <c r="D185" s="331"/>
      <c r="E185" s="331"/>
      <c r="F185" s="331"/>
      <c r="G185" s="331"/>
      <c r="H185" s="331"/>
      <c r="I185" s="331"/>
      <c r="J185" s="331"/>
      <c r="K185" s="331"/>
      <c r="L185" s="331"/>
      <c r="M185" s="331"/>
      <c r="N185" s="331"/>
      <c r="O185" s="331"/>
      <c r="P185" s="331"/>
      <c r="Q185" s="331"/>
      <c r="R185" s="331"/>
      <c r="S185" s="331"/>
      <c r="T185" s="331"/>
      <c r="U185" s="331"/>
      <c r="V185" s="331"/>
      <c r="W185" s="331"/>
      <c r="X185" s="331"/>
      <c r="Y185" s="331"/>
      <c r="Z185" s="331"/>
      <c r="AA185" s="331"/>
      <c r="AB185" s="331"/>
      <c r="AC185" s="331"/>
      <c r="AD185" s="331"/>
      <c r="AE185" s="349" t="e">
        <f t="shared" ref="AE185:AJ185" si="33">((7.5+AE180)*0.95-AE177*0.05)*AE167</f>
        <v>#REF!</v>
      </c>
      <c r="AF185" s="349" t="e">
        <f t="shared" si="33"/>
        <v>#REF!</v>
      </c>
      <c r="AG185" s="349" t="e">
        <f t="shared" si="33"/>
        <v>#REF!</v>
      </c>
      <c r="AH185" s="349" t="e">
        <f t="shared" si="33"/>
        <v>#REF!</v>
      </c>
      <c r="AI185" s="349" t="e">
        <f t="shared" si="33"/>
        <v>#REF!</v>
      </c>
      <c r="AJ185" s="349" t="e">
        <f t="shared" si="33"/>
        <v>#REF!</v>
      </c>
      <c r="AK185" s="333" t="e">
        <f t="shared" ref="AK185:AR185" si="34">(7.5+AK180)*0.95*AK167</f>
        <v>#REF!</v>
      </c>
      <c r="AL185" s="333" t="e">
        <f t="shared" si="34"/>
        <v>#REF!</v>
      </c>
      <c r="AM185" s="333" t="e">
        <f t="shared" si="34"/>
        <v>#REF!</v>
      </c>
      <c r="AN185" s="333" t="e">
        <f t="shared" si="34"/>
        <v>#REF!</v>
      </c>
      <c r="AO185" s="333" t="e">
        <f t="shared" si="34"/>
        <v>#REF!</v>
      </c>
      <c r="AP185" s="333" t="e">
        <f t="shared" si="34"/>
        <v>#REF!</v>
      </c>
      <c r="AQ185" s="333" t="e">
        <f t="shared" si="34"/>
        <v>#REF!</v>
      </c>
      <c r="AR185" s="333" t="e">
        <f t="shared" si="34"/>
        <v>#REF!</v>
      </c>
      <c r="AS185" s="345" t="e">
        <f>AVERAGE(AE185:AH185)</f>
        <v>#REF!</v>
      </c>
      <c r="AT185" s="345" t="e">
        <f>AVERAGE(AI185:AR185)</f>
        <v>#REF!</v>
      </c>
    </row>
    <row r="186" spans="3:46" x14ac:dyDescent="0.25">
      <c r="C186" s="202" t="s">
        <v>112</v>
      </c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3"/>
      <c r="O186" s="203"/>
      <c r="P186" s="203"/>
      <c r="Q186" s="203"/>
      <c r="R186" s="203"/>
      <c r="S186" s="203"/>
      <c r="T186" s="203"/>
      <c r="U186" s="203"/>
      <c r="V186" s="203"/>
      <c r="W186" s="203"/>
      <c r="X186" s="203"/>
      <c r="Y186" s="203"/>
      <c r="Z186" s="203"/>
      <c r="AA186" s="203"/>
      <c r="AB186" s="203"/>
      <c r="AC186" s="203"/>
      <c r="AD186" s="203"/>
      <c r="AE186" s="357" t="e">
        <f t="shared" ref="AE186:AJ186" si="35">7.5+AE180+AE177</f>
        <v>#REF!</v>
      </c>
      <c r="AF186" s="357" t="e">
        <f t="shared" si="35"/>
        <v>#REF!</v>
      </c>
      <c r="AG186" s="357" t="e">
        <f t="shared" si="35"/>
        <v>#REF!</v>
      </c>
      <c r="AH186" s="357" t="e">
        <f t="shared" si="35"/>
        <v>#REF!</v>
      </c>
      <c r="AI186" s="357" t="e">
        <f t="shared" si="35"/>
        <v>#REF!</v>
      </c>
      <c r="AJ186" s="357" t="e">
        <f t="shared" si="35"/>
        <v>#REF!</v>
      </c>
      <c r="AS186" s="235" t="s">
        <v>187</v>
      </c>
      <c r="AT186" s="235" t="s">
        <v>188</v>
      </c>
    </row>
    <row r="187" spans="3:46" x14ac:dyDescent="0.25">
      <c r="C187" s="204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358"/>
      <c r="AF187" s="145"/>
      <c r="AG187" s="145"/>
      <c r="AH187" s="145"/>
      <c r="AI187" s="145"/>
      <c r="AJ187" s="205"/>
    </row>
    <row r="188" spans="3:46" x14ac:dyDescent="0.25">
      <c r="C188" s="204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710" t="s">
        <v>55</v>
      </c>
      <c r="AC188" s="1710"/>
      <c r="AD188" s="206">
        <v>2017</v>
      </c>
      <c r="AE188" s="162"/>
      <c r="AF188" s="206">
        <v>2020</v>
      </c>
      <c r="AG188" s="162"/>
      <c r="AH188" s="162"/>
      <c r="AI188" s="162"/>
      <c r="AJ188" s="207"/>
      <c r="AK188">
        <f>AH177*0.95</f>
        <v>25.800026469002855</v>
      </c>
      <c r="AR188" t="e">
        <f>(7.5+AH180)*0.95</f>
        <v>#REF!</v>
      </c>
    </row>
    <row r="189" spans="3:46" x14ac:dyDescent="0.25">
      <c r="C189" s="204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347" t="s">
        <v>56</v>
      </c>
      <c r="AC189" s="208" t="s">
        <v>36</v>
      </c>
      <c r="AD189" s="334">
        <v>4.5670000000000002E-2</v>
      </c>
      <c r="AE189" s="209" t="s">
        <v>57</v>
      </c>
      <c r="AF189" s="334">
        <v>3.2669999999999998E-2</v>
      </c>
      <c r="AG189" s="336" t="s">
        <v>62</v>
      </c>
      <c r="AH189" s="162"/>
      <c r="AI189" s="210" t="s">
        <v>58</v>
      </c>
      <c r="AJ189" s="211">
        <f>1-AJ190</f>
        <v>0.58000000000000007</v>
      </c>
      <c r="AK189" t="e">
        <f>(7.5+AH180)*0.95</f>
        <v>#REF!</v>
      </c>
    </row>
    <row r="190" spans="3:46" x14ac:dyDescent="0.25">
      <c r="C190" s="204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347"/>
      <c r="AC190" s="210"/>
      <c r="AD190" s="335">
        <v>0</v>
      </c>
      <c r="AE190" s="162" t="s">
        <v>59</v>
      </c>
      <c r="AF190" s="335">
        <v>0</v>
      </c>
      <c r="AG190" s="336" t="s">
        <v>62</v>
      </c>
      <c r="AH190" s="162"/>
      <c r="AI190" s="210" t="s">
        <v>59</v>
      </c>
      <c r="AJ190" s="211">
        <v>0.42</v>
      </c>
      <c r="AS190" s="352">
        <f>7.5*0.95*AH167</f>
        <v>141.5025</v>
      </c>
    </row>
    <row r="191" spans="3:46" x14ac:dyDescent="0.25">
      <c r="C191" s="204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62"/>
      <c r="AC191" s="210" t="s">
        <v>60</v>
      </c>
      <c r="AD191" s="212">
        <v>0</v>
      </c>
      <c r="AE191" s="162" t="s">
        <v>61</v>
      </c>
      <c r="AF191" s="212">
        <v>0</v>
      </c>
      <c r="AG191" s="336" t="s">
        <v>62</v>
      </c>
      <c r="AH191" s="162"/>
      <c r="AI191" s="162"/>
      <c r="AJ191" s="207"/>
    </row>
    <row r="192" spans="3:46" x14ac:dyDescent="0.25">
      <c r="C192" s="204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62"/>
      <c r="AC192" s="210" t="s">
        <v>63</v>
      </c>
      <c r="AD192" s="213" t="e">
        <f>AF200</f>
        <v>#REF!</v>
      </c>
      <c r="AE192" s="162" t="s">
        <v>64</v>
      </c>
      <c r="AF192" s="213" t="e">
        <f>AH200</f>
        <v>#REF!</v>
      </c>
      <c r="AG192" s="336" t="s">
        <v>185</v>
      </c>
      <c r="AH192" s="162"/>
      <c r="AI192" s="162"/>
      <c r="AJ192" s="207"/>
    </row>
    <row r="193" spans="3:47" x14ac:dyDescent="0.25">
      <c r="C193" s="204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347" t="s">
        <v>56</v>
      </c>
      <c r="AC193" s="214" t="s">
        <v>65</v>
      </c>
      <c r="AD193" s="213" t="e">
        <f>AF197</f>
        <v>#REF!</v>
      </c>
      <c r="AE193" s="162" t="s">
        <v>64</v>
      </c>
      <c r="AF193" s="213" t="e">
        <f>AH197</f>
        <v>#REF!</v>
      </c>
      <c r="AG193" s="336" t="s">
        <v>186</v>
      </c>
      <c r="AH193" s="162"/>
      <c r="AI193" s="162"/>
      <c r="AJ193" s="162"/>
      <c r="AK193" s="171"/>
      <c r="AL193" s="171"/>
      <c r="AM193" s="171"/>
      <c r="AN193" s="171"/>
      <c r="AO193" s="171"/>
      <c r="AP193" s="171"/>
      <c r="AQ193" s="171"/>
      <c r="AR193" s="171">
        <v>2017</v>
      </c>
      <c r="AS193" s="171">
        <v>2018</v>
      </c>
      <c r="AT193" s="171">
        <v>2019</v>
      </c>
      <c r="AU193" s="171">
        <v>2020</v>
      </c>
    </row>
    <row r="194" spans="3:47" x14ac:dyDescent="0.25">
      <c r="C194" s="204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356" t="s">
        <v>109</v>
      </c>
      <c r="AL194" s="171"/>
      <c r="AM194" s="171"/>
      <c r="AN194" s="171"/>
      <c r="AO194" s="171"/>
      <c r="AP194" s="171"/>
      <c r="AQ194" s="171"/>
      <c r="AR194" s="351" t="e">
        <f>AE176</f>
        <v>#REF!</v>
      </c>
      <c r="AS194" s="171"/>
      <c r="AT194" s="171"/>
      <c r="AU194" s="351" t="e">
        <f>AH176</f>
        <v>#REF!</v>
      </c>
    </row>
    <row r="195" spans="3:47" x14ac:dyDescent="0.25">
      <c r="C195" s="204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711" t="s">
        <v>116</v>
      </c>
      <c r="AF195" s="1711"/>
      <c r="AG195" s="1712" t="s">
        <v>117</v>
      </c>
      <c r="AH195" s="1712"/>
      <c r="AI195" s="145"/>
      <c r="AJ195" s="145"/>
      <c r="AK195" s="355" t="s">
        <v>193</v>
      </c>
      <c r="AL195" s="171"/>
      <c r="AM195" s="171"/>
      <c r="AN195" s="171"/>
      <c r="AO195" s="171"/>
      <c r="AP195" s="171"/>
      <c r="AQ195" s="171"/>
      <c r="AR195" s="171"/>
      <c r="AS195" s="171"/>
      <c r="AT195" s="171"/>
      <c r="AU195" s="353" t="e">
        <f>1-AU194/AR194</f>
        <v>#REF!</v>
      </c>
    </row>
    <row r="196" spans="3:47" x14ac:dyDescent="0.25">
      <c r="C196" s="215" t="s">
        <v>112</v>
      </c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216" t="s">
        <v>112</v>
      </c>
      <c r="AE196" s="217" t="s">
        <v>114</v>
      </c>
      <c r="AF196" s="218" t="s">
        <v>115</v>
      </c>
      <c r="AG196" s="217" t="s">
        <v>114</v>
      </c>
      <c r="AH196" s="218" t="s">
        <v>115</v>
      </c>
      <c r="AI196" s="145"/>
      <c r="AJ196" s="145"/>
      <c r="AK196" s="355" t="s">
        <v>194</v>
      </c>
      <c r="AL196" s="171"/>
      <c r="AM196" s="171"/>
      <c r="AN196" s="171"/>
      <c r="AO196" s="171"/>
      <c r="AP196" s="171"/>
      <c r="AQ196" s="171"/>
      <c r="AR196" s="171"/>
      <c r="AS196" s="171"/>
      <c r="AT196" s="171"/>
      <c r="AU196" s="354" t="e">
        <f>AU195/3</f>
        <v>#REF!</v>
      </c>
    </row>
    <row r="197" spans="3:47" x14ac:dyDescent="0.25">
      <c r="C197" s="219" t="s">
        <v>113</v>
      </c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216" t="s">
        <v>113</v>
      </c>
      <c r="AE197" s="220" t="e">
        <f>1-AH176/AE176</f>
        <v>#REF!</v>
      </c>
      <c r="AF197" s="315" t="e">
        <f>AE197/3</f>
        <v>#REF!</v>
      </c>
      <c r="AG197" s="220" t="e">
        <f>1-AR176/AH176</f>
        <v>#REF!</v>
      </c>
      <c r="AH197" s="339" t="e">
        <f>AG197/10</f>
        <v>#REF!</v>
      </c>
      <c r="AI197" s="145"/>
      <c r="AJ197" s="205"/>
    </row>
    <row r="198" spans="3:47" x14ac:dyDescent="0.25">
      <c r="C198" s="222" t="s">
        <v>96</v>
      </c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223" t="s">
        <v>96</v>
      </c>
      <c r="AE198" s="220">
        <f>1-AH177/AE177</f>
        <v>7.9465800000000031E-2</v>
      </c>
      <c r="AF198" s="315">
        <f>AE198/3</f>
        <v>2.6488600000000011E-2</v>
      </c>
      <c r="AG198" s="220">
        <f>1-AR177/AH177</f>
        <v>0.18948600000000004</v>
      </c>
      <c r="AH198" s="315">
        <f>AG198/10</f>
        <v>1.8948600000000003E-2</v>
      </c>
      <c r="AI198" s="145"/>
      <c r="AJ198" s="205"/>
    </row>
    <row r="199" spans="3:47" x14ac:dyDescent="0.25">
      <c r="C199" s="224" t="s">
        <v>2</v>
      </c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225" t="s">
        <v>2</v>
      </c>
      <c r="AE199" s="220">
        <f>1-AH179/AE179</f>
        <v>0</v>
      </c>
      <c r="AF199" s="221">
        <f>AE199/3</f>
        <v>0</v>
      </c>
      <c r="AG199" s="220">
        <f>1-AR179/AH179</f>
        <v>0</v>
      </c>
      <c r="AH199" s="315">
        <f>AG199/10</f>
        <v>0</v>
      </c>
      <c r="AI199" s="145"/>
      <c r="AJ199" s="205"/>
    </row>
    <row r="200" spans="3:47" x14ac:dyDescent="0.25">
      <c r="C200" s="340" t="s">
        <v>63</v>
      </c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338" t="s">
        <v>63</v>
      </c>
      <c r="AE200" s="220" t="e">
        <f>1-AH180/AE180</f>
        <v>#REF!</v>
      </c>
      <c r="AF200" s="339" t="e">
        <f>AE200/3</f>
        <v>#REF!</v>
      </c>
      <c r="AG200" s="220" t="e">
        <f>1-AR180/AH180</f>
        <v>#REF!</v>
      </c>
      <c r="AH200" s="339" t="e">
        <f>AG200/10</f>
        <v>#REF!</v>
      </c>
      <c r="AI200" s="145"/>
      <c r="AJ200" s="205"/>
      <c r="AS200" s="301"/>
    </row>
    <row r="201" spans="3:47" ht="15.75" thickBot="1" x14ac:dyDescent="0.3">
      <c r="C201" s="341"/>
      <c r="D201" s="226"/>
      <c r="E201" s="226"/>
      <c r="F201" s="226"/>
      <c r="G201" s="226"/>
      <c r="H201" s="226"/>
      <c r="I201" s="226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226"/>
      <c r="X201" s="226"/>
      <c r="Y201" s="226"/>
      <c r="Z201" s="226"/>
      <c r="AA201" s="226"/>
      <c r="AB201" s="226"/>
      <c r="AC201" s="226"/>
      <c r="AD201" s="342" t="s">
        <v>179</v>
      </c>
      <c r="AE201" s="343" t="e">
        <f>1-AH183/AE183</f>
        <v>#REF!</v>
      </c>
      <c r="AF201" s="346" t="e">
        <f>AE201/3</f>
        <v>#REF!</v>
      </c>
      <c r="AG201" s="343" t="e">
        <f>1-AR183/AH183</f>
        <v>#REF!</v>
      </c>
      <c r="AH201" s="346" t="e">
        <f>AG201/10</f>
        <v>#REF!</v>
      </c>
      <c r="AI201" s="226"/>
      <c r="AJ201" s="227"/>
    </row>
    <row r="202" spans="3:47" s="99" customFormat="1" x14ac:dyDescent="0.25"/>
    <row r="203" spans="3:47" x14ac:dyDescent="0.25">
      <c r="V203" s="229" t="s">
        <v>146</v>
      </c>
    </row>
    <row r="204" spans="3:47" x14ac:dyDescent="0.25">
      <c r="W204" s="265"/>
      <c r="X204" s="6">
        <v>2010</v>
      </c>
      <c r="Y204" s="6">
        <v>2011</v>
      </c>
      <c r="Z204" s="6">
        <v>2012</v>
      </c>
      <c r="AA204" s="6">
        <v>2013</v>
      </c>
      <c r="AB204" s="6">
        <v>2014</v>
      </c>
      <c r="AC204" s="6">
        <v>2015</v>
      </c>
      <c r="AD204" s="6">
        <v>2016</v>
      </c>
      <c r="AE204" s="6">
        <v>2017</v>
      </c>
      <c r="AF204" s="6">
        <v>2018</v>
      </c>
      <c r="AG204" s="6">
        <v>2019</v>
      </c>
      <c r="AH204" s="6">
        <v>2020</v>
      </c>
      <c r="AI204" s="6">
        <v>2021</v>
      </c>
      <c r="AJ204" s="6">
        <v>2022</v>
      </c>
      <c r="AK204" s="6">
        <v>2023</v>
      </c>
      <c r="AL204" s="6">
        <v>2024</v>
      </c>
      <c r="AM204" s="6">
        <v>2025</v>
      </c>
      <c r="AN204" s="6">
        <v>2026</v>
      </c>
      <c r="AO204" s="6">
        <v>2027</v>
      </c>
      <c r="AP204" s="6">
        <v>2028</v>
      </c>
      <c r="AQ204" s="6">
        <v>2029</v>
      </c>
      <c r="AR204" s="6">
        <v>2030</v>
      </c>
    </row>
    <row r="205" spans="3:47" x14ac:dyDescent="0.25">
      <c r="W205" s="266" t="s">
        <v>142</v>
      </c>
      <c r="X205" s="261">
        <f t="shared" ref="X205:AR205" si="36">X160</f>
        <v>29.568594999999998</v>
      </c>
      <c r="Y205" s="261">
        <f t="shared" si="36"/>
        <v>30.181574999999999</v>
      </c>
      <c r="Z205" s="261">
        <f t="shared" si="36"/>
        <v>30.908985000000001</v>
      </c>
      <c r="AA205" s="261">
        <f t="shared" si="36"/>
        <v>28.411908</v>
      </c>
      <c r="AB205" s="261">
        <f t="shared" si="36"/>
        <v>28.688124070619835</v>
      </c>
      <c r="AC205" s="261">
        <f t="shared" si="36"/>
        <v>28.925179165733535</v>
      </c>
      <c r="AD205" s="261">
        <f t="shared" si="36"/>
        <v>29.196001128480333</v>
      </c>
      <c r="AE205" s="261">
        <f t="shared" si="36"/>
        <v>29.502350481872782</v>
      </c>
      <c r="AF205" s="261">
        <f t="shared" si="36"/>
        <v>29.119064061200707</v>
      </c>
      <c r="AG205" s="261">
        <f t="shared" si="36"/>
        <v>28.743845317554793</v>
      </c>
      <c r="AH205" s="261">
        <f t="shared" si="36"/>
        <v>28.376472501034623</v>
      </c>
      <c r="AI205" s="261">
        <f t="shared" si="36"/>
        <v>28.287904340059541</v>
      </c>
      <c r="AJ205" s="261">
        <f t="shared" si="36"/>
        <v>28.202186816347496</v>
      </c>
      <c r="AK205" s="261">
        <f t="shared" si="36"/>
        <v>28.119274205747686</v>
      </c>
      <c r="AL205" s="261">
        <f t="shared" si="36"/>
        <v>27.96188828683243</v>
      </c>
      <c r="AM205" s="261">
        <f t="shared" si="36"/>
        <v>27.811303781710581</v>
      </c>
      <c r="AN205" s="261">
        <f t="shared" si="36"/>
        <v>27.667315363055351</v>
      </c>
      <c r="AO205" s="261">
        <f t="shared" si="36"/>
        <v>27.655336824046266</v>
      </c>
      <c r="AP205" s="261">
        <f t="shared" si="36"/>
        <v>27.645743314614602</v>
      </c>
      <c r="AQ205" s="261">
        <f t="shared" si="36"/>
        <v>27.638501463928563</v>
      </c>
      <c r="AR205" s="261">
        <f t="shared" si="36"/>
        <v>27.440732266348103</v>
      </c>
    </row>
    <row r="206" spans="3:47" x14ac:dyDescent="0.25">
      <c r="W206" s="267" t="s">
        <v>2</v>
      </c>
      <c r="X206" s="261">
        <f t="shared" ref="X206:AR206" si="37">X161</f>
        <v>19.802272114057871</v>
      </c>
      <c r="Y206" s="261">
        <f t="shared" si="37"/>
        <v>14.218297326696581</v>
      </c>
      <c r="Z206" s="261">
        <f t="shared" si="37"/>
        <v>14.154796364649654</v>
      </c>
      <c r="AA206" s="261">
        <f t="shared" si="37"/>
        <v>10.890218042777899</v>
      </c>
      <c r="AB206" s="261" t="e">
        <f t="shared" si="37"/>
        <v>#REF!</v>
      </c>
      <c r="AC206" s="261" t="e">
        <f t="shared" si="37"/>
        <v>#REF!</v>
      </c>
      <c r="AD206" s="261" t="e">
        <f t="shared" si="37"/>
        <v>#REF!</v>
      </c>
      <c r="AE206" s="261">
        <f t="shared" si="37"/>
        <v>6.480922986572784</v>
      </c>
      <c r="AF206" s="261">
        <f t="shared" si="37"/>
        <v>6.480922986572784</v>
      </c>
      <c r="AG206" s="261">
        <f t="shared" si="37"/>
        <v>6.480922986572784</v>
      </c>
      <c r="AH206" s="261">
        <f t="shared" si="37"/>
        <v>6.480922986572784</v>
      </c>
      <c r="AI206" s="261">
        <f t="shared" si="37"/>
        <v>6.480922986572784</v>
      </c>
      <c r="AJ206" s="261">
        <f t="shared" si="37"/>
        <v>6.480922986572784</v>
      </c>
      <c r="AK206" s="261">
        <f t="shared" si="37"/>
        <v>6.480922986572784</v>
      </c>
      <c r="AL206" s="261">
        <f t="shared" si="37"/>
        <v>6.480922986572784</v>
      </c>
      <c r="AM206" s="261">
        <f t="shared" si="37"/>
        <v>6.480922986572784</v>
      </c>
      <c r="AN206" s="261">
        <f t="shared" si="37"/>
        <v>6.480922986572784</v>
      </c>
      <c r="AO206" s="261">
        <f t="shared" si="37"/>
        <v>6.480922986572784</v>
      </c>
      <c r="AP206" s="261">
        <f t="shared" si="37"/>
        <v>6.480922986572784</v>
      </c>
      <c r="AQ206" s="261">
        <f t="shared" si="37"/>
        <v>6.480922986572784</v>
      </c>
      <c r="AR206" s="261">
        <f t="shared" si="37"/>
        <v>6.480922986572784</v>
      </c>
    </row>
    <row r="207" spans="3:47" x14ac:dyDescent="0.25">
      <c r="W207" s="268" t="s">
        <v>66</v>
      </c>
      <c r="X207" s="261" t="e">
        <f t="shared" ref="X207:AR207" si="38">X162</f>
        <v>#REF!</v>
      </c>
      <c r="Y207" s="261" t="e">
        <f t="shared" si="38"/>
        <v>#REF!</v>
      </c>
      <c r="Z207" s="261" t="e">
        <f t="shared" si="38"/>
        <v>#REF!</v>
      </c>
      <c r="AA207" s="261" t="e">
        <f t="shared" si="38"/>
        <v>#REF!</v>
      </c>
      <c r="AB207" s="261" t="e">
        <f t="shared" si="38"/>
        <v>#REF!</v>
      </c>
      <c r="AC207" s="261" t="e">
        <f t="shared" si="38"/>
        <v>#REF!</v>
      </c>
      <c r="AD207" s="261" t="e">
        <f t="shared" si="38"/>
        <v>#REF!</v>
      </c>
      <c r="AE207" s="261" t="e">
        <f t="shared" si="38"/>
        <v>#REF!</v>
      </c>
      <c r="AF207" s="261" t="e">
        <f t="shared" si="38"/>
        <v>#REF!</v>
      </c>
      <c r="AG207" s="261" t="e">
        <f t="shared" si="38"/>
        <v>#REF!</v>
      </c>
      <c r="AH207" s="261" t="e">
        <f t="shared" si="38"/>
        <v>#REF!</v>
      </c>
      <c r="AI207" s="261" t="e">
        <f t="shared" si="38"/>
        <v>#REF!</v>
      </c>
      <c r="AJ207" s="261" t="e">
        <f t="shared" si="38"/>
        <v>#REF!</v>
      </c>
      <c r="AK207" s="261" t="e">
        <f t="shared" si="38"/>
        <v>#REF!</v>
      </c>
      <c r="AL207" s="261" t="e">
        <f t="shared" si="38"/>
        <v>#REF!</v>
      </c>
      <c r="AM207" s="261" t="e">
        <f t="shared" si="38"/>
        <v>#REF!</v>
      </c>
      <c r="AN207" s="261" t="e">
        <f t="shared" si="38"/>
        <v>#REF!</v>
      </c>
      <c r="AO207" s="261" t="e">
        <f t="shared" si="38"/>
        <v>#REF!</v>
      </c>
      <c r="AP207" s="261" t="e">
        <f t="shared" si="38"/>
        <v>#REF!</v>
      </c>
      <c r="AQ207" s="261" t="e">
        <f t="shared" si="38"/>
        <v>#REF!</v>
      </c>
      <c r="AR207" s="261" t="e">
        <f t="shared" si="38"/>
        <v>#REF!</v>
      </c>
    </row>
    <row r="208" spans="3:47" x14ac:dyDescent="0.25">
      <c r="W208" s="269" t="s">
        <v>67</v>
      </c>
      <c r="X208" s="261" t="e">
        <f t="shared" ref="X208:AR208" si="39">X163</f>
        <v>#REF!</v>
      </c>
      <c r="Y208" s="261" t="e">
        <f t="shared" si="39"/>
        <v>#REF!</v>
      </c>
      <c r="Z208" s="261" t="e">
        <f t="shared" si="39"/>
        <v>#REF!</v>
      </c>
      <c r="AA208" s="261" t="e">
        <f t="shared" si="39"/>
        <v>#REF!</v>
      </c>
      <c r="AB208" s="261" t="e">
        <f t="shared" si="39"/>
        <v>#REF!</v>
      </c>
      <c r="AC208" s="261" t="e">
        <f t="shared" si="39"/>
        <v>#REF!</v>
      </c>
      <c r="AD208" s="261" t="e">
        <f t="shared" si="39"/>
        <v>#REF!</v>
      </c>
      <c r="AE208" s="261" t="e">
        <f t="shared" si="39"/>
        <v>#REF!</v>
      </c>
      <c r="AF208" s="261" t="e">
        <f t="shared" si="39"/>
        <v>#REF!</v>
      </c>
      <c r="AG208" s="261" t="e">
        <f t="shared" si="39"/>
        <v>#REF!</v>
      </c>
      <c r="AH208" s="261" t="e">
        <f t="shared" si="39"/>
        <v>#REF!</v>
      </c>
      <c r="AI208" s="261" t="e">
        <f t="shared" si="39"/>
        <v>#REF!</v>
      </c>
      <c r="AJ208" s="261" t="e">
        <f t="shared" si="39"/>
        <v>#REF!</v>
      </c>
      <c r="AK208" s="261" t="e">
        <f t="shared" si="39"/>
        <v>#REF!</v>
      </c>
      <c r="AL208" s="261" t="e">
        <f t="shared" si="39"/>
        <v>#REF!</v>
      </c>
      <c r="AM208" s="261" t="e">
        <f t="shared" si="39"/>
        <v>#REF!</v>
      </c>
      <c r="AN208" s="261" t="e">
        <f t="shared" si="39"/>
        <v>#REF!</v>
      </c>
      <c r="AO208" s="261" t="e">
        <f t="shared" si="39"/>
        <v>#REF!</v>
      </c>
      <c r="AP208" s="261" t="e">
        <f t="shared" si="39"/>
        <v>#REF!</v>
      </c>
      <c r="AQ208" s="261" t="e">
        <f t="shared" si="39"/>
        <v>#REF!</v>
      </c>
      <c r="AR208" s="261" t="e">
        <f t="shared" si="39"/>
        <v>#REF!</v>
      </c>
    </row>
    <row r="209" spans="23:44" x14ac:dyDescent="0.25">
      <c r="W209" s="270" t="s">
        <v>143</v>
      </c>
      <c r="AE209" s="261" t="e">
        <f t="shared" ref="AE209:AR209" si="40">AE176</f>
        <v>#REF!</v>
      </c>
      <c r="AF209" s="261" t="e">
        <f t="shared" si="40"/>
        <v>#REF!</v>
      </c>
      <c r="AG209" s="261" t="e">
        <f t="shared" si="40"/>
        <v>#REF!</v>
      </c>
      <c r="AH209" s="261" t="e">
        <f t="shared" si="40"/>
        <v>#REF!</v>
      </c>
      <c r="AI209" s="261" t="e">
        <f t="shared" si="40"/>
        <v>#REF!</v>
      </c>
      <c r="AJ209" s="261" t="e">
        <f t="shared" si="40"/>
        <v>#REF!</v>
      </c>
      <c r="AK209" s="261" t="e">
        <f t="shared" si="40"/>
        <v>#REF!</v>
      </c>
      <c r="AL209" s="261" t="e">
        <f t="shared" si="40"/>
        <v>#REF!</v>
      </c>
      <c r="AM209" s="261" t="e">
        <f t="shared" si="40"/>
        <v>#REF!</v>
      </c>
      <c r="AN209" s="261" t="e">
        <f t="shared" si="40"/>
        <v>#REF!</v>
      </c>
      <c r="AO209" s="261" t="e">
        <f t="shared" si="40"/>
        <v>#REF!</v>
      </c>
      <c r="AP209" s="261" t="e">
        <f t="shared" si="40"/>
        <v>#REF!</v>
      </c>
      <c r="AQ209" s="261" t="e">
        <f t="shared" si="40"/>
        <v>#REF!</v>
      </c>
      <c r="AR209" s="261" t="e">
        <f t="shared" si="40"/>
        <v>#REF!</v>
      </c>
    </row>
    <row r="210" spans="23:44" x14ac:dyDescent="0.25">
      <c r="W210" s="272" t="s">
        <v>144</v>
      </c>
      <c r="X210" s="100">
        <f t="shared" ref="X210:AR210" si="41">X93/1000</f>
        <v>178.34161357938513</v>
      </c>
      <c r="Y210" s="100">
        <f t="shared" si="41"/>
        <v>174.65029547746266</v>
      </c>
      <c r="Z210" s="100">
        <f t="shared" si="41"/>
        <v>170.90164663336216</v>
      </c>
      <c r="AA210" s="100">
        <f t="shared" si="41"/>
        <v>170.77391585403157</v>
      </c>
      <c r="AB210" s="100" t="e">
        <f t="shared" si="41"/>
        <v>#REF!</v>
      </c>
      <c r="AC210" s="100" t="e">
        <f t="shared" si="41"/>
        <v>#REF!</v>
      </c>
      <c r="AD210" s="100" t="e">
        <f t="shared" si="41"/>
        <v>#REF!</v>
      </c>
      <c r="AE210" s="100" t="e">
        <f t="shared" si="41"/>
        <v>#REF!</v>
      </c>
      <c r="AF210" s="100" t="e">
        <f t="shared" si="41"/>
        <v>#REF!</v>
      </c>
      <c r="AG210" s="100" t="e">
        <f t="shared" si="41"/>
        <v>#REF!</v>
      </c>
      <c r="AH210" s="100" t="e">
        <f t="shared" si="41"/>
        <v>#REF!</v>
      </c>
      <c r="AI210" s="100" t="e">
        <f t="shared" si="41"/>
        <v>#REF!</v>
      </c>
      <c r="AJ210" s="100" t="e">
        <f t="shared" si="41"/>
        <v>#REF!</v>
      </c>
      <c r="AK210" s="100" t="e">
        <f t="shared" si="41"/>
        <v>#REF!</v>
      </c>
      <c r="AL210" s="100" t="e">
        <f t="shared" si="41"/>
        <v>#REF!</v>
      </c>
      <c r="AM210" s="100" t="e">
        <f t="shared" si="41"/>
        <v>#REF!</v>
      </c>
      <c r="AN210" s="100" t="e">
        <f t="shared" si="41"/>
        <v>#REF!</v>
      </c>
      <c r="AO210" s="100" t="e">
        <f t="shared" si="41"/>
        <v>#REF!</v>
      </c>
      <c r="AP210" s="100" t="e">
        <f t="shared" si="41"/>
        <v>#REF!</v>
      </c>
      <c r="AQ210" s="100" t="e">
        <f t="shared" si="41"/>
        <v>#REF!</v>
      </c>
      <c r="AR210" s="100" t="e">
        <f t="shared" si="41"/>
        <v>#REF!</v>
      </c>
    </row>
    <row r="211" spans="23:44" x14ac:dyDescent="0.25">
      <c r="W211" s="270" t="s">
        <v>68</v>
      </c>
      <c r="X211" s="261" t="e">
        <f t="shared" ref="X211:AR211" si="42">X164</f>
        <v>#REF!</v>
      </c>
      <c r="Y211" s="261" t="e">
        <f t="shared" si="42"/>
        <v>#REF!</v>
      </c>
      <c r="Z211" s="261" t="e">
        <f t="shared" si="42"/>
        <v>#REF!</v>
      </c>
      <c r="AA211" s="261" t="e">
        <f t="shared" si="42"/>
        <v>#REF!</v>
      </c>
      <c r="AB211" s="261" t="e">
        <f t="shared" si="42"/>
        <v>#REF!</v>
      </c>
      <c r="AC211" s="261" t="e">
        <f t="shared" si="42"/>
        <v>#REF!</v>
      </c>
      <c r="AD211" s="261" t="e">
        <f t="shared" si="42"/>
        <v>#REF!</v>
      </c>
      <c r="AE211" s="261" t="e">
        <f t="shared" si="42"/>
        <v>#REF!</v>
      </c>
      <c r="AF211" s="261" t="e">
        <f t="shared" si="42"/>
        <v>#REF!</v>
      </c>
      <c r="AG211" s="261" t="e">
        <f t="shared" si="42"/>
        <v>#REF!</v>
      </c>
      <c r="AH211" s="261" t="e">
        <f t="shared" si="42"/>
        <v>#REF!</v>
      </c>
      <c r="AI211" s="261" t="e">
        <f t="shared" si="42"/>
        <v>#REF!</v>
      </c>
      <c r="AJ211" s="261" t="e">
        <f t="shared" si="42"/>
        <v>#REF!</v>
      </c>
      <c r="AK211" s="261" t="e">
        <f t="shared" si="42"/>
        <v>#REF!</v>
      </c>
      <c r="AL211" s="261" t="e">
        <f t="shared" si="42"/>
        <v>#REF!</v>
      </c>
      <c r="AM211" s="261" t="e">
        <f t="shared" si="42"/>
        <v>#REF!</v>
      </c>
      <c r="AN211" s="261" t="e">
        <f t="shared" si="42"/>
        <v>#REF!</v>
      </c>
      <c r="AO211" s="261" t="e">
        <f t="shared" si="42"/>
        <v>#REF!</v>
      </c>
      <c r="AP211" s="261" t="e">
        <f t="shared" si="42"/>
        <v>#REF!</v>
      </c>
      <c r="AQ211" s="261" t="e">
        <f t="shared" si="42"/>
        <v>#REF!</v>
      </c>
      <c r="AR211" s="261" t="e">
        <f t="shared" si="42"/>
        <v>#REF!</v>
      </c>
    </row>
    <row r="212" spans="23:44" x14ac:dyDescent="0.25">
      <c r="W212" s="265" t="s">
        <v>45</v>
      </c>
      <c r="AH212" s="261">
        <f>AH168</f>
        <v>154.74139061594644</v>
      </c>
      <c r="AR212" s="261">
        <f>AR168</f>
        <v>114.69067775064266</v>
      </c>
    </row>
    <row r="213" spans="23:44" x14ac:dyDescent="0.25">
      <c r="W213" s="271" t="s">
        <v>145</v>
      </c>
      <c r="AE213" s="100" t="e">
        <f t="shared" ref="AE213:AR213" si="43">AE99/1000-AE170</f>
        <v>#REF!</v>
      </c>
      <c r="AF213" s="100" t="e">
        <f t="shared" si="43"/>
        <v>#REF!</v>
      </c>
      <c r="AG213" s="100" t="e">
        <f t="shared" si="43"/>
        <v>#REF!</v>
      </c>
      <c r="AH213" s="100" t="e">
        <f t="shared" si="43"/>
        <v>#REF!</v>
      </c>
      <c r="AI213" s="100" t="e">
        <f t="shared" si="43"/>
        <v>#REF!</v>
      </c>
      <c r="AJ213" s="100" t="e">
        <f t="shared" si="43"/>
        <v>#REF!</v>
      </c>
      <c r="AK213" s="100" t="e">
        <f t="shared" si="43"/>
        <v>#REF!</v>
      </c>
      <c r="AL213" s="100" t="e">
        <f t="shared" si="43"/>
        <v>#REF!</v>
      </c>
      <c r="AM213" s="100" t="e">
        <f t="shared" si="43"/>
        <v>#REF!</v>
      </c>
      <c r="AN213" s="100" t="e">
        <f t="shared" si="43"/>
        <v>#REF!</v>
      </c>
      <c r="AO213" s="100" t="e">
        <f t="shared" si="43"/>
        <v>#REF!</v>
      </c>
      <c r="AP213" s="100" t="e">
        <f t="shared" si="43"/>
        <v>#REF!</v>
      </c>
      <c r="AQ213" s="100" t="e">
        <f t="shared" si="43"/>
        <v>#REF!</v>
      </c>
      <c r="AR213" s="100" t="e">
        <f t="shared" si="43"/>
        <v>#REF!</v>
      </c>
    </row>
    <row r="251" spans="23:44" x14ac:dyDescent="0.25">
      <c r="W251" s="265"/>
      <c r="X251" s="6">
        <v>2010</v>
      </c>
      <c r="Y251" s="6">
        <v>2011</v>
      </c>
      <c r="Z251" s="6">
        <v>2012</v>
      </c>
      <c r="AA251" s="6">
        <v>2013</v>
      </c>
      <c r="AB251" s="6">
        <v>2014</v>
      </c>
      <c r="AC251" s="6">
        <v>2015</v>
      </c>
      <c r="AD251" s="6">
        <v>2016</v>
      </c>
      <c r="AE251" s="6">
        <v>2017</v>
      </c>
      <c r="AF251" s="6">
        <v>2018</v>
      </c>
      <c r="AG251" s="6">
        <v>2019</v>
      </c>
      <c r="AH251" s="6">
        <v>2020</v>
      </c>
      <c r="AI251" s="6">
        <v>2021</v>
      </c>
      <c r="AJ251" s="6">
        <v>2022</v>
      </c>
      <c r="AK251" s="6">
        <v>2023</v>
      </c>
      <c r="AL251" s="6">
        <v>2024</v>
      </c>
      <c r="AM251" s="6">
        <v>2025</v>
      </c>
      <c r="AN251" s="6">
        <v>2026</v>
      </c>
      <c r="AO251" s="6">
        <v>2027</v>
      </c>
      <c r="AP251" s="6">
        <v>2028</v>
      </c>
      <c r="AQ251" s="6">
        <v>2029</v>
      </c>
      <c r="AR251" s="6">
        <v>2030</v>
      </c>
    </row>
    <row r="252" spans="23:44" x14ac:dyDescent="0.25">
      <c r="W252" s="266" t="s">
        <v>163</v>
      </c>
      <c r="X252" s="261">
        <f>X210</f>
        <v>178.34161357938513</v>
      </c>
      <c r="Y252" s="261">
        <f t="shared" ref="Y252:AR252" si="44">Y210</f>
        <v>174.65029547746266</v>
      </c>
      <c r="Z252" s="261">
        <f t="shared" si="44"/>
        <v>170.90164663336216</v>
      </c>
      <c r="AA252" s="261">
        <f t="shared" si="44"/>
        <v>170.77391585403157</v>
      </c>
      <c r="AB252" s="261" t="e">
        <f t="shared" si="44"/>
        <v>#REF!</v>
      </c>
      <c r="AC252" s="261" t="e">
        <f t="shared" si="44"/>
        <v>#REF!</v>
      </c>
      <c r="AD252" s="261" t="e">
        <f t="shared" si="44"/>
        <v>#REF!</v>
      </c>
      <c r="AE252" s="261" t="e">
        <f t="shared" si="44"/>
        <v>#REF!</v>
      </c>
      <c r="AF252" s="261" t="e">
        <f t="shared" si="44"/>
        <v>#REF!</v>
      </c>
      <c r="AG252" s="261" t="e">
        <f t="shared" si="44"/>
        <v>#REF!</v>
      </c>
      <c r="AH252" s="261" t="e">
        <f t="shared" si="44"/>
        <v>#REF!</v>
      </c>
      <c r="AI252" s="261" t="e">
        <f t="shared" si="44"/>
        <v>#REF!</v>
      </c>
      <c r="AJ252" s="261" t="e">
        <f t="shared" si="44"/>
        <v>#REF!</v>
      </c>
      <c r="AK252" s="261" t="e">
        <f t="shared" si="44"/>
        <v>#REF!</v>
      </c>
      <c r="AL252" s="261" t="e">
        <f t="shared" si="44"/>
        <v>#REF!</v>
      </c>
      <c r="AM252" s="261" t="e">
        <f t="shared" si="44"/>
        <v>#REF!</v>
      </c>
      <c r="AN252" s="261" t="e">
        <f t="shared" si="44"/>
        <v>#REF!</v>
      </c>
      <c r="AO252" s="261" t="e">
        <f t="shared" si="44"/>
        <v>#REF!</v>
      </c>
      <c r="AP252" s="261" t="e">
        <f t="shared" si="44"/>
        <v>#REF!</v>
      </c>
      <c r="AQ252" s="261" t="e">
        <f t="shared" si="44"/>
        <v>#REF!</v>
      </c>
      <c r="AR252" s="261" t="e">
        <f t="shared" si="44"/>
        <v>#REF!</v>
      </c>
    </row>
    <row r="253" spans="23:44" x14ac:dyDescent="0.25">
      <c r="W253" s="317" t="s">
        <v>164</v>
      </c>
      <c r="X253" s="261" t="e">
        <f t="shared" ref="X253:AR253" si="45">X164</f>
        <v>#REF!</v>
      </c>
      <c r="Y253" s="261" t="e">
        <f t="shared" si="45"/>
        <v>#REF!</v>
      </c>
      <c r="Z253" s="261" t="e">
        <f t="shared" si="45"/>
        <v>#REF!</v>
      </c>
      <c r="AA253" s="261" t="e">
        <f t="shared" si="45"/>
        <v>#REF!</v>
      </c>
      <c r="AB253" s="261" t="e">
        <f t="shared" si="45"/>
        <v>#REF!</v>
      </c>
      <c r="AC253" s="261" t="e">
        <f t="shared" si="45"/>
        <v>#REF!</v>
      </c>
      <c r="AD253" s="261" t="e">
        <f t="shared" si="45"/>
        <v>#REF!</v>
      </c>
      <c r="AE253" s="261" t="e">
        <f t="shared" si="45"/>
        <v>#REF!</v>
      </c>
      <c r="AF253" s="261" t="e">
        <f t="shared" si="45"/>
        <v>#REF!</v>
      </c>
      <c r="AG253" s="261" t="e">
        <f t="shared" si="45"/>
        <v>#REF!</v>
      </c>
      <c r="AH253" s="261" t="e">
        <f t="shared" si="45"/>
        <v>#REF!</v>
      </c>
      <c r="AI253" s="261" t="e">
        <f t="shared" si="45"/>
        <v>#REF!</v>
      </c>
      <c r="AJ253" s="261" t="e">
        <f t="shared" si="45"/>
        <v>#REF!</v>
      </c>
      <c r="AK253" s="261" t="e">
        <f t="shared" si="45"/>
        <v>#REF!</v>
      </c>
      <c r="AL253" s="261" t="e">
        <f t="shared" si="45"/>
        <v>#REF!</v>
      </c>
      <c r="AM253" s="261" t="e">
        <f t="shared" si="45"/>
        <v>#REF!</v>
      </c>
      <c r="AN253" s="261" t="e">
        <f t="shared" si="45"/>
        <v>#REF!</v>
      </c>
      <c r="AO253" s="261" t="e">
        <f t="shared" si="45"/>
        <v>#REF!</v>
      </c>
      <c r="AP253" s="261" t="e">
        <f t="shared" si="45"/>
        <v>#REF!</v>
      </c>
      <c r="AQ253" s="261" t="e">
        <f t="shared" si="45"/>
        <v>#REF!</v>
      </c>
      <c r="AR253" s="261" t="e">
        <f t="shared" si="45"/>
        <v>#REF!</v>
      </c>
    </row>
    <row r="254" spans="23:44" x14ac:dyDescent="0.25">
      <c r="W254" s="266" t="s">
        <v>143</v>
      </c>
      <c r="AD254" s="261"/>
      <c r="AE254" s="261" t="e">
        <f>AE209</f>
        <v>#REF!</v>
      </c>
      <c r="AF254" s="261" t="e">
        <f t="shared" ref="AF254:AR254" si="46">AF209</f>
        <v>#REF!</v>
      </c>
      <c r="AG254" s="261" t="e">
        <f t="shared" si="46"/>
        <v>#REF!</v>
      </c>
      <c r="AH254" s="261" t="e">
        <f t="shared" si="46"/>
        <v>#REF!</v>
      </c>
      <c r="AI254" s="261" t="e">
        <f t="shared" si="46"/>
        <v>#REF!</v>
      </c>
      <c r="AJ254" s="261" t="e">
        <f t="shared" si="46"/>
        <v>#REF!</v>
      </c>
      <c r="AK254" s="261" t="e">
        <f t="shared" si="46"/>
        <v>#REF!</v>
      </c>
      <c r="AL254" s="261" t="e">
        <f t="shared" si="46"/>
        <v>#REF!</v>
      </c>
      <c r="AM254" s="261" t="e">
        <f t="shared" si="46"/>
        <v>#REF!</v>
      </c>
      <c r="AN254" s="261" t="e">
        <f t="shared" si="46"/>
        <v>#REF!</v>
      </c>
      <c r="AO254" s="261" t="e">
        <f t="shared" si="46"/>
        <v>#REF!</v>
      </c>
      <c r="AP254" s="261" t="e">
        <f t="shared" si="46"/>
        <v>#REF!</v>
      </c>
      <c r="AQ254" s="261" t="e">
        <f t="shared" si="46"/>
        <v>#REF!</v>
      </c>
      <c r="AR254" s="261" t="e">
        <f t="shared" si="46"/>
        <v>#REF!</v>
      </c>
    </row>
    <row r="255" spans="23:44" x14ac:dyDescent="0.25">
      <c r="W255" s="317" t="s">
        <v>45</v>
      </c>
      <c r="AH255" s="318">
        <f>AH212</f>
        <v>154.74139061594644</v>
      </c>
      <c r="AI255" s="318"/>
      <c r="AJ255" s="318"/>
      <c r="AK255" s="318"/>
      <c r="AL255" s="318"/>
      <c r="AM255" s="318"/>
      <c r="AN255" s="318"/>
      <c r="AO255" s="318"/>
      <c r="AP255" s="318"/>
      <c r="AQ255" s="318"/>
      <c r="AR255" s="318">
        <f>AR212</f>
        <v>114.69067775064266</v>
      </c>
    </row>
    <row r="289" spans="23:44" x14ac:dyDescent="0.25">
      <c r="W289" s="265"/>
      <c r="X289" s="6">
        <v>2010</v>
      </c>
      <c r="Y289" s="6">
        <v>2011</v>
      </c>
      <c r="Z289" s="6">
        <v>2012</v>
      </c>
      <c r="AA289" s="6">
        <v>2013</v>
      </c>
      <c r="AB289" s="6">
        <v>2014</v>
      </c>
      <c r="AC289" s="6">
        <v>2015</v>
      </c>
      <c r="AD289" s="6">
        <v>2016</v>
      </c>
      <c r="AE289" s="6">
        <v>2017</v>
      </c>
      <c r="AF289" s="6">
        <v>2018</v>
      </c>
      <c r="AG289" s="6">
        <v>2019</v>
      </c>
      <c r="AH289" s="6">
        <v>2020</v>
      </c>
      <c r="AI289" s="6">
        <v>2021</v>
      </c>
      <c r="AJ289" s="6">
        <v>2022</v>
      </c>
      <c r="AK289" s="6">
        <v>2023</v>
      </c>
      <c r="AL289" s="6">
        <v>2024</v>
      </c>
      <c r="AM289" s="6">
        <v>2025</v>
      </c>
      <c r="AN289" s="6">
        <v>2026</v>
      </c>
      <c r="AO289" s="6">
        <v>2027</v>
      </c>
      <c r="AP289" s="6">
        <v>2028</v>
      </c>
      <c r="AQ289" s="6">
        <v>2029</v>
      </c>
      <c r="AR289" s="6">
        <v>2030</v>
      </c>
    </row>
    <row r="290" spans="23:44" x14ac:dyDescent="0.25">
      <c r="W290" s="266" t="s">
        <v>165</v>
      </c>
      <c r="X290" s="261">
        <f>X205</f>
        <v>29.568594999999998</v>
      </c>
      <c r="Y290" s="261">
        <f t="shared" ref="Y290:AR290" si="47">Y205</f>
        <v>30.181574999999999</v>
      </c>
      <c r="Z290" s="261">
        <f t="shared" si="47"/>
        <v>30.908985000000001</v>
      </c>
      <c r="AA290" s="261">
        <f t="shared" si="47"/>
        <v>28.411908</v>
      </c>
      <c r="AB290" s="261">
        <f t="shared" si="47"/>
        <v>28.688124070619835</v>
      </c>
      <c r="AC290" s="261">
        <f t="shared" si="47"/>
        <v>28.925179165733535</v>
      </c>
      <c r="AD290" s="261">
        <f t="shared" si="47"/>
        <v>29.196001128480333</v>
      </c>
      <c r="AE290" s="328">
        <f t="shared" si="47"/>
        <v>29.502350481872782</v>
      </c>
      <c r="AF290" s="261">
        <f t="shared" si="47"/>
        <v>29.119064061200707</v>
      </c>
      <c r="AG290" s="261">
        <f t="shared" si="47"/>
        <v>28.743845317554793</v>
      </c>
      <c r="AH290" s="261">
        <f t="shared" si="47"/>
        <v>28.376472501034623</v>
      </c>
      <c r="AI290" s="261">
        <f t="shared" si="47"/>
        <v>28.287904340059541</v>
      </c>
      <c r="AJ290" s="261">
        <f t="shared" si="47"/>
        <v>28.202186816347496</v>
      </c>
      <c r="AK290" s="261">
        <f t="shared" si="47"/>
        <v>28.119274205747686</v>
      </c>
      <c r="AL290" s="261">
        <f t="shared" si="47"/>
        <v>27.96188828683243</v>
      </c>
      <c r="AM290" s="261">
        <f t="shared" si="47"/>
        <v>27.811303781710581</v>
      </c>
      <c r="AN290" s="261">
        <f t="shared" si="47"/>
        <v>27.667315363055351</v>
      </c>
      <c r="AO290" s="261">
        <f t="shared" si="47"/>
        <v>27.655336824046266</v>
      </c>
      <c r="AP290" s="261">
        <f t="shared" si="47"/>
        <v>27.645743314614602</v>
      </c>
      <c r="AQ290" s="261">
        <f t="shared" si="47"/>
        <v>27.638501463928563</v>
      </c>
      <c r="AR290" s="261">
        <f t="shared" si="47"/>
        <v>27.440732266348103</v>
      </c>
    </row>
    <row r="291" spans="23:44" x14ac:dyDescent="0.25">
      <c r="W291" s="266" t="s">
        <v>166</v>
      </c>
      <c r="X291" s="261"/>
      <c r="Y291" s="261"/>
      <c r="Z291" s="261"/>
      <c r="AA291" s="261"/>
      <c r="AB291" s="261"/>
      <c r="AC291" s="261"/>
      <c r="AD291" s="261"/>
      <c r="AE291" s="261">
        <f>AE177</f>
        <v>29.502350481872782</v>
      </c>
      <c r="AF291" s="261">
        <f>AF177</f>
        <v>28.720874520898647</v>
      </c>
      <c r="AG291" s="261">
        <f>AG177</f>
        <v>27.939398559924509</v>
      </c>
      <c r="AH291" s="261">
        <f>AH177</f>
        <v>27.157922598950375</v>
      </c>
      <c r="AI291" s="261"/>
      <c r="AJ291" s="261"/>
      <c r="AK291" s="261"/>
      <c r="AL291" s="261"/>
      <c r="AM291" s="261"/>
      <c r="AN291" s="261"/>
      <c r="AO291" s="261"/>
      <c r="AP291" s="261"/>
      <c r="AQ291" s="261"/>
      <c r="AR291" s="261"/>
    </row>
    <row r="292" spans="23:44" x14ac:dyDescent="0.25">
      <c r="W292" s="267" t="s">
        <v>168</v>
      </c>
      <c r="X292" s="261">
        <f t="shared" ref="X292:AR292" si="48">X206</f>
        <v>19.802272114057871</v>
      </c>
      <c r="Y292" s="261">
        <f t="shared" si="48"/>
        <v>14.218297326696581</v>
      </c>
      <c r="Z292" s="261">
        <f t="shared" si="48"/>
        <v>14.154796364649654</v>
      </c>
      <c r="AA292" s="261">
        <f t="shared" si="48"/>
        <v>10.890218042777899</v>
      </c>
      <c r="AB292" s="261" t="e">
        <f t="shared" si="48"/>
        <v>#REF!</v>
      </c>
      <c r="AC292" s="261" t="e">
        <f t="shared" si="48"/>
        <v>#REF!</v>
      </c>
      <c r="AD292" s="261" t="e">
        <f t="shared" si="48"/>
        <v>#REF!</v>
      </c>
      <c r="AE292" s="261">
        <f t="shared" si="48"/>
        <v>6.480922986572784</v>
      </c>
      <c r="AF292" s="261">
        <f t="shared" si="48"/>
        <v>6.480922986572784</v>
      </c>
      <c r="AG292" s="261">
        <f t="shared" si="48"/>
        <v>6.480922986572784</v>
      </c>
      <c r="AH292" s="261">
        <f t="shared" si="48"/>
        <v>6.480922986572784</v>
      </c>
      <c r="AI292" s="261">
        <f t="shared" si="48"/>
        <v>6.480922986572784</v>
      </c>
      <c r="AJ292" s="261">
        <f t="shared" si="48"/>
        <v>6.480922986572784</v>
      </c>
      <c r="AK292" s="261">
        <f t="shared" si="48"/>
        <v>6.480922986572784</v>
      </c>
      <c r="AL292" s="261">
        <f t="shared" si="48"/>
        <v>6.480922986572784</v>
      </c>
      <c r="AM292" s="261">
        <f t="shared" si="48"/>
        <v>6.480922986572784</v>
      </c>
      <c r="AN292" s="261">
        <f t="shared" si="48"/>
        <v>6.480922986572784</v>
      </c>
      <c r="AO292" s="261">
        <f t="shared" si="48"/>
        <v>6.480922986572784</v>
      </c>
      <c r="AP292" s="261">
        <f t="shared" si="48"/>
        <v>6.480922986572784</v>
      </c>
      <c r="AQ292" s="261">
        <f t="shared" si="48"/>
        <v>6.480922986572784</v>
      </c>
      <c r="AR292" s="261">
        <f t="shared" si="48"/>
        <v>6.480922986572784</v>
      </c>
    </row>
    <row r="293" spans="23:44" x14ac:dyDescent="0.25">
      <c r="W293" s="267" t="s">
        <v>167</v>
      </c>
      <c r="X293" s="261"/>
      <c r="Y293" s="261"/>
      <c r="Z293" s="261"/>
      <c r="AA293" s="261"/>
      <c r="AB293" s="261"/>
      <c r="AC293" s="261"/>
      <c r="AD293" s="261"/>
      <c r="AE293" s="261">
        <f>AE290+AE179</f>
        <v>35.983273468445567</v>
      </c>
      <c r="AF293" s="261">
        <f>AF290+AF179</f>
        <v>35.599987047773489</v>
      </c>
      <c r="AG293" s="261">
        <f>AG290+AG179</f>
        <v>35.224768304127579</v>
      </c>
      <c r="AH293" s="261">
        <f>AH290+AH179</f>
        <v>34.857395487607405</v>
      </c>
      <c r="AI293" s="261"/>
      <c r="AJ293" s="261"/>
      <c r="AK293" s="261"/>
      <c r="AL293" s="261"/>
      <c r="AM293" s="261"/>
      <c r="AN293" s="261"/>
      <c r="AO293" s="261"/>
      <c r="AP293" s="261"/>
      <c r="AQ293" s="261"/>
      <c r="AR293" s="261"/>
    </row>
    <row r="294" spans="23:44" x14ac:dyDescent="0.25">
      <c r="W294" s="268" t="s">
        <v>169</v>
      </c>
      <c r="X294" s="261" t="e">
        <f>X207</f>
        <v>#REF!</v>
      </c>
      <c r="Y294" s="261" t="e">
        <f t="shared" ref="Y294:AR294" si="49">Y207</f>
        <v>#REF!</v>
      </c>
      <c r="Z294" s="261" t="e">
        <f t="shared" si="49"/>
        <v>#REF!</v>
      </c>
      <c r="AA294" s="261" t="e">
        <f t="shared" si="49"/>
        <v>#REF!</v>
      </c>
      <c r="AB294" s="261" t="e">
        <f t="shared" si="49"/>
        <v>#REF!</v>
      </c>
      <c r="AC294" s="261" t="e">
        <f t="shared" si="49"/>
        <v>#REF!</v>
      </c>
      <c r="AD294" s="261" t="e">
        <f t="shared" si="49"/>
        <v>#REF!</v>
      </c>
      <c r="AE294" s="261" t="e">
        <f t="shared" si="49"/>
        <v>#REF!</v>
      </c>
      <c r="AF294" s="261" t="e">
        <f t="shared" si="49"/>
        <v>#REF!</v>
      </c>
      <c r="AG294" s="261" t="e">
        <f t="shared" si="49"/>
        <v>#REF!</v>
      </c>
      <c r="AH294" s="261" t="e">
        <f t="shared" si="49"/>
        <v>#REF!</v>
      </c>
      <c r="AI294" s="261" t="e">
        <f t="shared" si="49"/>
        <v>#REF!</v>
      </c>
      <c r="AJ294" s="261" t="e">
        <f t="shared" si="49"/>
        <v>#REF!</v>
      </c>
      <c r="AK294" s="261" t="e">
        <f t="shared" si="49"/>
        <v>#REF!</v>
      </c>
      <c r="AL294" s="261" t="e">
        <f t="shared" si="49"/>
        <v>#REF!</v>
      </c>
      <c r="AM294" s="261" t="e">
        <f t="shared" si="49"/>
        <v>#REF!</v>
      </c>
      <c r="AN294" s="261" t="e">
        <f t="shared" si="49"/>
        <v>#REF!</v>
      </c>
      <c r="AO294" s="261" t="e">
        <f t="shared" si="49"/>
        <v>#REF!</v>
      </c>
      <c r="AP294" s="261" t="e">
        <f t="shared" si="49"/>
        <v>#REF!</v>
      </c>
      <c r="AQ294" s="261" t="e">
        <f t="shared" si="49"/>
        <v>#REF!</v>
      </c>
      <c r="AR294" s="261" t="e">
        <f t="shared" si="49"/>
        <v>#REF!</v>
      </c>
    </row>
    <row r="295" spans="23:44" x14ac:dyDescent="0.25">
      <c r="W295" s="268" t="s">
        <v>170</v>
      </c>
      <c r="X295" s="261"/>
      <c r="Y295" s="261"/>
      <c r="Z295" s="261"/>
      <c r="AA295" s="261"/>
      <c r="AB295" s="261"/>
      <c r="AC295" s="261"/>
      <c r="AD295" s="261"/>
      <c r="AE295" s="261" t="e">
        <f>AE290+AE292+AE181</f>
        <v>#REF!</v>
      </c>
      <c r="AF295" s="261" t="e">
        <f>AF290+AF292+AF181</f>
        <v>#REF!</v>
      </c>
      <c r="AG295" s="261" t="e">
        <f>AG290+AG292+AG181</f>
        <v>#REF!</v>
      </c>
      <c r="AH295" s="261" t="e">
        <f>AH290+AH292+AH181</f>
        <v>#REF!</v>
      </c>
      <c r="AI295" s="261"/>
      <c r="AJ295" s="261"/>
      <c r="AK295" s="261"/>
      <c r="AL295" s="261"/>
      <c r="AM295" s="261"/>
      <c r="AN295" s="261"/>
      <c r="AO295" s="261"/>
      <c r="AP295" s="261"/>
      <c r="AQ295" s="261"/>
      <c r="AR295" s="261"/>
    </row>
    <row r="296" spans="23:44" x14ac:dyDescent="0.25">
      <c r="W296" s="268" t="s">
        <v>178</v>
      </c>
      <c r="X296" s="261" t="e">
        <f>X208</f>
        <v>#REF!</v>
      </c>
      <c r="Y296" s="261" t="e">
        <f t="shared" ref="Y296:AR296" si="50">Y208</f>
        <v>#REF!</v>
      </c>
      <c r="Z296" s="261" t="e">
        <f t="shared" si="50"/>
        <v>#REF!</v>
      </c>
      <c r="AA296" s="261" t="e">
        <f t="shared" si="50"/>
        <v>#REF!</v>
      </c>
      <c r="AB296" s="261" t="e">
        <f t="shared" si="50"/>
        <v>#REF!</v>
      </c>
      <c r="AC296" s="261" t="e">
        <f t="shared" si="50"/>
        <v>#REF!</v>
      </c>
      <c r="AD296" s="261" t="e">
        <f t="shared" si="50"/>
        <v>#REF!</v>
      </c>
      <c r="AE296" s="261" t="e">
        <f t="shared" si="50"/>
        <v>#REF!</v>
      </c>
      <c r="AF296" s="261" t="e">
        <f t="shared" si="50"/>
        <v>#REF!</v>
      </c>
      <c r="AG296" s="261" t="e">
        <f t="shared" si="50"/>
        <v>#REF!</v>
      </c>
      <c r="AH296" s="261" t="e">
        <f t="shared" si="50"/>
        <v>#REF!</v>
      </c>
      <c r="AI296" s="261" t="e">
        <f t="shared" si="50"/>
        <v>#REF!</v>
      </c>
      <c r="AJ296" s="261" t="e">
        <f t="shared" si="50"/>
        <v>#REF!</v>
      </c>
      <c r="AK296" s="261" t="e">
        <f t="shared" si="50"/>
        <v>#REF!</v>
      </c>
      <c r="AL296" s="261" t="e">
        <f t="shared" si="50"/>
        <v>#REF!</v>
      </c>
      <c r="AM296" s="261" t="e">
        <f t="shared" si="50"/>
        <v>#REF!</v>
      </c>
      <c r="AN296" s="261" t="e">
        <f t="shared" si="50"/>
        <v>#REF!</v>
      </c>
      <c r="AO296" s="261" t="e">
        <f t="shared" si="50"/>
        <v>#REF!</v>
      </c>
      <c r="AP296" s="261" t="e">
        <f t="shared" si="50"/>
        <v>#REF!</v>
      </c>
      <c r="AQ296" s="261" t="e">
        <f t="shared" si="50"/>
        <v>#REF!</v>
      </c>
      <c r="AR296" s="261" t="e">
        <f t="shared" si="50"/>
        <v>#REF!</v>
      </c>
    </row>
    <row r="297" spans="23:44" x14ac:dyDescent="0.25">
      <c r="W297" s="268" t="s">
        <v>171</v>
      </c>
      <c r="X297" s="261"/>
      <c r="Y297" s="261"/>
      <c r="Z297" s="261"/>
      <c r="AA297" s="261"/>
      <c r="AB297" s="261"/>
      <c r="AC297" s="261"/>
      <c r="AD297" s="261"/>
      <c r="AE297" s="261" t="e">
        <f>AE290+AE292+AE294+AE182</f>
        <v>#REF!</v>
      </c>
      <c r="AF297" s="261" t="e">
        <f>AF290+AF292+AF294+AF182</f>
        <v>#REF!</v>
      </c>
      <c r="AG297" s="261" t="e">
        <f>AG290+AG292+AG294+AG182</f>
        <v>#REF!</v>
      </c>
      <c r="AH297" s="261" t="e">
        <f>AH290+AH292+AH294+AH182</f>
        <v>#REF!</v>
      </c>
      <c r="AI297" s="261"/>
      <c r="AJ297" s="261"/>
      <c r="AK297" s="261"/>
      <c r="AL297" s="261"/>
      <c r="AM297" s="261"/>
      <c r="AN297" s="261"/>
      <c r="AO297" s="261"/>
      <c r="AP297" s="261"/>
      <c r="AQ297" s="261"/>
      <c r="AR297" s="261"/>
    </row>
    <row r="298" spans="23:44" hidden="1" x14ac:dyDescent="0.25">
      <c r="W298" s="272" t="s">
        <v>172</v>
      </c>
      <c r="X298" s="261"/>
      <c r="Y298" s="261"/>
      <c r="Z298" s="261"/>
      <c r="AA298" s="261"/>
      <c r="AB298" s="261"/>
      <c r="AC298" s="261"/>
      <c r="AD298" s="261"/>
      <c r="AE298" s="261" t="e">
        <f t="shared" ref="AE298:AR300" si="51">AE209</f>
        <v>#REF!</v>
      </c>
      <c r="AF298" s="261" t="e">
        <f t="shared" si="51"/>
        <v>#REF!</v>
      </c>
      <c r="AG298" s="261" t="e">
        <f t="shared" si="51"/>
        <v>#REF!</v>
      </c>
      <c r="AH298" s="261" t="e">
        <f t="shared" si="51"/>
        <v>#REF!</v>
      </c>
      <c r="AI298" s="261" t="e">
        <f t="shared" si="51"/>
        <v>#REF!</v>
      </c>
      <c r="AJ298" s="261" t="e">
        <f t="shared" si="51"/>
        <v>#REF!</v>
      </c>
      <c r="AK298" s="261" t="e">
        <f t="shared" si="51"/>
        <v>#REF!</v>
      </c>
      <c r="AL298" s="261" t="e">
        <f t="shared" si="51"/>
        <v>#REF!</v>
      </c>
      <c r="AM298" s="261" t="e">
        <f t="shared" si="51"/>
        <v>#REF!</v>
      </c>
      <c r="AN298" s="261" t="e">
        <f t="shared" si="51"/>
        <v>#REF!</v>
      </c>
      <c r="AO298" s="261" t="e">
        <f t="shared" si="51"/>
        <v>#REF!</v>
      </c>
      <c r="AP298" s="261" t="e">
        <f t="shared" si="51"/>
        <v>#REF!</v>
      </c>
      <c r="AQ298" s="261" t="e">
        <f t="shared" si="51"/>
        <v>#REF!</v>
      </c>
      <c r="AR298" s="261" t="e">
        <f t="shared" si="51"/>
        <v>#REF!</v>
      </c>
    </row>
    <row r="299" spans="23:44" x14ac:dyDescent="0.25">
      <c r="W299" s="272" t="s">
        <v>144</v>
      </c>
      <c r="X299" s="261">
        <f t="shared" ref="X299:AD300" si="52">X210</f>
        <v>178.34161357938513</v>
      </c>
      <c r="Y299" s="261">
        <f t="shared" si="52"/>
        <v>174.65029547746266</v>
      </c>
      <c r="Z299" s="261">
        <f t="shared" si="52"/>
        <v>170.90164663336216</v>
      </c>
      <c r="AA299" s="261">
        <f t="shared" si="52"/>
        <v>170.77391585403157</v>
      </c>
      <c r="AB299" s="261" t="e">
        <f t="shared" si="52"/>
        <v>#REF!</v>
      </c>
      <c r="AC299" s="261" t="e">
        <f t="shared" si="52"/>
        <v>#REF!</v>
      </c>
      <c r="AD299" s="261" t="e">
        <f t="shared" si="52"/>
        <v>#REF!</v>
      </c>
      <c r="AE299" s="261" t="e">
        <f t="shared" si="51"/>
        <v>#REF!</v>
      </c>
      <c r="AF299" s="261" t="e">
        <f t="shared" si="51"/>
        <v>#REF!</v>
      </c>
      <c r="AG299" s="261" t="e">
        <f t="shared" si="51"/>
        <v>#REF!</v>
      </c>
      <c r="AH299" s="261" t="e">
        <f t="shared" si="51"/>
        <v>#REF!</v>
      </c>
      <c r="AI299" s="261" t="e">
        <f t="shared" si="51"/>
        <v>#REF!</v>
      </c>
      <c r="AJ299" s="261" t="e">
        <f t="shared" si="51"/>
        <v>#REF!</v>
      </c>
      <c r="AK299" s="261" t="e">
        <f t="shared" si="51"/>
        <v>#REF!</v>
      </c>
      <c r="AL299" s="261" t="e">
        <f t="shared" si="51"/>
        <v>#REF!</v>
      </c>
      <c r="AM299" s="261" t="e">
        <f t="shared" si="51"/>
        <v>#REF!</v>
      </c>
      <c r="AN299" s="261" t="e">
        <f t="shared" si="51"/>
        <v>#REF!</v>
      </c>
      <c r="AO299" s="261" t="e">
        <f t="shared" si="51"/>
        <v>#REF!</v>
      </c>
      <c r="AP299" s="261" t="e">
        <f t="shared" si="51"/>
        <v>#REF!</v>
      </c>
      <c r="AQ299" s="261" t="e">
        <f t="shared" si="51"/>
        <v>#REF!</v>
      </c>
      <c r="AR299" s="261" t="e">
        <f t="shared" si="51"/>
        <v>#REF!</v>
      </c>
    </row>
    <row r="300" spans="23:44" x14ac:dyDescent="0.25">
      <c r="W300" s="272" t="s">
        <v>68</v>
      </c>
      <c r="X300" s="261" t="e">
        <f t="shared" si="52"/>
        <v>#REF!</v>
      </c>
      <c r="Y300" s="261" t="e">
        <f t="shared" si="52"/>
        <v>#REF!</v>
      </c>
      <c r="Z300" s="261" t="e">
        <f t="shared" si="52"/>
        <v>#REF!</v>
      </c>
      <c r="AA300" s="261" t="e">
        <f t="shared" si="52"/>
        <v>#REF!</v>
      </c>
      <c r="AB300" s="261" t="e">
        <f t="shared" si="52"/>
        <v>#REF!</v>
      </c>
      <c r="AC300" s="261" t="e">
        <f t="shared" si="52"/>
        <v>#REF!</v>
      </c>
      <c r="AD300" s="261" t="e">
        <f t="shared" si="52"/>
        <v>#REF!</v>
      </c>
      <c r="AE300" s="261" t="e">
        <f t="shared" si="51"/>
        <v>#REF!</v>
      </c>
      <c r="AF300" s="261" t="e">
        <f t="shared" si="51"/>
        <v>#REF!</v>
      </c>
      <c r="AG300" s="261" t="e">
        <f t="shared" si="51"/>
        <v>#REF!</v>
      </c>
      <c r="AH300" s="261" t="e">
        <f t="shared" si="51"/>
        <v>#REF!</v>
      </c>
      <c r="AI300" s="261" t="e">
        <f t="shared" si="51"/>
        <v>#REF!</v>
      </c>
      <c r="AJ300" s="261" t="e">
        <f t="shared" si="51"/>
        <v>#REF!</v>
      </c>
      <c r="AK300" s="261" t="e">
        <f t="shared" si="51"/>
        <v>#REF!</v>
      </c>
      <c r="AL300" s="261" t="e">
        <f t="shared" si="51"/>
        <v>#REF!</v>
      </c>
      <c r="AM300" s="261" t="e">
        <f t="shared" si="51"/>
        <v>#REF!</v>
      </c>
      <c r="AN300" s="261" t="e">
        <f t="shared" si="51"/>
        <v>#REF!</v>
      </c>
      <c r="AO300" s="261" t="e">
        <f t="shared" si="51"/>
        <v>#REF!</v>
      </c>
      <c r="AP300" s="261" t="e">
        <f t="shared" si="51"/>
        <v>#REF!</v>
      </c>
      <c r="AQ300" s="261" t="e">
        <f t="shared" si="51"/>
        <v>#REF!</v>
      </c>
      <c r="AR300" s="261" t="e">
        <f t="shared" si="51"/>
        <v>#REF!</v>
      </c>
    </row>
    <row r="301" spans="23:44" x14ac:dyDescent="0.25">
      <c r="W301" s="265" t="s">
        <v>118</v>
      </c>
      <c r="X301" s="261"/>
      <c r="Y301" s="261"/>
      <c r="Z301" s="261"/>
      <c r="AA301" s="261"/>
      <c r="AB301" s="261"/>
      <c r="AC301" s="261"/>
      <c r="AD301" s="261"/>
      <c r="AE301" s="261"/>
      <c r="AF301" s="261"/>
      <c r="AG301" s="261"/>
      <c r="AH301" s="261">
        <f>AH212</f>
        <v>154.74139061594644</v>
      </c>
      <c r="AI301" s="261"/>
      <c r="AJ301" s="261"/>
      <c r="AK301" s="261"/>
      <c r="AL301" s="261"/>
      <c r="AM301" s="261"/>
      <c r="AN301" s="261"/>
      <c r="AO301" s="261"/>
      <c r="AP301" s="261"/>
      <c r="AQ301" s="261"/>
      <c r="AR301" s="261">
        <f>AR212</f>
        <v>114.69067775064266</v>
      </c>
    </row>
    <row r="302" spans="23:44" x14ac:dyDescent="0.25">
      <c r="W302" s="329" t="s">
        <v>27</v>
      </c>
      <c r="X302" s="261" t="e">
        <f>X299-X300</f>
        <v>#REF!</v>
      </c>
      <c r="Y302" s="261" t="e">
        <f t="shared" ref="Y302:AH302" si="53">Y299-Y300</f>
        <v>#REF!</v>
      </c>
      <c r="Z302" s="261" t="e">
        <f t="shared" si="53"/>
        <v>#REF!</v>
      </c>
      <c r="AA302" s="261" t="e">
        <f t="shared" si="53"/>
        <v>#REF!</v>
      </c>
      <c r="AB302" s="261" t="e">
        <f t="shared" si="53"/>
        <v>#REF!</v>
      </c>
      <c r="AC302" s="261" t="e">
        <f t="shared" si="53"/>
        <v>#REF!</v>
      </c>
      <c r="AD302" s="261" t="e">
        <f t="shared" si="53"/>
        <v>#REF!</v>
      </c>
      <c r="AE302" s="261" t="e">
        <f t="shared" si="53"/>
        <v>#REF!</v>
      </c>
      <c r="AF302" s="261" t="e">
        <f t="shared" si="53"/>
        <v>#REF!</v>
      </c>
      <c r="AG302" s="261" t="e">
        <f t="shared" si="53"/>
        <v>#REF!</v>
      </c>
      <c r="AH302" s="261" t="e">
        <f t="shared" si="53"/>
        <v>#REF!</v>
      </c>
    </row>
    <row r="303" spans="23:44" x14ac:dyDescent="0.25">
      <c r="W303" s="329" t="s">
        <v>180</v>
      </c>
      <c r="X303" s="261"/>
      <c r="Y303" s="261"/>
      <c r="Z303" s="261"/>
      <c r="AA303" s="261"/>
      <c r="AB303" s="261"/>
      <c r="AC303" s="261"/>
      <c r="AD303" s="261"/>
      <c r="AE303" s="261" t="e">
        <f>AE213</f>
        <v>#REF!</v>
      </c>
      <c r="AF303" s="261" t="e">
        <f>AF213</f>
        <v>#REF!</v>
      </c>
      <c r="AG303" s="261" t="e">
        <f>AG213</f>
        <v>#REF!</v>
      </c>
      <c r="AH303" s="261" t="e">
        <f>AH213</f>
        <v>#REF!</v>
      </c>
    </row>
  </sheetData>
  <mergeCells count="6">
    <mergeCell ref="X154:AA154"/>
    <mergeCell ref="AB154:AR154"/>
    <mergeCell ref="X157:AR157"/>
    <mergeCell ref="AB188:AC188"/>
    <mergeCell ref="AE195:AF195"/>
    <mergeCell ref="AG195:AH19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B275"/>
  <sheetViews>
    <sheetView tabSelected="1" topLeftCell="P201" workbookViewId="0">
      <selection activeCell="AO203" sqref="AO203"/>
    </sheetView>
  </sheetViews>
  <sheetFormatPr defaultRowHeight="15" x14ac:dyDescent="0.25"/>
  <cols>
    <col min="4" max="4" width="50.85546875" customWidth="1"/>
    <col min="9" max="18" width="12.5703125" bestFit="1" customWidth="1"/>
  </cols>
  <sheetData>
    <row r="2" spans="3:28" x14ac:dyDescent="0.25">
      <c r="X2" t="s">
        <v>617</v>
      </c>
    </row>
    <row r="3" spans="3:28" ht="12.75" customHeight="1" x14ac:dyDescent="0.25">
      <c r="E3" s="995">
        <v>2017</v>
      </c>
      <c r="F3" s="995">
        <v>2018</v>
      </c>
      <c r="G3" s="995">
        <v>2019</v>
      </c>
      <c r="H3" s="995">
        <v>2020</v>
      </c>
      <c r="I3" s="994">
        <v>2021</v>
      </c>
      <c r="J3" s="994">
        <v>2022</v>
      </c>
      <c r="K3" s="994">
        <v>2023</v>
      </c>
      <c r="L3" s="994">
        <v>2024</v>
      </c>
      <c r="M3" s="994">
        <v>2025</v>
      </c>
      <c r="N3" s="994">
        <v>2026</v>
      </c>
      <c r="O3" s="994">
        <v>2027</v>
      </c>
      <c r="P3" s="994">
        <v>2028</v>
      </c>
      <c r="Q3" s="994">
        <v>2029</v>
      </c>
      <c r="R3" s="994">
        <v>2030</v>
      </c>
      <c r="X3" t="s">
        <v>620</v>
      </c>
      <c r="Y3" t="s">
        <v>621</v>
      </c>
    </row>
    <row r="4" spans="3:28" x14ac:dyDescent="0.25">
      <c r="D4" t="s">
        <v>456</v>
      </c>
      <c r="E4" s="1254">
        <f>'Post-2020Caps_July25Navius FixP'!J45</f>
        <v>31.142127090993245</v>
      </c>
      <c r="F4" s="1254">
        <f>'Post-2020Caps_July25Navius FixP'!K45</f>
        <v>31.125025345358726</v>
      </c>
      <c r="G4" s="1254">
        <f>'Post-2020Caps_July25Navius FixP'!L45</f>
        <v>31.108570521252112</v>
      </c>
      <c r="H4" s="1254">
        <f>'Post-2020Caps_July25Navius FixP'!M45</f>
        <v>31.092760223206675</v>
      </c>
      <c r="I4" s="1254">
        <f>'Post-2020Caps_July25Navius FixP'!N45</f>
        <v>25.544672505459509</v>
      </c>
      <c r="J4" s="1254">
        <f>'Post-2020Caps_July25Navius FixP'!O45</f>
        <v>25.620307445243249</v>
      </c>
      <c r="K4" s="1254">
        <f>'Post-2020Caps_July25Navius FixP'!P45</f>
        <v>25.698506788575827</v>
      </c>
      <c r="L4" s="1254">
        <f>'Post-2020Caps_July25Navius FixP'!Q45</f>
        <v>25.779318709969907</v>
      </c>
      <c r="M4" s="1254">
        <f>'Post-2020Caps_July25Navius FixP'!R45</f>
        <v>25.862792551517487</v>
      </c>
      <c r="N4" s="1254">
        <f>'Post-2020Caps_July25Navius FixP'!S45</f>
        <v>25.946622000930486</v>
      </c>
      <c r="O4" s="1254">
        <f>'Post-2020Caps_July25Navius FixP'!T45</f>
        <v>26.032720100516929</v>
      </c>
      <c r="P4" s="1254">
        <f>'Post-2020Caps_July25Navius FixP'!U45</f>
        <v>26.121131752070614</v>
      </c>
      <c r="Q4" s="1254">
        <f>'Post-2020Caps_July25Navius FixP'!V45</f>
        <v>26.21190296632134</v>
      </c>
      <c r="R4" s="1254">
        <f>'Post-2020Caps_July25Navius FixP'!W45</f>
        <v>26.305080890655518</v>
      </c>
      <c r="W4" t="s">
        <v>619</v>
      </c>
      <c r="X4">
        <v>812000</v>
      </c>
      <c r="Y4">
        <v>1674000</v>
      </c>
    </row>
    <row r="5" spans="3:28" x14ac:dyDescent="0.25">
      <c r="D5" t="s">
        <v>488</v>
      </c>
      <c r="E5" s="1254">
        <f>'Post-2020Caps_July25Navius FP 2'!J60</f>
        <v>141.31261490733007</v>
      </c>
      <c r="F5" s="1254">
        <f>'Post-2020Caps_July25Navius FP 2'!K60</f>
        <v>135.42470653048449</v>
      </c>
      <c r="G5" s="1254">
        <f>'Post-2020Caps_July25Navius FP 2'!L60</f>
        <v>129.5367981536389</v>
      </c>
      <c r="H5" s="1254">
        <f>'Post-2020Caps_July25Navius FP 2'!M60</f>
        <v>123.64888977679331</v>
      </c>
      <c r="I5" s="1254">
        <f>'Post-2020Caps_July25Navius FP 2'!O60</f>
        <v>120.05649271004843</v>
      </c>
      <c r="J5" s="1254">
        <f>'Post-2020Caps_July25Navius FP 2'!P60</f>
        <v>116.46409564330355</v>
      </c>
      <c r="K5" s="1254">
        <f>'Post-2020Caps_July25Navius FP 2'!Q60</f>
        <v>112.87169857655867</v>
      </c>
      <c r="L5" s="1254">
        <f>'Post-2020Caps_July25Navius FP 2'!R60</f>
        <v>109.27930150981379</v>
      </c>
      <c r="M5" s="1254">
        <f>'Post-2020Caps_July25Navius FP 2'!S60</f>
        <v>105.68690444306891</v>
      </c>
      <c r="N5" s="1254">
        <f>'Post-2020Caps_July25Navius FP 2'!T60</f>
        <v>102.09450737632403</v>
      </c>
      <c r="O5" s="1254">
        <f>'Post-2020Caps_July25Navius FP 2'!U60</f>
        <v>98.502110309579152</v>
      </c>
      <c r="P5" s="1254">
        <f>'Post-2020Caps_July25Navius FP 2'!V60</f>
        <v>94.909713242834272</v>
      </c>
      <c r="Q5" s="1254">
        <f>'Post-2020Caps_July25Navius FP 2'!W60</f>
        <v>91.317316176089392</v>
      </c>
      <c r="R5" s="1254">
        <f>'Post-2020Caps_July25Navius FP 2'!X60</f>
        <v>87.724919109344484</v>
      </c>
      <c r="W5" t="s">
        <v>618</v>
      </c>
      <c r="X5">
        <v>18.07</v>
      </c>
      <c r="Y5">
        <v>18.3</v>
      </c>
    </row>
    <row r="6" spans="3:28" x14ac:dyDescent="0.25">
      <c r="D6" t="s">
        <v>489</v>
      </c>
      <c r="E6" s="181">
        <f>E4+E5</f>
        <v>172.45474199832333</v>
      </c>
      <c r="F6" s="1272">
        <v>169</v>
      </c>
      <c r="G6" s="1272">
        <v>165</v>
      </c>
      <c r="H6" s="181">
        <f>'Navius Reference_July252017'!N83</f>
        <v>163.3641219586134</v>
      </c>
      <c r="I6" s="181">
        <f>'Navius Reference_July252017'!O83</f>
        <v>163.46341935887818</v>
      </c>
      <c r="J6" s="181">
        <f>'Navius Reference_July252017'!P83</f>
        <v>163.64167490988865</v>
      </c>
      <c r="K6" s="181">
        <f>'Navius Reference_July252017'!Q83</f>
        <v>163.90029020384674</v>
      </c>
      <c r="L6" s="181">
        <f>'Navius Reference_July252017'!R83</f>
        <v>164.2408723030978</v>
      </c>
      <c r="M6" s="181">
        <f>'Navius Reference_July252017'!S83</f>
        <v>164.66524735465646</v>
      </c>
      <c r="N6" s="181">
        <f>'Navius Reference_July252017'!T83</f>
        <v>164.33917352086846</v>
      </c>
      <c r="O6" s="181">
        <f>'Navius Reference_July252017'!U83</f>
        <v>164.07693523141242</v>
      </c>
      <c r="P6" s="181">
        <f>'Navius Reference_July252017'!V83</f>
        <v>163.87693964393245</v>
      </c>
      <c r="Q6" s="181">
        <f>'Navius Reference_July252017'!W83</f>
        <v>163.73767004398849</v>
      </c>
      <c r="R6" s="181">
        <f>'Navius Reference_July252017'!X83</f>
        <v>163.65768308565021</v>
      </c>
      <c r="S6" s="1271"/>
      <c r="X6">
        <f>X4*X5</f>
        <v>14672840</v>
      </c>
      <c r="Y6">
        <f>Y4*Y5</f>
        <v>30634200</v>
      </c>
      <c r="Z6">
        <f>(X6+Y6)/1000000</f>
        <v>45.307040000000001</v>
      </c>
    </row>
    <row r="7" spans="3:28" hidden="1" x14ac:dyDescent="0.25">
      <c r="D7" t="s">
        <v>607</v>
      </c>
      <c r="E7" s="261">
        <f>E6-E5-E4</f>
        <v>0</v>
      </c>
      <c r="F7" s="261">
        <f>F6-F5-F4</f>
        <v>2.4502681241567892</v>
      </c>
      <c r="G7" s="261">
        <f>G6-G5-G4</f>
        <v>4.3546313251089899</v>
      </c>
      <c r="H7" s="261">
        <f>H6-H5-H4</f>
        <v>8.62247195861341</v>
      </c>
    </row>
    <row r="8" spans="3:28" x14ac:dyDescent="0.25">
      <c r="E8" s="1271">
        <f>SUM(E4:E5)</f>
        <v>172.45474199832333</v>
      </c>
      <c r="F8" s="1271">
        <f>SUM(F4:F5)</f>
        <v>166.54973187584321</v>
      </c>
      <c r="G8" s="1271">
        <f>SUM(G4:G5)</f>
        <v>160.64536867489102</v>
      </c>
      <c r="H8" s="1271">
        <f>SUM(H4:H5)</f>
        <v>154.74164999999999</v>
      </c>
      <c r="R8" s="181">
        <f>R4+R5</f>
        <v>114.03</v>
      </c>
    </row>
    <row r="9" spans="3:28" x14ac:dyDescent="0.25">
      <c r="E9" s="1271"/>
      <c r="R9" s="1254"/>
    </row>
    <row r="10" spans="3:28" x14ac:dyDescent="0.25"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</row>
    <row r="11" spans="3:28" x14ac:dyDescent="0.25"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</row>
    <row r="12" spans="3:28" x14ac:dyDescent="0.25"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</row>
    <row r="13" spans="3:28" x14ac:dyDescent="0.25"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</row>
    <row r="14" spans="3:28" x14ac:dyDescent="0.25"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</row>
    <row r="15" spans="3:28" x14ac:dyDescent="0.25"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</row>
    <row r="16" spans="3:28" x14ac:dyDescent="0.25"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</row>
    <row r="17" spans="3:28" x14ac:dyDescent="0.25"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</row>
    <row r="18" spans="3:28" x14ac:dyDescent="0.25"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</row>
    <row r="19" spans="3:28" x14ac:dyDescent="0.25"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</row>
    <row r="20" spans="3:28" x14ac:dyDescent="0.25"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</row>
    <row r="21" spans="3:28" x14ac:dyDescent="0.25"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</row>
    <row r="22" spans="3:28" x14ac:dyDescent="0.25"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</row>
    <row r="23" spans="3:28" x14ac:dyDescent="0.25"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</row>
    <row r="24" spans="3:28" x14ac:dyDescent="0.25"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</row>
    <row r="25" spans="3:28" x14ac:dyDescent="0.25"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</row>
    <row r="26" spans="3:28" x14ac:dyDescent="0.25"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</row>
    <row r="27" spans="3:28" x14ac:dyDescent="0.25"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</row>
    <row r="28" spans="3:28" x14ac:dyDescent="0.25"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  <c r="AA28" s="273"/>
      <c r="AB28" s="273"/>
    </row>
    <row r="29" spans="3:28" x14ac:dyDescent="0.25"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</row>
    <row r="30" spans="3:28" x14ac:dyDescent="0.25"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</row>
    <row r="31" spans="3:28" x14ac:dyDescent="0.25"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</row>
    <row r="32" spans="3:28" x14ac:dyDescent="0.25"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  <c r="AA32" s="273"/>
      <c r="AB32" s="273"/>
    </row>
    <row r="33" spans="3:28" x14ac:dyDescent="0.25"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</row>
    <row r="34" spans="3:28" x14ac:dyDescent="0.25"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  <c r="AA34" s="273"/>
      <c r="AB34" s="273"/>
    </row>
    <row r="35" spans="3:28" x14ac:dyDescent="0.25"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</row>
    <row r="36" spans="3:28" x14ac:dyDescent="0.25">
      <c r="C36" s="273"/>
      <c r="D36" s="273"/>
      <c r="E36" s="273"/>
      <c r="F36" s="273"/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</row>
    <row r="37" spans="3:28" x14ac:dyDescent="0.25"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</row>
    <row r="38" spans="3:28" x14ac:dyDescent="0.25"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</row>
    <row r="39" spans="3:28" x14ac:dyDescent="0.25"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</row>
    <row r="40" spans="3:28" x14ac:dyDescent="0.25"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</row>
    <row r="41" spans="3:28" x14ac:dyDescent="0.25"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  <c r="AA41" s="273"/>
      <c r="AB41" s="273"/>
    </row>
    <row r="42" spans="3:28" x14ac:dyDescent="0.25"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</row>
    <row r="43" spans="3:28" x14ac:dyDescent="0.25"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</row>
    <row r="44" spans="3:28" x14ac:dyDescent="0.25"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</row>
    <row r="45" spans="3:28" x14ac:dyDescent="0.25"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</row>
    <row r="46" spans="3:28" x14ac:dyDescent="0.25"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</row>
    <row r="47" spans="3:28" x14ac:dyDescent="0.25"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</row>
    <row r="48" spans="3:28" x14ac:dyDescent="0.25"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</row>
    <row r="49" spans="3:26" x14ac:dyDescent="0.25"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</row>
    <row r="50" spans="3:26" x14ac:dyDescent="0.25"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</row>
    <row r="51" spans="3:26" x14ac:dyDescent="0.25">
      <c r="C51" s="273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</row>
    <row r="52" spans="3:26" x14ac:dyDescent="0.25"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</row>
    <row r="53" spans="3:26" x14ac:dyDescent="0.25"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</row>
    <row r="54" spans="3:26" x14ac:dyDescent="0.25"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</row>
    <row r="55" spans="3:26" x14ac:dyDescent="0.25"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</row>
    <row r="56" spans="3:26" x14ac:dyDescent="0.25">
      <c r="C56" s="273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</row>
    <row r="57" spans="3:26" x14ac:dyDescent="0.25">
      <c r="C57" s="273"/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</row>
    <row r="58" spans="3:26" x14ac:dyDescent="0.25">
      <c r="C58" s="273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</row>
    <row r="59" spans="3:26" x14ac:dyDescent="0.25">
      <c r="C59" s="273"/>
      <c r="D59" s="273"/>
      <c r="E59" s="273"/>
      <c r="F59" s="273"/>
      <c r="G59" s="273"/>
      <c r="H59" s="273"/>
      <c r="I59" s="1343" t="s">
        <v>662</v>
      </c>
      <c r="J59" s="273"/>
      <c r="K59" s="273"/>
      <c r="L59" s="273"/>
      <c r="M59" s="273"/>
      <c r="N59" s="273"/>
      <c r="O59" s="273"/>
      <c r="P59" s="273"/>
      <c r="Q59" s="273"/>
      <c r="R59" s="273"/>
      <c r="S59" s="273"/>
    </row>
    <row r="60" spans="3:26" x14ac:dyDescent="0.25">
      <c r="C60" s="273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</row>
    <row r="61" spans="3:26" ht="12.75" customHeight="1" x14ac:dyDescent="0.25">
      <c r="E61" s="995">
        <v>2017</v>
      </c>
      <c r="F61" s="995">
        <v>2018</v>
      </c>
      <c r="G61" s="995">
        <v>2019</v>
      </c>
      <c r="H61" s="995">
        <v>2020</v>
      </c>
      <c r="I61" s="994">
        <v>2021</v>
      </c>
      <c r="J61" s="994">
        <v>2022</v>
      </c>
      <c r="K61" s="994">
        <v>2023</v>
      </c>
      <c r="L61" s="994">
        <v>2024</v>
      </c>
      <c r="M61" s="994">
        <v>2025</v>
      </c>
      <c r="N61" s="994">
        <v>2026</v>
      </c>
      <c r="O61" s="994">
        <v>2027</v>
      </c>
      <c r="P61" s="994">
        <v>2028</v>
      </c>
      <c r="Q61" s="994">
        <v>2029</v>
      </c>
      <c r="R61" s="994">
        <v>2030</v>
      </c>
      <c r="X61" t="s">
        <v>620</v>
      </c>
      <c r="Y61" t="s">
        <v>621</v>
      </c>
    </row>
    <row r="62" spans="3:26" x14ac:dyDescent="0.25">
      <c r="D62" t="s">
        <v>456</v>
      </c>
      <c r="E62" s="1254">
        <f t="shared" ref="E62:H64" si="0">E4</f>
        <v>31.142127090993245</v>
      </c>
      <c r="F62" s="1254">
        <f t="shared" si="0"/>
        <v>31.125025345358726</v>
      </c>
      <c r="G62" s="1254">
        <f t="shared" si="0"/>
        <v>31.108570521252112</v>
      </c>
      <c r="H62" s="1254">
        <f t="shared" si="0"/>
        <v>31.092760223206675</v>
      </c>
      <c r="I62" s="1342">
        <f>H62-($H62-$R62)/10</f>
        <v>30.613992289951558</v>
      </c>
      <c r="J62" s="1342">
        <f t="shared" ref="J62:Q62" si="1">I62-($H62-$R62)/10</f>
        <v>30.13522435669644</v>
      </c>
      <c r="K62" s="1342">
        <f t="shared" si="1"/>
        <v>29.656456423441323</v>
      </c>
      <c r="L62" s="1342">
        <f t="shared" si="1"/>
        <v>29.177688490186206</v>
      </c>
      <c r="M62" s="1342">
        <f t="shared" si="1"/>
        <v>28.698920556931089</v>
      </c>
      <c r="N62" s="1342">
        <f t="shared" si="1"/>
        <v>28.220152623675972</v>
      </c>
      <c r="O62" s="1342">
        <f t="shared" si="1"/>
        <v>27.741384690420855</v>
      </c>
      <c r="P62" s="1342">
        <f t="shared" si="1"/>
        <v>27.262616757165738</v>
      </c>
      <c r="Q62" s="1342">
        <f t="shared" si="1"/>
        <v>26.78384882391062</v>
      </c>
      <c r="R62" s="1254">
        <f>R4</f>
        <v>26.305080890655518</v>
      </c>
      <c r="W62" t="s">
        <v>619</v>
      </c>
      <c r="X62">
        <v>812000</v>
      </c>
      <c r="Y62">
        <v>1674000</v>
      </c>
    </row>
    <row r="63" spans="3:26" x14ac:dyDescent="0.25">
      <c r="D63" t="s">
        <v>488</v>
      </c>
      <c r="E63" s="1254">
        <f t="shared" si="0"/>
        <v>141.31261490733007</v>
      </c>
      <c r="F63" s="1254">
        <f t="shared" si="0"/>
        <v>135.42470653048449</v>
      </c>
      <c r="G63" s="1254">
        <f t="shared" si="0"/>
        <v>129.5367981536389</v>
      </c>
      <c r="H63" s="1254">
        <f t="shared" si="0"/>
        <v>123.64888977679331</v>
      </c>
      <c r="I63" s="1342">
        <f t="shared" ref="I63:Q63" si="2">H63-($H63-$R63)/10</f>
        <v>120.05649271004843</v>
      </c>
      <c r="J63" s="1342">
        <f t="shared" si="2"/>
        <v>116.46409564330355</v>
      </c>
      <c r="K63" s="1342">
        <f t="shared" si="2"/>
        <v>112.87169857655867</v>
      </c>
      <c r="L63" s="1342">
        <f t="shared" si="2"/>
        <v>109.27930150981379</v>
      </c>
      <c r="M63" s="1342">
        <f t="shared" si="2"/>
        <v>105.68690444306891</v>
      </c>
      <c r="N63" s="1342">
        <f t="shared" si="2"/>
        <v>102.09450737632403</v>
      </c>
      <c r="O63" s="1342">
        <f t="shared" si="2"/>
        <v>98.502110309579152</v>
      </c>
      <c r="P63" s="1342">
        <f t="shared" si="2"/>
        <v>94.909713242834272</v>
      </c>
      <c r="Q63" s="1342">
        <f t="shared" si="2"/>
        <v>91.317316176089392</v>
      </c>
      <c r="R63" s="1254">
        <f>R5</f>
        <v>87.724919109344484</v>
      </c>
      <c r="W63" t="s">
        <v>618</v>
      </c>
      <c r="X63">
        <v>18.07</v>
      </c>
      <c r="Y63">
        <v>18.3</v>
      </c>
    </row>
    <row r="64" spans="3:26" x14ac:dyDescent="0.25">
      <c r="D64" t="s">
        <v>489</v>
      </c>
      <c r="E64" s="181">
        <f t="shared" si="0"/>
        <v>172.45474199832333</v>
      </c>
      <c r="F64" s="181">
        <f t="shared" si="0"/>
        <v>169</v>
      </c>
      <c r="G64" s="181">
        <f t="shared" si="0"/>
        <v>165</v>
      </c>
      <c r="H64" s="181">
        <f t="shared" si="0"/>
        <v>163.3641219586134</v>
      </c>
      <c r="I64" s="1342">
        <f t="shared" ref="I64:Q64" si="3">H64-($H64-$R64)/10</f>
        <v>163.39347807131708</v>
      </c>
      <c r="J64" s="1342">
        <f t="shared" si="3"/>
        <v>163.42283418402076</v>
      </c>
      <c r="K64" s="1342">
        <f t="shared" si="3"/>
        <v>163.45219029672444</v>
      </c>
      <c r="L64" s="1342">
        <f t="shared" si="3"/>
        <v>163.48154640942812</v>
      </c>
      <c r="M64" s="1342">
        <f t="shared" si="3"/>
        <v>163.5109025221318</v>
      </c>
      <c r="N64" s="1342">
        <f t="shared" si="3"/>
        <v>163.54025863483548</v>
      </c>
      <c r="O64" s="1342">
        <f t="shared" si="3"/>
        <v>163.56961474753916</v>
      </c>
      <c r="P64" s="1342">
        <f t="shared" si="3"/>
        <v>163.59897086024284</v>
      </c>
      <c r="Q64" s="1342">
        <f t="shared" si="3"/>
        <v>163.62832697294652</v>
      </c>
      <c r="R64" s="181">
        <f>R6</f>
        <v>163.65768308565021</v>
      </c>
      <c r="S64" s="1271"/>
      <c r="X64">
        <f>X62*X63</f>
        <v>14672840</v>
      </c>
      <c r="Y64">
        <f>Y62*Y63</f>
        <v>30634200</v>
      </c>
      <c r="Z64">
        <f>(X64+Y64)/1000000</f>
        <v>45.307040000000001</v>
      </c>
    </row>
    <row r="65" spans="3:28" hidden="1" x14ac:dyDescent="0.25">
      <c r="D65" t="s">
        <v>607</v>
      </c>
      <c r="E65" s="261">
        <f>E64-E63-E62</f>
        <v>0</v>
      </c>
      <c r="F65" s="261">
        <f>F64-F63-F62</f>
        <v>2.4502681241567892</v>
      </c>
      <c r="G65" s="261">
        <f>G64-G63-G62</f>
        <v>4.3546313251089899</v>
      </c>
      <c r="H65" s="261">
        <f>H64-H63-H62</f>
        <v>8.62247195861341</v>
      </c>
    </row>
    <row r="66" spans="3:28" x14ac:dyDescent="0.25">
      <c r="E66" s="1271">
        <f>SUM(E62:E63)</f>
        <v>172.45474199832333</v>
      </c>
      <c r="F66" s="1271">
        <f>SUM(F62:F63)</f>
        <v>166.54973187584321</v>
      </c>
      <c r="G66" s="1271">
        <f>SUM(G62:G63)</f>
        <v>160.64536867489102</v>
      </c>
      <c r="H66" s="1271">
        <f>SUM(H62:H63)</f>
        <v>154.74164999999999</v>
      </c>
      <c r="R66" s="181">
        <f>R62+R63</f>
        <v>114.03</v>
      </c>
    </row>
    <row r="67" spans="3:28" x14ac:dyDescent="0.25">
      <c r="E67" s="1271"/>
      <c r="R67" s="1254"/>
    </row>
    <row r="68" spans="3:28" x14ac:dyDescent="0.25">
      <c r="C68" s="273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</row>
    <row r="69" spans="3:28" x14ac:dyDescent="0.25"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</row>
    <row r="70" spans="3:28" x14ac:dyDescent="0.25"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</row>
    <row r="71" spans="3:28" x14ac:dyDescent="0.25">
      <c r="C71" s="273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</row>
    <row r="72" spans="3:28" x14ac:dyDescent="0.25">
      <c r="C72" s="273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</row>
    <row r="73" spans="3:28" x14ac:dyDescent="0.25">
      <c r="C73" s="273"/>
      <c r="D73" s="273"/>
      <c r="E73" s="273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</row>
    <row r="74" spans="3:28" x14ac:dyDescent="0.25">
      <c r="C74" s="273"/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</row>
    <row r="75" spans="3:28" x14ac:dyDescent="0.25">
      <c r="C75" s="273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</row>
    <row r="76" spans="3:28" x14ac:dyDescent="0.25"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</row>
    <row r="77" spans="3:28" x14ac:dyDescent="0.25">
      <c r="C77" s="273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</row>
    <row r="78" spans="3:28" x14ac:dyDescent="0.25">
      <c r="C78" s="273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</row>
    <row r="79" spans="3:28" x14ac:dyDescent="0.25">
      <c r="C79" s="273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</row>
    <row r="80" spans="3:28" x14ac:dyDescent="0.25">
      <c r="C80" s="273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</row>
    <row r="81" spans="3:28" x14ac:dyDescent="0.25">
      <c r="C81" s="273"/>
      <c r="D81" s="273"/>
      <c r="E81" s="273"/>
      <c r="F81" s="273"/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</row>
    <row r="82" spans="3:28" x14ac:dyDescent="0.25">
      <c r="C82" s="273"/>
      <c r="D82" s="273"/>
      <c r="E82" s="273"/>
      <c r="F82" s="273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</row>
    <row r="83" spans="3:28" x14ac:dyDescent="0.25">
      <c r="C83" s="273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</row>
    <row r="84" spans="3:28" x14ac:dyDescent="0.25">
      <c r="C84" s="273"/>
      <c r="D84" s="273"/>
      <c r="E84" s="273"/>
      <c r="F84" s="273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</row>
    <row r="85" spans="3:28" x14ac:dyDescent="0.25">
      <c r="C85" s="273"/>
      <c r="D85" s="273"/>
      <c r="E85" s="273"/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</row>
    <row r="86" spans="3:28" x14ac:dyDescent="0.25">
      <c r="C86" s="273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</row>
    <row r="87" spans="3:28" x14ac:dyDescent="0.25">
      <c r="C87" s="273"/>
      <c r="D87" s="273"/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</row>
    <row r="88" spans="3:28" x14ac:dyDescent="0.25">
      <c r="C88" s="273"/>
      <c r="D88" s="273"/>
      <c r="E88" s="273"/>
      <c r="F88" s="273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  <c r="AA88" s="273"/>
      <c r="AB88" s="273"/>
    </row>
    <row r="89" spans="3:28" x14ac:dyDescent="0.25">
      <c r="C89" s="273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</row>
    <row r="90" spans="3:28" x14ac:dyDescent="0.25">
      <c r="C90" s="273"/>
      <c r="D90" s="273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</row>
    <row r="91" spans="3:28" x14ac:dyDescent="0.25">
      <c r="C91" s="273"/>
      <c r="D91" s="273"/>
      <c r="E91" s="273"/>
      <c r="F91" s="273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</row>
    <row r="92" spans="3:28" x14ac:dyDescent="0.25"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</row>
    <row r="93" spans="3:28" x14ac:dyDescent="0.25">
      <c r="C93" s="273"/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</row>
    <row r="94" spans="3:28" x14ac:dyDescent="0.25">
      <c r="C94" s="273"/>
      <c r="D94" s="273"/>
      <c r="E94" s="273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</row>
    <row r="95" spans="3:28" x14ac:dyDescent="0.25"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</row>
    <row r="96" spans="3:28" x14ac:dyDescent="0.25">
      <c r="C96" s="273"/>
      <c r="D96" s="273"/>
      <c r="E96" s="273"/>
      <c r="F96" s="273"/>
      <c r="G96" s="273"/>
      <c r="H96" s="273"/>
      <c r="I96" s="273"/>
      <c r="J96" s="273"/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</row>
    <row r="97" spans="3:28" x14ac:dyDescent="0.25">
      <c r="C97" s="273"/>
      <c r="D97" s="273"/>
      <c r="E97" s="273"/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</row>
    <row r="98" spans="3:28" x14ac:dyDescent="0.25"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</row>
    <row r="99" spans="3:28" x14ac:dyDescent="0.25"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</row>
    <row r="100" spans="3:28" x14ac:dyDescent="0.25">
      <c r="C100" s="273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</row>
    <row r="101" spans="3:28" x14ac:dyDescent="0.25">
      <c r="C101" s="273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</row>
    <row r="102" spans="3:28" x14ac:dyDescent="0.25">
      <c r="C102" s="273"/>
      <c r="D102" s="273"/>
      <c r="E102" s="273"/>
      <c r="F102" s="273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  <c r="R102" s="273"/>
      <c r="S102" s="273"/>
    </row>
    <row r="103" spans="3:28" x14ac:dyDescent="0.25">
      <c r="C103" s="273"/>
      <c r="D103" s="273"/>
      <c r="E103" s="273"/>
      <c r="F103" s="273"/>
      <c r="G103" s="273"/>
      <c r="H103" s="273"/>
      <c r="I103" s="273"/>
      <c r="J103" s="273"/>
      <c r="K103" s="273"/>
      <c r="L103" s="273"/>
      <c r="M103" s="273"/>
      <c r="N103" s="273"/>
      <c r="O103" s="273"/>
      <c r="P103" s="273"/>
      <c r="Q103" s="273"/>
      <c r="R103" s="273"/>
      <c r="S103" s="273"/>
    </row>
    <row r="104" spans="3:28" x14ac:dyDescent="0.25">
      <c r="C104" s="273"/>
      <c r="D104" s="273"/>
      <c r="E104" s="273"/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  <c r="R104" s="273"/>
      <c r="S104" s="273"/>
    </row>
    <row r="105" spans="3:28" x14ac:dyDescent="0.25">
      <c r="C105" s="273"/>
      <c r="D105" s="273"/>
      <c r="E105" s="273"/>
      <c r="F105" s="273"/>
      <c r="G105" s="273"/>
      <c r="H105" s="273"/>
      <c r="I105" s="273"/>
      <c r="J105" s="273"/>
      <c r="K105" s="273"/>
      <c r="L105" s="273"/>
      <c r="M105" s="273"/>
      <c r="N105" s="273"/>
      <c r="O105" s="273"/>
      <c r="P105" s="273"/>
      <c r="Q105" s="273"/>
      <c r="R105" s="273"/>
      <c r="S105" s="273"/>
    </row>
    <row r="106" spans="3:28" x14ac:dyDescent="0.25">
      <c r="C106" s="273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3"/>
      <c r="R106" s="273"/>
      <c r="S106" s="273"/>
    </row>
    <row r="107" spans="3:28" x14ac:dyDescent="0.25">
      <c r="C107" s="273"/>
      <c r="D107" s="273"/>
      <c r="E107" s="273"/>
      <c r="F107" s="273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</row>
    <row r="108" spans="3:28" x14ac:dyDescent="0.25">
      <c r="C108" s="273"/>
      <c r="D108" s="273"/>
      <c r="E108" s="273"/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  <c r="R108" s="273"/>
      <c r="S108" s="273"/>
    </row>
    <row r="109" spans="3:28" x14ac:dyDescent="0.25">
      <c r="C109" s="273"/>
      <c r="D109" s="273"/>
      <c r="E109" s="273"/>
      <c r="F109" s="273"/>
      <c r="G109" s="273"/>
      <c r="H109" s="273"/>
      <c r="I109" s="273"/>
      <c r="J109" s="273"/>
      <c r="K109" s="273"/>
      <c r="L109" s="273"/>
      <c r="M109" s="273"/>
      <c r="N109" s="273"/>
      <c r="O109" s="273"/>
      <c r="P109" s="273"/>
      <c r="Q109" s="273"/>
      <c r="R109" s="273"/>
      <c r="S109" s="273"/>
    </row>
    <row r="110" spans="3:28" x14ac:dyDescent="0.25">
      <c r="C110" s="273"/>
      <c r="D110" s="273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273"/>
    </row>
    <row r="111" spans="3:28" x14ac:dyDescent="0.25">
      <c r="C111" s="273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</row>
    <row r="112" spans="3:28" x14ac:dyDescent="0.25">
      <c r="C112" s="273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</row>
    <row r="113" spans="3:19" x14ac:dyDescent="0.25">
      <c r="C113" s="273"/>
      <c r="D113" s="273"/>
      <c r="E113" s="273"/>
      <c r="F113" s="273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3"/>
      <c r="R113" s="273"/>
      <c r="S113" s="273"/>
    </row>
    <row r="114" spans="3:19" x14ac:dyDescent="0.25"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3"/>
      <c r="R114" s="273"/>
      <c r="S114" s="273"/>
    </row>
    <row r="115" spans="3:19" x14ac:dyDescent="0.25">
      <c r="C115" s="273"/>
      <c r="D115" s="273"/>
      <c r="E115" s="273"/>
      <c r="F115" s="273"/>
      <c r="G115" s="273"/>
      <c r="H115" s="273"/>
      <c r="I115" s="273"/>
      <c r="J115" s="273"/>
      <c r="K115" s="273"/>
      <c r="L115" s="273"/>
      <c r="M115" s="273"/>
      <c r="N115" s="273"/>
      <c r="O115" s="273"/>
      <c r="P115" s="273"/>
      <c r="Q115" s="273"/>
      <c r="R115" s="273"/>
      <c r="S115" s="273"/>
    </row>
    <row r="116" spans="3:19" x14ac:dyDescent="0.25">
      <c r="C116" s="273"/>
      <c r="D116" s="273"/>
      <c r="E116" s="273"/>
      <c r="F116" s="273"/>
      <c r="G116" s="273"/>
      <c r="H116" s="273"/>
      <c r="I116" s="273"/>
      <c r="J116" s="273"/>
      <c r="K116" s="273"/>
      <c r="L116" s="273"/>
      <c r="M116" s="273"/>
      <c r="N116" s="273"/>
      <c r="O116" s="273"/>
      <c r="P116" s="273"/>
      <c r="Q116" s="273"/>
      <c r="R116" s="273"/>
      <c r="S116" s="273"/>
    </row>
    <row r="117" spans="3:19" x14ac:dyDescent="0.25">
      <c r="C117" s="273"/>
      <c r="D117" s="273"/>
      <c r="E117" s="273"/>
      <c r="F117" s="273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3"/>
      <c r="R117" s="273"/>
      <c r="S117" s="273"/>
    </row>
    <row r="118" spans="3:19" x14ac:dyDescent="0.25">
      <c r="C118" s="273"/>
      <c r="D118" s="273"/>
      <c r="E118" s="273"/>
      <c r="F118" s="273"/>
      <c r="G118" s="273"/>
      <c r="H118" s="273"/>
      <c r="I118" s="273"/>
      <c r="J118" s="273"/>
      <c r="K118" s="273"/>
      <c r="L118" s="273"/>
      <c r="M118" s="273"/>
      <c r="N118" s="273"/>
      <c r="O118" s="273"/>
      <c r="P118" s="273"/>
      <c r="Q118" s="273"/>
      <c r="R118" s="273"/>
      <c r="S118" s="273"/>
    </row>
    <row r="119" spans="3:19" x14ac:dyDescent="0.25">
      <c r="C119" s="273"/>
      <c r="D119" s="273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73"/>
      <c r="Q119" s="273"/>
      <c r="R119" s="273"/>
      <c r="S119" s="273"/>
    </row>
    <row r="120" spans="3:19" x14ac:dyDescent="0.25">
      <c r="C120" s="273"/>
      <c r="D120" s="273"/>
      <c r="E120" s="273"/>
      <c r="F120" s="273"/>
      <c r="G120" s="273"/>
      <c r="H120" s="273"/>
      <c r="I120" s="273"/>
      <c r="J120" s="273"/>
      <c r="K120" s="273"/>
      <c r="L120" s="273"/>
      <c r="M120" s="273"/>
      <c r="N120" s="273"/>
      <c r="O120" s="273"/>
      <c r="P120" s="273"/>
      <c r="Q120" s="273"/>
      <c r="R120" s="273"/>
      <c r="S120" s="273"/>
    </row>
    <row r="121" spans="3:19" x14ac:dyDescent="0.25">
      <c r="C121" s="273"/>
      <c r="D121" s="273"/>
      <c r="E121" s="273"/>
      <c r="F121" s="273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3"/>
      <c r="R121" s="273"/>
      <c r="S121" s="273"/>
    </row>
    <row r="169" spans="4:18" x14ac:dyDescent="0.25">
      <c r="E169" s="995">
        <v>2017</v>
      </c>
      <c r="F169" s="995">
        <v>2018</v>
      </c>
      <c r="G169" s="995">
        <v>2019</v>
      </c>
      <c r="H169" s="995">
        <v>2020</v>
      </c>
      <c r="I169" s="994">
        <v>2021</v>
      </c>
      <c r="J169" s="994">
        <v>2022</v>
      </c>
      <c r="K169" s="994">
        <v>2023</v>
      </c>
      <c r="L169" s="994">
        <v>2024</v>
      </c>
      <c r="M169" s="994">
        <v>2025</v>
      </c>
      <c r="N169" s="994">
        <v>2026</v>
      </c>
      <c r="O169" s="994">
        <v>2027</v>
      </c>
      <c r="P169" s="994">
        <v>2028</v>
      </c>
      <c r="Q169" s="994">
        <v>2029</v>
      </c>
      <c r="R169" s="994">
        <v>2030</v>
      </c>
    </row>
    <row r="170" spans="4:18" x14ac:dyDescent="0.25">
      <c r="D170" t="s">
        <v>456</v>
      </c>
      <c r="E170" s="1254">
        <f>'Post-2020Caps_July25Navius FixP'!J45</f>
        <v>31.142127090993245</v>
      </c>
      <c r="F170" s="1254">
        <f>'Post-2020Caps_July25Navius FixP'!K45</f>
        <v>31.125025345358726</v>
      </c>
      <c r="G170" s="1254">
        <f>'Post-2020Caps_July25Navius FixP'!L45</f>
        <v>31.108570521252112</v>
      </c>
      <c r="H170" s="1254">
        <f>'Post-2020Caps_July25Navius FixP'!M45</f>
        <v>31.092760223206675</v>
      </c>
      <c r="I170" s="1254">
        <f>'Post-2020Caps_July25Navius FixP'!N45</f>
        <v>25.544672505459509</v>
      </c>
      <c r="J170" s="1254">
        <f>'Post-2020Caps_July25Navius FixP'!O45</f>
        <v>25.620307445243249</v>
      </c>
      <c r="K170" s="1254">
        <f>'Post-2020Caps_July25Navius FixP'!P45</f>
        <v>25.698506788575827</v>
      </c>
      <c r="L170" s="1254">
        <f>'Post-2020Caps_July25Navius FixP'!Q45</f>
        <v>25.779318709969907</v>
      </c>
      <c r="M170" s="1254">
        <f>'Post-2020Caps_July25Navius FixP'!R45</f>
        <v>25.862792551517487</v>
      </c>
      <c r="N170" s="1254">
        <f>'Post-2020Caps_July25Navius FixP'!S45</f>
        <v>25.946622000930486</v>
      </c>
      <c r="O170" s="1254">
        <f>'Post-2020Caps_July25Navius FixP'!T45</f>
        <v>26.032720100516929</v>
      </c>
      <c r="P170" s="1254">
        <f>'Post-2020Caps_July25Navius FixP'!U45</f>
        <v>26.121131752070614</v>
      </c>
      <c r="Q170" s="1254">
        <f>'Post-2020Caps_July25Navius FixP'!V45</f>
        <v>26.21190296632134</v>
      </c>
      <c r="R170" s="1254">
        <f>'Post-2020Caps_July25Navius FixP'!W45</f>
        <v>26.305080890655518</v>
      </c>
    </row>
    <row r="171" spans="4:18" x14ac:dyDescent="0.25">
      <c r="D171" t="s">
        <v>488</v>
      </c>
      <c r="E171" s="1254">
        <f t="shared" ref="E171:H172" si="4">E5</f>
        <v>141.31261490733007</v>
      </c>
      <c r="F171" s="1254">
        <f t="shared" si="4"/>
        <v>135.42470653048449</v>
      </c>
      <c r="G171" s="1254">
        <f t="shared" si="4"/>
        <v>129.5367981536389</v>
      </c>
      <c r="H171" s="1254">
        <f t="shared" si="4"/>
        <v>123.64888977679331</v>
      </c>
      <c r="I171" s="1254">
        <f>'Post-2020Caps_July25Navius FP 2'!O45</f>
        <v>137.91874685341867</v>
      </c>
      <c r="J171" s="1254">
        <f>'Post-2020Caps_July25Navius FP 2'!P45</f>
        <v>138.02136746464538</v>
      </c>
      <c r="K171" s="1254">
        <f>'Post-2020Caps_July25Navius FP 2'!Q45</f>
        <v>138.20178341527091</v>
      </c>
      <c r="L171" s="1254">
        <f>'Post-2020Caps_July25Navius FP 2'!R45</f>
        <v>138.46155359312789</v>
      </c>
      <c r="M171" s="1254">
        <f>'Post-2020Caps_July25Navius FP 2'!S45</f>
        <v>138.80245480313897</v>
      </c>
      <c r="N171" s="1254">
        <f>'Post-2020Caps_July25Navius FP 2'!T45</f>
        <v>138.39255151993794</v>
      </c>
      <c r="O171" s="1254">
        <f>'Post-2020Caps_July25Navius FP 2'!U45</f>
        <v>138.04421513089545</v>
      </c>
      <c r="P171" s="1254">
        <f>'Post-2020Caps_July25Navius FP 2'!V45</f>
        <v>137.75580789186182</v>
      </c>
      <c r="Q171" s="1254">
        <f>'Post-2020Caps_July25Navius FP 2'!W45</f>
        <v>137.52576707766718</v>
      </c>
      <c r="R171" s="1254">
        <f>'Post-2020Caps_July25Navius FP 2'!X45</f>
        <v>137.35260219499469</v>
      </c>
    </row>
    <row r="172" spans="4:18" x14ac:dyDescent="0.25">
      <c r="D172" t="s">
        <v>661</v>
      </c>
      <c r="E172" s="1271">
        <f t="shared" si="4"/>
        <v>172.45474199832333</v>
      </c>
      <c r="F172" s="1271">
        <f t="shared" si="4"/>
        <v>169</v>
      </c>
      <c r="G172" s="1271">
        <f t="shared" si="4"/>
        <v>165</v>
      </c>
      <c r="H172" s="261">
        <f t="shared" si="4"/>
        <v>163.3641219586134</v>
      </c>
      <c r="I172" s="261">
        <f t="shared" ref="I172:R172" si="5">I6</f>
        <v>163.46341935887818</v>
      </c>
      <c r="J172" s="1271">
        <f t="shared" si="5"/>
        <v>163.64167490988865</v>
      </c>
      <c r="K172" s="1271">
        <f t="shared" si="5"/>
        <v>163.90029020384674</v>
      </c>
      <c r="L172" s="1271">
        <f t="shared" si="5"/>
        <v>164.2408723030978</v>
      </c>
      <c r="M172" s="1271">
        <f t="shared" si="5"/>
        <v>164.66524735465646</v>
      </c>
      <c r="N172" s="1271">
        <f t="shared" si="5"/>
        <v>164.33917352086846</v>
      </c>
      <c r="O172" s="1271">
        <f t="shared" si="5"/>
        <v>164.07693523141242</v>
      </c>
      <c r="P172" s="1271">
        <f t="shared" si="5"/>
        <v>163.87693964393245</v>
      </c>
      <c r="Q172" s="1271">
        <f t="shared" si="5"/>
        <v>163.73767004398849</v>
      </c>
      <c r="R172" s="1271">
        <f t="shared" si="5"/>
        <v>163.65768308565021</v>
      </c>
    </row>
    <row r="173" spans="4:18" x14ac:dyDescent="0.25">
      <c r="E173" s="1271">
        <f>SUM(E170:E171)</f>
        <v>172.45474199832333</v>
      </c>
      <c r="F173" s="1271">
        <f>SUM(F170:F171)</f>
        <v>166.54973187584321</v>
      </c>
      <c r="G173" s="1271">
        <f>SUM(G170:G171)</f>
        <v>160.64536867489102</v>
      </c>
      <c r="H173" s="1271">
        <f>SUM(H170:H171)</f>
        <v>154.74164999999999</v>
      </c>
    </row>
    <row r="196" spans="3:28" customFormat="1" x14ac:dyDescent="0.25"/>
    <row r="197" spans="3:28" customFormat="1" x14ac:dyDescent="0.25"/>
    <row r="198" spans="3:28" customFormat="1" x14ac:dyDescent="0.25">
      <c r="E198" s="995">
        <v>2017</v>
      </c>
      <c r="F198" s="995">
        <v>2018</v>
      </c>
      <c r="G198" s="995">
        <v>2019</v>
      </c>
      <c r="H198" s="995">
        <v>2020</v>
      </c>
      <c r="I198" s="994">
        <v>2021</v>
      </c>
      <c r="J198" s="994">
        <v>2022</v>
      </c>
      <c r="K198" s="994">
        <v>2023</v>
      </c>
      <c r="L198" s="994">
        <v>2024</v>
      </c>
      <c r="M198" s="994">
        <v>2025</v>
      </c>
      <c r="N198" s="994">
        <v>2026</v>
      </c>
      <c r="O198" s="994">
        <v>2027</v>
      </c>
      <c r="P198" s="994">
        <v>2028</v>
      </c>
      <c r="Q198" s="994">
        <v>2029</v>
      </c>
      <c r="R198" s="994">
        <v>2030</v>
      </c>
      <c r="S198" s="994">
        <v>2030</v>
      </c>
    </row>
    <row r="199" spans="3:28" customFormat="1" x14ac:dyDescent="0.25">
      <c r="D199" t="s">
        <v>629</v>
      </c>
      <c r="E199" s="181">
        <f>E228</f>
        <v>141.31261490733007</v>
      </c>
      <c r="F199" s="181">
        <f t="shared" ref="F199:R199" si="6">F228</f>
        <v>135.42470653048449</v>
      </c>
      <c r="G199" s="181">
        <f t="shared" si="6"/>
        <v>129.5367981536389</v>
      </c>
      <c r="H199" s="181">
        <f t="shared" si="6"/>
        <v>123.64888977679331</v>
      </c>
      <c r="I199" s="181">
        <f t="shared" si="6"/>
        <v>120.05649271004843</v>
      </c>
      <c r="J199" s="181">
        <f t="shared" si="6"/>
        <v>116.46409564330355</v>
      </c>
      <c r="K199" s="181">
        <f t="shared" si="6"/>
        <v>112.87169857655867</v>
      </c>
      <c r="L199" s="181">
        <f t="shared" si="6"/>
        <v>109.27930150981379</v>
      </c>
      <c r="M199" s="181">
        <f t="shared" si="6"/>
        <v>105.68690444306891</v>
      </c>
      <c r="N199" s="181">
        <f t="shared" si="6"/>
        <v>102.09450737632403</v>
      </c>
      <c r="O199" s="181">
        <f t="shared" si="6"/>
        <v>98.502110309579152</v>
      </c>
      <c r="P199" s="181">
        <f t="shared" si="6"/>
        <v>94.909713242834272</v>
      </c>
      <c r="Q199" s="181">
        <f t="shared" si="6"/>
        <v>91.317316176089392</v>
      </c>
      <c r="R199" s="181">
        <f t="shared" si="6"/>
        <v>87.724919109344484</v>
      </c>
      <c r="S199" s="261"/>
    </row>
    <row r="200" spans="3:28" customFormat="1" x14ac:dyDescent="0.25">
      <c r="D200" t="s">
        <v>782</v>
      </c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261">
        <f>R199</f>
        <v>87.724919109344484</v>
      </c>
    </row>
    <row r="201" spans="3:28" customFormat="1" x14ac:dyDescent="0.25">
      <c r="D201" t="s">
        <v>780</v>
      </c>
      <c r="S201" s="261">
        <f>R170</f>
        <v>26.305080890655518</v>
      </c>
    </row>
    <row r="202" spans="3:28" customFormat="1" x14ac:dyDescent="0.25">
      <c r="D202" t="s">
        <v>781</v>
      </c>
      <c r="S202" s="261">
        <f>'Post-2020Caps_July25Navius FP 2'!X51</f>
        <v>49.627683085650204</v>
      </c>
    </row>
    <row r="203" spans="3:28" customFormat="1" x14ac:dyDescent="0.25"/>
    <row r="204" spans="3:28" customFormat="1" x14ac:dyDescent="0.25"/>
    <row r="205" spans="3:28" customFormat="1" x14ac:dyDescent="0.25"/>
    <row r="206" spans="3:28" customFormat="1" x14ac:dyDescent="0.25"/>
    <row r="207" spans="3:28" customFormat="1" x14ac:dyDescent="0.25"/>
    <row r="208" spans="3:28" customFormat="1" x14ac:dyDescent="0.25"/>
    <row r="209" spans="3:28" customFormat="1" x14ac:dyDescent="0.25"/>
    <row r="210" spans="3:28" customFormat="1" x14ac:dyDescent="0.25"/>
    <row r="211" spans="3:28" customFormat="1" x14ac:dyDescent="0.25"/>
    <row r="212" spans="3:28" customFormat="1" x14ac:dyDescent="0.25"/>
    <row r="213" spans="3:28" customFormat="1" x14ac:dyDescent="0.25"/>
    <row r="214" spans="3:28" customFormat="1" x14ac:dyDescent="0.25"/>
    <row r="215" spans="3:28" customFormat="1" x14ac:dyDescent="0.25"/>
    <row r="216" spans="3:28" customFormat="1" x14ac:dyDescent="0.25"/>
    <row r="217" spans="3:28" customFormat="1" x14ac:dyDescent="0.25"/>
    <row r="218" spans="3:28" customFormat="1" x14ac:dyDescent="0.25"/>
    <row r="219" spans="3:28" customFormat="1" x14ac:dyDescent="0.25"/>
    <row r="220" spans="3:28" customFormat="1" x14ac:dyDescent="0.25"/>
    <row r="221" spans="3:28" customFormat="1" x14ac:dyDescent="0.25"/>
    <row r="222" spans="3:28" customFormat="1" x14ac:dyDescent="0.25"/>
    <row r="223" spans="3:28" customFormat="1" x14ac:dyDescent="0.25"/>
    <row r="224" spans="3:28" customFormat="1" x14ac:dyDescent="0.25"/>
    <row r="225" spans="3:28" customFormat="1" x14ac:dyDescent="0.25"/>
    <row r="226" spans="3:28" customFormat="1" x14ac:dyDescent="0.25"/>
    <row r="227" spans="3:28" customFormat="1" x14ac:dyDescent="0.25">
      <c r="E227" s="995">
        <v>2017</v>
      </c>
      <c r="F227" s="995">
        <v>2018</v>
      </c>
      <c r="G227" s="995">
        <v>2019</v>
      </c>
      <c r="H227" s="995">
        <v>2020</v>
      </c>
      <c r="I227" s="994">
        <v>2021</v>
      </c>
      <c r="J227" s="994">
        <v>2022</v>
      </c>
      <c r="K227" s="994">
        <v>2023</v>
      </c>
      <c r="L227" s="994">
        <v>2024</v>
      </c>
      <c r="M227" s="994">
        <v>2025</v>
      </c>
      <c r="N227" s="994">
        <v>2026</v>
      </c>
      <c r="O227" s="994">
        <v>2027</v>
      </c>
      <c r="P227" s="994">
        <v>2028</v>
      </c>
      <c r="Q227" s="994">
        <v>2029</v>
      </c>
      <c r="R227" s="994">
        <v>2030</v>
      </c>
    </row>
    <row r="228" spans="3:28" customFormat="1" x14ac:dyDescent="0.25">
      <c r="D228" t="s">
        <v>629</v>
      </c>
      <c r="E228" s="181">
        <f>'Post-2020Caps_July25Navius FP 2'!J60</f>
        <v>141.31261490733007</v>
      </c>
      <c r="F228" s="181">
        <f>'Post-2020Caps_July25Navius FP 2'!K60</f>
        <v>135.42470653048449</v>
      </c>
      <c r="G228" s="181">
        <f>'Post-2020Caps_July25Navius FP 2'!L60</f>
        <v>129.5367981536389</v>
      </c>
      <c r="H228" s="181">
        <f>'Post-2020Caps_July25Navius FP 2'!M60</f>
        <v>123.64888977679331</v>
      </c>
      <c r="I228" s="181">
        <f>'Post-2020Caps_July25Navius FP 2'!O60</f>
        <v>120.05649271004843</v>
      </c>
      <c r="J228" s="181">
        <f>'Post-2020Caps_July25Navius FP 2'!P60</f>
        <v>116.46409564330355</v>
      </c>
      <c r="K228" s="181">
        <f>'Post-2020Caps_July25Navius FP 2'!Q60</f>
        <v>112.87169857655867</v>
      </c>
      <c r="L228" s="181">
        <f>'Post-2020Caps_July25Navius FP 2'!R60</f>
        <v>109.27930150981379</v>
      </c>
      <c r="M228" s="181">
        <f>'Post-2020Caps_July25Navius FP 2'!S60</f>
        <v>105.68690444306891</v>
      </c>
      <c r="N228" s="181">
        <f>'Post-2020Caps_July25Navius FP 2'!T60</f>
        <v>102.09450737632403</v>
      </c>
      <c r="O228" s="181">
        <f>'Post-2020Caps_July25Navius FP 2'!U60</f>
        <v>98.502110309579152</v>
      </c>
      <c r="P228" s="181">
        <f>'Post-2020Caps_July25Navius FP 2'!V60</f>
        <v>94.909713242834272</v>
      </c>
      <c r="Q228" s="181">
        <f>'Post-2020Caps_July25Navius FP 2'!W60</f>
        <v>91.317316176089392</v>
      </c>
      <c r="R228" s="181">
        <f>'Post-2020Caps_July25Navius FP 2'!X60</f>
        <v>87.724919109344484</v>
      </c>
    </row>
    <row r="229" spans="3:28" customFormat="1" x14ac:dyDescent="0.25">
      <c r="D229" t="s">
        <v>635</v>
      </c>
      <c r="E229" s="181">
        <f>'Post-2020Caps_July25Navius FP 2'!J59</f>
        <v>1.019077013427216</v>
      </c>
      <c r="F229" s="181">
        <f>'Post-2020Caps_July25Navius FP 2'!K59</f>
        <v>1.019077013427216</v>
      </c>
      <c r="G229" s="181">
        <f>'Post-2020Caps_July25Navius FP 2'!L59</f>
        <v>1.019077013427216</v>
      </c>
      <c r="H229" s="181">
        <f>'Post-2020Caps_July25Navius FP 2'!M59</f>
        <v>1.019077013427216</v>
      </c>
      <c r="I229" s="181">
        <f>'Post-2020Caps_July25Navius FP 2'!O59</f>
        <v>1.0289999999999999</v>
      </c>
      <c r="J229" s="181">
        <f>'Post-2020Caps_July25Navius FP 2'!P59</f>
        <v>1.0289999999999999</v>
      </c>
      <c r="K229" s="181">
        <f>'Post-2020Caps_July25Navius FP 2'!Q59</f>
        <v>1.0289999999999999</v>
      </c>
      <c r="L229" s="181">
        <f>'Post-2020Caps_July25Navius FP 2'!R59</f>
        <v>1.0289999999999999</v>
      </c>
      <c r="M229" s="181">
        <f>'Post-2020Caps_July25Navius FP 2'!S59</f>
        <v>1.0289999999999999</v>
      </c>
      <c r="N229" s="181">
        <f>'Post-2020Caps_July25Navius FP 2'!T59</f>
        <v>1.0289999999999999</v>
      </c>
      <c r="O229" s="181">
        <f>'Post-2020Caps_July25Navius FP 2'!U59</f>
        <v>1.0289999999999999</v>
      </c>
      <c r="P229" s="181">
        <f>'Post-2020Caps_July25Navius FP 2'!V59</f>
        <v>1.0289999999999999</v>
      </c>
      <c r="Q229" s="181">
        <f>'Post-2020Caps_July25Navius FP 2'!W59</f>
        <v>1.0289999999999999</v>
      </c>
      <c r="R229" s="181">
        <f>'Post-2020Caps_July25Navius FP 2'!X59</f>
        <v>1.0289999999999999</v>
      </c>
    </row>
    <row r="230" spans="3:28" customFormat="1" x14ac:dyDescent="0.25">
      <c r="D230" t="s">
        <v>636</v>
      </c>
      <c r="E230" s="181">
        <f>SUM(E228:E229)</f>
        <v>142.33169192075729</v>
      </c>
      <c r="F230" s="181">
        <f t="shared" ref="F230:H230" si="7">SUM(F228:F229)</f>
        <v>136.44378354391171</v>
      </c>
      <c r="G230" s="181">
        <f t="shared" si="7"/>
        <v>130.55587516706612</v>
      </c>
      <c r="H230" s="181">
        <f t="shared" si="7"/>
        <v>124.66796679022053</v>
      </c>
      <c r="I230" s="181">
        <f t="shared" ref="I230" si="8">SUM(I228:I229)</f>
        <v>121.08549271004843</v>
      </c>
      <c r="J230" s="181">
        <f t="shared" ref="J230:R230" si="9">SUM(J228:J229)</f>
        <v>117.49309564330355</v>
      </c>
      <c r="K230" s="181">
        <f t="shared" si="9"/>
        <v>113.90069857655867</v>
      </c>
      <c r="L230" s="181">
        <f t="shared" si="9"/>
        <v>110.30830150981379</v>
      </c>
      <c r="M230" s="181">
        <f t="shared" si="9"/>
        <v>106.71590444306891</v>
      </c>
      <c r="N230" s="181">
        <f t="shared" si="9"/>
        <v>103.12350737632403</v>
      </c>
      <c r="O230" s="181">
        <f t="shared" si="9"/>
        <v>99.531110309579148</v>
      </c>
      <c r="P230" s="181">
        <f t="shared" si="9"/>
        <v>95.938713242834268</v>
      </c>
      <c r="Q230" s="181">
        <f t="shared" si="9"/>
        <v>92.346316176089388</v>
      </c>
      <c r="R230" s="181">
        <f t="shared" si="9"/>
        <v>88.75391910934448</v>
      </c>
    </row>
    <row r="231" spans="3:28" customFormat="1" x14ac:dyDescent="0.25"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</row>
    <row r="232" spans="3:28" customFormat="1" x14ac:dyDescent="0.25">
      <c r="D232" t="s">
        <v>776</v>
      </c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</row>
    <row r="233" spans="3:28" customFormat="1" x14ac:dyDescent="0.25">
      <c r="D233" t="s">
        <v>633</v>
      </c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</row>
    <row r="234" spans="3:28" customFormat="1" x14ac:dyDescent="0.25"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</row>
    <row r="235" spans="3:28" customFormat="1" x14ac:dyDescent="0.25"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</row>
    <row r="236" spans="3:28" customFormat="1" x14ac:dyDescent="0.25"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</row>
    <row r="237" spans="3:28" customFormat="1" x14ac:dyDescent="0.25"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</row>
    <row r="238" spans="3:28" customFormat="1" x14ac:dyDescent="0.25"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</row>
    <row r="239" spans="3:28" customFormat="1" x14ac:dyDescent="0.25"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</row>
    <row r="240" spans="3:28" customFormat="1" x14ac:dyDescent="0.25"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</row>
    <row r="241" spans="3:28" customFormat="1" x14ac:dyDescent="0.25"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</row>
    <row r="242" spans="3:28" customFormat="1" x14ac:dyDescent="0.25"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</row>
    <row r="243" spans="3:28" customFormat="1" x14ac:dyDescent="0.25"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</row>
    <row r="244" spans="3:28" customFormat="1" x14ac:dyDescent="0.25"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</row>
    <row r="245" spans="3:28" customFormat="1" x14ac:dyDescent="0.25"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</row>
    <row r="246" spans="3:28" customFormat="1" x14ac:dyDescent="0.25"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</row>
    <row r="247" spans="3:28" customFormat="1" x14ac:dyDescent="0.25"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</row>
    <row r="248" spans="3:28" customFormat="1" x14ac:dyDescent="0.25"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</row>
    <row r="251" spans="3:28" customFormat="1" x14ac:dyDescent="0.25">
      <c r="E251" s="995">
        <v>2017</v>
      </c>
      <c r="F251" s="995">
        <v>2018</v>
      </c>
      <c r="G251" s="995">
        <v>2019</v>
      </c>
      <c r="H251" s="995">
        <v>2020</v>
      </c>
      <c r="I251" s="994">
        <v>2021</v>
      </c>
      <c r="J251" s="994">
        <v>2022</v>
      </c>
      <c r="K251" s="994">
        <v>2023</v>
      </c>
      <c r="L251" s="994">
        <v>2024</v>
      </c>
      <c r="M251" s="994">
        <v>2025</v>
      </c>
      <c r="N251" s="994">
        <v>2026</v>
      </c>
      <c r="O251" s="994">
        <v>2027</v>
      </c>
      <c r="P251" s="994">
        <v>2028</v>
      </c>
      <c r="Q251" s="994">
        <v>2029</v>
      </c>
      <c r="R251" s="994">
        <v>2030</v>
      </c>
    </row>
    <row r="252" spans="3:28" customFormat="1" x14ac:dyDescent="0.25">
      <c r="D252" t="s">
        <v>629</v>
      </c>
      <c r="E252" s="181">
        <f>'Post-2020Caps_July25Navius FP 2'!J60</f>
        <v>141.31261490733007</v>
      </c>
      <c r="F252" s="181">
        <f>'Post-2020Caps_July25Navius FP 2'!K60</f>
        <v>135.42470653048449</v>
      </c>
      <c r="G252" s="181">
        <f>'Post-2020Caps_July25Navius FP 2'!L60</f>
        <v>129.5367981536389</v>
      </c>
      <c r="H252" s="181">
        <f>'Post-2020Caps_July25Navius FP 2'!M60</f>
        <v>123.64888977679331</v>
      </c>
      <c r="I252" s="181">
        <f>'Post-2020Caps_July25Navius FP 2'!O60</f>
        <v>120.05649271004843</v>
      </c>
      <c r="J252" s="181">
        <f>'Post-2020Caps_July25Navius FP 2'!P60</f>
        <v>116.46409564330355</v>
      </c>
      <c r="K252" s="181">
        <f>'Post-2020Caps_July25Navius FP 2'!Q60</f>
        <v>112.87169857655867</v>
      </c>
      <c r="L252" s="181">
        <f>'Post-2020Caps_July25Navius FP 2'!R60</f>
        <v>109.27930150981379</v>
      </c>
      <c r="M252" s="181">
        <f>'Post-2020Caps_July25Navius FP 2'!S60</f>
        <v>105.68690444306891</v>
      </c>
      <c r="N252" s="181">
        <f>'Post-2020Caps_July25Navius FP 2'!T60</f>
        <v>102.09450737632403</v>
      </c>
      <c r="O252" s="181">
        <f>'Post-2020Caps_July25Navius FP 2'!U60</f>
        <v>98.502110309579152</v>
      </c>
      <c r="P252" s="181">
        <f>'Post-2020Caps_July25Navius FP 2'!V60</f>
        <v>94.909713242834272</v>
      </c>
      <c r="Q252" s="181">
        <f>'Post-2020Caps_July25Navius FP 2'!W60</f>
        <v>91.317316176089392</v>
      </c>
      <c r="R252" s="181">
        <f>'Post-2020Caps_July25Navius FP 2'!X60</f>
        <v>87.724919109344484</v>
      </c>
    </row>
    <row r="253" spans="3:28" customFormat="1" x14ac:dyDescent="0.25">
      <c r="D253" t="s">
        <v>630</v>
      </c>
      <c r="E253" s="181">
        <f>E252+E261</f>
        <v>142.33169192075729</v>
      </c>
      <c r="F253" s="181">
        <f t="shared" ref="F253:R253" si="10">F252+F261</f>
        <v>136.44378354391171</v>
      </c>
      <c r="G253" s="181">
        <f t="shared" si="10"/>
        <v>130.55587516706612</v>
      </c>
      <c r="H253" s="181">
        <f t="shared" si="10"/>
        <v>124.66796679022053</v>
      </c>
      <c r="I253" s="181">
        <f t="shared" si="10"/>
        <v>124.25649271004843</v>
      </c>
      <c r="J253" s="181">
        <f t="shared" si="10"/>
        <v>120.66409564330355</v>
      </c>
      <c r="K253" s="181">
        <f t="shared" si="10"/>
        <v>117.07169857655867</v>
      </c>
      <c r="L253" s="181">
        <f t="shared" si="10"/>
        <v>113.47930150981379</v>
      </c>
      <c r="M253" s="181">
        <f t="shared" si="10"/>
        <v>109.88690444306891</v>
      </c>
      <c r="N253" s="181">
        <f t="shared" si="10"/>
        <v>106.29450737632403</v>
      </c>
      <c r="O253" s="181">
        <f t="shared" si="10"/>
        <v>102.70211030957915</v>
      </c>
      <c r="P253" s="181">
        <f t="shared" si="10"/>
        <v>99.109713242834275</v>
      </c>
      <c r="Q253" s="181">
        <f t="shared" si="10"/>
        <v>95.517316176089395</v>
      </c>
      <c r="R253" s="181">
        <f t="shared" si="10"/>
        <v>91.924919109344486</v>
      </c>
    </row>
    <row r="254" spans="3:28" customFormat="1" x14ac:dyDescent="0.25">
      <c r="D254" t="s">
        <v>632</v>
      </c>
      <c r="E254" s="181">
        <f t="shared" ref="E254:R254" si="11">E252+E271</f>
        <v>142.33169192075729</v>
      </c>
      <c r="F254" s="181">
        <f t="shared" si="11"/>
        <v>136.44378354391171</v>
      </c>
      <c r="G254" s="181">
        <f t="shared" si="11"/>
        <v>130.55587516706612</v>
      </c>
      <c r="H254" s="181">
        <f t="shared" si="11"/>
        <v>124.66796679022053</v>
      </c>
      <c r="I254" s="181">
        <f t="shared" si="11"/>
        <v>124.25649271004843</v>
      </c>
      <c r="J254" s="181">
        <f t="shared" si="11"/>
        <v>120.5384209101863</v>
      </c>
      <c r="K254" s="181">
        <f t="shared" si="11"/>
        <v>116.82034911032417</v>
      </c>
      <c r="L254" s="181">
        <f t="shared" si="11"/>
        <v>113.10227731046204</v>
      </c>
      <c r="M254" s="181">
        <f t="shared" si="11"/>
        <v>109.38420551059991</v>
      </c>
      <c r="N254" s="181">
        <f t="shared" si="11"/>
        <v>105.66613371073778</v>
      </c>
      <c r="O254" s="181">
        <f t="shared" si="11"/>
        <v>101.94806191087565</v>
      </c>
      <c r="P254" s="181">
        <f t="shared" si="11"/>
        <v>98.229990111013521</v>
      </c>
      <c r="Q254" s="181">
        <f t="shared" si="11"/>
        <v>94.511918311151391</v>
      </c>
      <c r="R254" s="181">
        <f t="shared" si="11"/>
        <v>90.793846511289232</v>
      </c>
    </row>
    <row r="255" spans="3:28" customFormat="1" x14ac:dyDescent="0.25"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</row>
    <row r="256" spans="3:28" customFormat="1" x14ac:dyDescent="0.25">
      <c r="D256" t="s">
        <v>634</v>
      </c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</row>
    <row r="257" spans="3:28" customFormat="1" x14ac:dyDescent="0.25">
      <c r="D257" t="s">
        <v>633</v>
      </c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</row>
    <row r="258" spans="3:28" customFormat="1" x14ac:dyDescent="0.25"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</row>
    <row r="259" spans="3:28" customFormat="1" x14ac:dyDescent="0.25">
      <c r="E259" s="995">
        <v>2017</v>
      </c>
      <c r="F259" s="995">
        <v>2018</v>
      </c>
      <c r="G259" s="995">
        <v>2019</v>
      </c>
      <c r="H259" s="995">
        <v>2020</v>
      </c>
      <c r="I259" s="994">
        <v>2021</v>
      </c>
      <c r="J259" s="994">
        <v>2022</v>
      </c>
      <c r="K259" s="994">
        <v>2023</v>
      </c>
      <c r="L259" s="994">
        <v>2024</v>
      </c>
      <c r="M259" s="994">
        <v>2025</v>
      </c>
      <c r="N259" s="994">
        <v>2026</v>
      </c>
      <c r="O259" s="994">
        <v>2027</v>
      </c>
      <c r="P259" s="994">
        <v>2028</v>
      </c>
      <c r="Q259" s="994">
        <v>2029</v>
      </c>
      <c r="R259" s="994">
        <v>2030</v>
      </c>
    </row>
    <row r="260" spans="3:28" customFormat="1" x14ac:dyDescent="0.25">
      <c r="D260" t="s">
        <v>629</v>
      </c>
      <c r="E260" s="181">
        <f>'Post-2020Caps_July25Navius FP 2'!J60</f>
        <v>141.31261490733007</v>
      </c>
      <c r="F260" s="181">
        <f>'Post-2020Caps_July25Navius FP 2'!K60</f>
        <v>135.42470653048449</v>
      </c>
      <c r="G260" s="181">
        <f>'Post-2020Caps_July25Navius FP 2'!L60</f>
        <v>129.5367981536389</v>
      </c>
      <c r="H260" s="181">
        <f>'Post-2020Caps_July25Navius FP 2'!M60</f>
        <v>123.64888977679331</v>
      </c>
      <c r="I260" s="181">
        <f>'Post-2020Caps_July25Navius FP 2'!O60</f>
        <v>120.05649271004843</v>
      </c>
      <c r="J260" s="181">
        <f>'Post-2020Caps_July25Navius FP 2'!P60</f>
        <v>116.46409564330355</v>
      </c>
      <c r="K260" s="181">
        <f>'Post-2020Caps_July25Navius FP 2'!Q60</f>
        <v>112.87169857655867</v>
      </c>
      <c r="L260" s="181">
        <f>'Post-2020Caps_July25Navius FP 2'!R60</f>
        <v>109.27930150981379</v>
      </c>
      <c r="M260" s="181">
        <f>'Post-2020Caps_July25Navius FP 2'!S60</f>
        <v>105.68690444306891</v>
      </c>
      <c r="N260" s="181">
        <f>'Post-2020Caps_July25Navius FP 2'!T60</f>
        <v>102.09450737632403</v>
      </c>
      <c r="O260" s="181">
        <f>'Post-2020Caps_July25Navius FP 2'!U60</f>
        <v>98.502110309579152</v>
      </c>
      <c r="P260" s="181">
        <f>'Post-2020Caps_July25Navius FP 2'!V60</f>
        <v>94.909713242834272</v>
      </c>
      <c r="Q260" s="181">
        <f>'Post-2020Caps_July25Navius FP 2'!W60</f>
        <v>91.317316176089392</v>
      </c>
      <c r="R260" s="181">
        <f>'Post-2020Caps_July25Navius FP 2'!X60</f>
        <v>87.724919109344484</v>
      </c>
    </row>
    <row r="261" spans="3:28" customFormat="1" x14ac:dyDescent="0.25">
      <c r="D261" t="s">
        <v>635</v>
      </c>
      <c r="E261" s="181">
        <f>'Post-2020Caps_July25Navius FP 2'!J59</f>
        <v>1.019077013427216</v>
      </c>
      <c r="F261" s="181">
        <f>'Post-2020Caps_July25Navius FP 2'!K59</f>
        <v>1.019077013427216</v>
      </c>
      <c r="G261" s="181">
        <f>'Post-2020Caps_July25Navius FP 2'!L59</f>
        <v>1.019077013427216</v>
      </c>
      <c r="H261" s="181">
        <f>'Post-2020Caps_July25Navius FP 2'!M59</f>
        <v>1.019077013427216</v>
      </c>
      <c r="I261" s="181">
        <f>'Electricity Sector Emissions'!$AI$17</f>
        <v>4.2</v>
      </c>
      <c r="J261" s="181">
        <f>'Electricity Sector Emissions'!$AI$17</f>
        <v>4.2</v>
      </c>
      <c r="K261" s="181">
        <f>'Electricity Sector Emissions'!$AI$17</f>
        <v>4.2</v>
      </c>
      <c r="L261" s="181">
        <f>'Electricity Sector Emissions'!$AI$17</f>
        <v>4.2</v>
      </c>
      <c r="M261" s="181">
        <f>'Electricity Sector Emissions'!$AI$17</f>
        <v>4.2</v>
      </c>
      <c r="N261" s="181">
        <f>'Electricity Sector Emissions'!$AI$17</f>
        <v>4.2</v>
      </c>
      <c r="O261" s="181">
        <f>'Electricity Sector Emissions'!$AI$17</f>
        <v>4.2</v>
      </c>
      <c r="P261" s="181">
        <f>'Electricity Sector Emissions'!$AI$17</f>
        <v>4.2</v>
      </c>
      <c r="Q261" s="181">
        <f>'Electricity Sector Emissions'!$AI$17</f>
        <v>4.2</v>
      </c>
      <c r="R261" s="181">
        <f>'Electricity Sector Emissions'!$AI$17</f>
        <v>4.2</v>
      </c>
    </row>
    <row r="262" spans="3:28" customFormat="1" x14ac:dyDescent="0.25">
      <c r="D262" t="s">
        <v>636</v>
      </c>
      <c r="E262" s="181">
        <f>SUM(E260:E261)</f>
        <v>142.33169192075729</v>
      </c>
      <c r="F262" s="181">
        <f t="shared" ref="F262:R262" si="12">SUM(F260:F261)</f>
        <v>136.44378354391171</v>
      </c>
      <c r="G262" s="181">
        <f t="shared" si="12"/>
        <v>130.55587516706612</v>
      </c>
      <c r="H262" s="181">
        <f t="shared" si="12"/>
        <v>124.66796679022053</v>
      </c>
      <c r="I262" s="181">
        <f t="shared" si="12"/>
        <v>124.25649271004843</v>
      </c>
      <c r="J262" s="181">
        <f t="shared" si="12"/>
        <v>120.66409564330355</v>
      </c>
      <c r="K262" s="181">
        <f t="shared" si="12"/>
        <v>117.07169857655867</v>
      </c>
      <c r="L262" s="181">
        <f t="shared" si="12"/>
        <v>113.47930150981379</v>
      </c>
      <c r="M262" s="181">
        <f t="shared" si="12"/>
        <v>109.88690444306891</v>
      </c>
      <c r="N262" s="181">
        <f t="shared" si="12"/>
        <v>106.29450737632403</v>
      </c>
      <c r="O262" s="181">
        <f t="shared" si="12"/>
        <v>102.70211030957915</v>
      </c>
      <c r="P262" s="181">
        <f t="shared" si="12"/>
        <v>99.109713242834275</v>
      </c>
      <c r="Q262" s="181">
        <f t="shared" si="12"/>
        <v>95.517316176089395</v>
      </c>
      <c r="R262" s="181">
        <f t="shared" si="12"/>
        <v>91.924919109344486</v>
      </c>
    </row>
    <row r="263" spans="3:28" customFormat="1" x14ac:dyDescent="0.25"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</row>
    <row r="264" spans="3:28" customFormat="1" x14ac:dyDescent="0.25">
      <c r="D264" t="s">
        <v>634</v>
      </c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</row>
    <row r="265" spans="3:28" customFormat="1" x14ac:dyDescent="0.25">
      <c r="D265" t="s">
        <v>633</v>
      </c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</row>
    <row r="266" spans="3:28" customFormat="1" x14ac:dyDescent="0.25"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</row>
    <row r="267" spans="3:28" customFormat="1" x14ac:dyDescent="0.25"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</row>
    <row r="268" spans="3:28" customFormat="1" x14ac:dyDescent="0.25"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</row>
    <row r="269" spans="3:28" customFormat="1" x14ac:dyDescent="0.25">
      <c r="E269" s="995">
        <v>2017</v>
      </c>
      <c r="F269" s="995">
        <v>2018</v>
      </c>
      <c r="G269" s="995">
        <v>2019</v>
      </c>
      <c r="H269" s="995">
        <v>2020</v>
      </c>
      <c r="I269" s="994">
        <v>2021</v>
      </c>
      <c r="J269" s="994">
        <v>2022</v>
      </c>
      <c r="K269" s="994">
        <v>2023</v>
      </c>
      <c r="L269" s="994">
        <v>2024</v>
      </c>
      <c r="M269" s="994">
        <v>2025</v>
      </c>
      <c r="N269" s="994">
        <v>2026</v>
      </c>
      <c r="O269" s="994">
        <v>2027</v>
      </c>
      <c r="P269" s="994">
        <v>2028</v>
      </c>
      <c r="Q269" s="994">
        <v>2029</v>
      </c>
      <c r="R269" s="994">
        <v>2030</v>
      </c>
    </row>
    <row r="270" spans="3:28" customFormat="1" x14ac:dyDescent="0.25">
      <c r="D270" t="s">
        <v>629</v>
      </c>
      <c r="E270" s="181">
        <f>E260</f>
        <v>141.31261490733007</v>
      </c>
      <c r="F270" s="181">
        <f t="shared" ref="F270:R270" si="13">F260</f>
        <v>135.42470653048449</v>
      </c>
      <c r="G270" s="181">
        <f t="shared" si="13"/>
        <v>129.5367981536389</v>
      </c>
      <c r="H270" s="181">
        <f t="shared" si="13"/>
        <v>123.64888977679331</v>
      </c>
      <c r="I270" s="181">
        <f t="shared" si="13"/>
        <v>120.05649271004843</v>
      </c>
      <c r="J270" s="181">
        <f t="shared" si="13"/>
        <v>116.46409564330355</v>
      </c>
      <c r="K270" s="181">
        <f t="shared" si="13"/>
        <v>112.87169857655867</v>
      </c>
      <c r="L270" s="181">
        <f t="shared" si="13"/>
        <v>109.27930150981379</v>
      </c>
      <c r="M270" s="181">
        <f t="shared" si="13"/>
        <v>105.68690444306891</v>
      </c>
      <c r="N270" s="181">
        <f t="shared" si="13"/>
        <v>102.09450737632403</v>
      </c>
      <c r="O270" s="181">
        <f t="shared" si="13"/>
        <v>98.502110309579152</v>
      </c>
      <c r="P270" s="181">
        <f t="shared" si="13"/>
        <v>94.909713242834272</v>
      </c>
      <c r="Q270" s="181">
        <f t="shared" si="13"/>
        <v>91.317316176089392</v>
      </c>
      <c r="R270" s="181">
        <f t="shared" si="13"/>
        <v>87.724919109344484</v>
      </c>
    </row>
    <row r="271" spans="3:28" customFormat="1" x14ac:dyDescent="0.25">
      <c r="D271" t="s">
        <v>631</v>
      </c>
      <c r="E271" s="181">
        <f>'Post-2020Caps_July25Navius FP 2'!J59</f>
        <v>1.019077013427216</v>
      </c>
      <c r="F271" s="181">
        <f>'Post-2020Caps_July25Navius FP 2'!K59</f>
        <v>1.019077013427216</v>
      </c>
      <c r="G271" s="181">
        <f>'Post-2020Caps_July25Navius FP 2'!L59</f>
        <v>1.019077013427216</v>
      </c>
      <c r="H271" s="181">
        <f>'Post-2020Caps_July25Navius FP 2'!M59</f>
        <v>1.019077013427216</v>
      </c>
      <c r="I271" s="181">
        <v>4.2</v>
      </c>
      <c r="J271" s="181">
        <v>4.0743252668827497</v>
      </c>
      <c r="K271" s="181">
        <v>3.9486505337654987</v>
      </c>
      <c r="L271" s="181">
        <v>3.8229758006482477</v>
      </c>
      <c r="M271" s="181">
        <v>3.6973010675309972</v>
      </c>
      <c r="N271" s="181">
        <v>3.5716263344137467</v>
      </c>
      <c r="O271" s="181">
        <v>3.4459516012964961</v>
      </c>
      <c r="P271" s="181">
        <v>3.3202768681792456</v>
      </c>
      <c r="Q271" s="181">
        <v>3.1946021350619946</v>
      </c>
      <c r="R271" s="181">
        <v>3.0689274019447428</v>
      </c>
    </row>
    <row r="272" spans="3:28" customFormat="1" x14ac:dyDescent="0.25">
      <c r="D272" t="s">
        <v>636</v>
      </c>
      <c r="E272" s="181">
        <f>SUM(E270:E271)</f>
        <v>142.33169192075729</v>
      </c>
      <c r="F272" s="181">
        <f t="shared" ref="F272:R272" si="14">SUM(F270:F271)</f>
        <v>136.44378354391171</v>
      </c>
      <c r="G272" s="181">
        <f t="shared" si="14"/>
        <v>130.55587516706612</v>
      </c>
      <c r="H272" s="181">
        <f t="shared" si="14"/>
        <v>124.66796679022053</v>
      </c>
      <c r="I272" s="181">
        <f t="shared" si="14"/>
        <v>124.25649271004843</v>
      </c>
      <c r="J272" s="181">
        <f t="shared" si="14"/>
        <v>120.5384209101863</v>
      </c>
      <c r="K272" s="181">
        <f t="shared" si="14"/>
        <v>116.82034911032417</v>
      </c>
      <c r="L272" s="181">
        <f t="shared" si="14"/>
        <v>113.10227731046204</v>
      </c>
      <c r="M272" s="181">
        <f t="shared" si="14"/>
        <v>109.38420551059991</v>
      </c>
      <c r="N272" s="181">
        <f t="shared" si="14"/>
        <v>105.66613371073778</v>
      </c>
      <c r="O272" s="181">
        <f t="shared" si="14"/>
        <v>101.94806191087565</v>
      </c>
      <c r="P272" s="181">
        <f t="shared" si="14"/>
        <v>98.229990111013521</v>
      </c>
      <c r="Q272" s="181">
        <f t="shared" si="14"/>
        <v>94.511918311151391</v>
      </c>
      <c r="R272" s="181">
        <f t="shared" si="14"/>
        <v>90.793846511289232</v>
      </c>
    </row>
    <row r="273" spans="3:28" customFormat="1" x14ac:dyDescent="0.25"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</row>
    <row r="274" spans="3:28" customFormat="1" x14ac:dyDescent="0.25">
      <c r="D274" t="s">
        <v>634</v>
      </c>
    </row>
    <row r="275" spans="3:28" customFormat="1" x14ac:dyDescent="0.25">
      <c r="D275" t="s">
        <v>633</v>
      </c>
    </row>
  </sheetData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5:B28"/>
  <sheetViews>
    <sheetView workbookViewId="0">
      <selection activeCell="R54" sqref="R54"/>
    </sheetView>
  </sheetViews>
  <sheetFormatPr defaultRowHeight="15" x14ac:dyDescent="0.25"/>
  <sheetData>
    <row r="25" spans="2:2" x14ac:dyDescent="0.25">
      <c r="B25" s="367" t="s">
        <v>198</v>
      </c>
    </row>
    <row r="26" spans="2:2" ht="15.75" x14ac:dyDescent="0.25">
      <c r="B26" s="368" t="s">
        <v>199</v>
      </c>
    </row>
    <row r="27" spans="2:2" x14ac:dyDescent="0.25">
      <c r="B27" s="369" t="s">
        <v>200</v>
      </c>
    </row>
    <row r="28" spans="2:2" x14ac:dyDescent="0.25">
      <c r="B28" s="369" t="s">
        <v>201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F26"/>
  <sheetViews>
    <sheetView workbookViewId="0">
      <selection activeCell="O20" sqref="O20"/>
    </sheetView>
  </sheetViews>
  <sheetFormatPr defaultRowHeight="15" x14ac:dyDescent="0.25"/>
  <cols>
    <col min="4" max="4" width="44.7109375" customWidth="1"/>
    <col min="5" max="5" width="25.28515625" customWidth="1"/>
    <col min="6" max="6" width="21.28515625" customWidth="1"/>
  </cols>
  <sheetData>
    <row r="5" spans="4:6" x14ac:dyDescent="0.25">
      <c r="E5" t="s">
        <v>769</v>
      </c>
      <c r="F5" t="s">
        <v>770</v>
      </c>
    </row>
    <row r="6" spans="4:6" x14ac:dyDescent="0.25">
      <c r="D6" s="157">
        <f t="shared" ref="D6:D12" si="0">D7-1</f>
        <v>2013</v>
      </c>
      <c r="E6">
        <v>162.80000000000001</v>
      </c>
      <c r="F6">
        <v>23.2</v>
      </c>
    </row>
    <row r="7" spans="4:6" x14ac:dyDescent="0.25">
      <c r="D7" s="157">
        <f t="shared" si="0"/>
        <v>2014</v>
      </c>
      <c r="E7">
        <v>159.69999999999999</v>
      </c>
      <c r="F7">
        <v>23.2</v>
      </c>
    </row>
    <row r="8" spans="4:6" x14ac:dyDescent="0.25">
      <c r="D8" s="157">
        <f t="shared" si="0"/>
        <v>2015</v>
      </c>
      <c r="E8">
        <v>394.5</v>
      </c>
      <c r="F8">
        <v>65.3</v>
      </c>
    </row>
    <row r="9" spans="4:6" x14ac:dyDescent="0.25">
      <c r="D9" s="157">
        <f t="shared" si="0"/>
        <v>2016</v>
      </c>
      <c r="E9">
        <v>382.4</v>
      </c>
      <c r="F9">
        <v>63.19</v>
      </c>
    </row>
    <row r="10" spans="4:6" x14ac:dyDescent="0.25">
      <c r="D10" s="157">
        <f t="shared" si="0"/>
        <v>2017</v>
      </c>
      <c r="E10">
        <v>370.4</v>
      </c>
      <c r="F10">
        <v>61.08</v>
      </c>
    </row>
    <row r="11" spans="4:6" x14ac:dyDescent="0.25">
      <c r="D11" s="157">
        <f t="shared" si="0"/>
        <v>2018</v>
      </c>
      <c r="E11">
        <v>358.3</v>
      </c>
      <c r="F11">
        <v>58.96</v>
      </c>
    </row>
    <row r="12" spans="4:6" x14ac:dyDescent="0.25">
      <c r="D12" s="157">
        <f t="shared" si="0"/>
        <v>2019</v>
      </c>
      <c r="E12">
        <v>346.3</v>
      </c>
      <c r="F12">
        <v>56.85</v>
      </c>
    </row>
    <row r="13" spans="4:6" x14ac:dyDescent="0.25">
      <c r="D13" s="157">
        <f>D14-1</f>
        <v>2020</v>
      </c>
      <c r="E13">
        <v>334.2</v>
      </c>
      <c r="F13">
        <v>54.74</v>
      </c>
    </row>
    <row r="14" spans="4:6" x14ac:dyDescent="0.25">
      <c r="D14" s="157">
        <v>2021</v>
      </c>
      <c r="E14">
        <v>320.8</v>
      </c>
      <c r="F14">
        <v>55.26</v>
      </c>
    </row>
    <row r="15" spans="4:6" x14ac:dyDescent="0.25">
      <c r="D15" s="157">
        <f>D14+1</f>
        <v>2022</v>
      </c>
      <c r="E15">
        <v>307.5</v>
      </c>
      <c r="F15">
        <v>54.02</v>
      </c>
    </row>
    <row r="16" spans="4:6" x14ac:dyDescent="0.25">
      <c r="D16" s="157">
        <f t="shared" ref="D16:D23" si="1">D15+1</f>
        <v>2023</v>
      </c>
      <c r="E16">
        <v>294.10000000000002</v>
      </c>
      <c r="F16">
        <v>52.79</v>
      </c>
    </row>
    <row r="17" spans="4:6" x14ac:dyDescent="0.25">
      <c r="D17" s="157">
        <f t="shared" si="1"/>
        <v>2024</v>
      </c>
      <c r="E17">
        <v>280.7</v>
      </c>
      <c r="F17">
        <v>51.55</v>
      </c>
    </row>
    <row r="18" spans="4:6" x14ac:dyDescent="0.25">
      <c r="D18" s="157">
        <f t="shared" si="1"/>
        <v>2025</v>
      </c>
      <c r="E18">
        <v>267.39999999999998</v>
      </c>
      <c r="F18">
        <v>50.31</v>
      </c>
    </row>
    <row r="19" spans="4:6" x14ac:dyDescent="0.25">
      <c r="D19" s="157">
        <f t="shared" si="1"/>
        <v>2026</v>
      </c>
      <c r="E19">
        <v>254</v>
      </c>
      <c r="F19">
        <v>49.08</v>
      </c>
    </row>
    <row r="20" spans="4:6" x14ac:dyDescent="0.25">
      <c r="D20" s="157">
        <f t="shared" si="1"/>
        <v>2027</v>
      </c>
      <c r="E20">
        <v>240.6</v>
      </c>
      <c r="F20">
        <v>47.84</v>
      </c>
    </row>
    <row r="21" spans="4:6" x14ac:dyDescent="0.25">
      <c r="D21" s="157">
        <f t="shared" si="1"/>
        <v>2028</v>
      </c>
      <c r="E21">
        <v>227.3</v>
      </c>
      <c r="F21">
        <v>46.61</v>
      </c>
    </row>
    <row r="22" spans="4:6" x14ac:dyDescent="0.25">
      <c r="D22" s="157">
        <f t="shared" si="1"/>
        <v>2029</v>
      </c>
      <c r="E22">
        <v>213.9</v>
      </c>
      <c r="F22">
        <v>45.37</v>
      </c>
    </row>
    <row r="23" spans="4:6" x14ac:dyDescent="0.25">
      <c r="D23" s="157">
        <f t="shared" si="1"/>
        <v>2030</v>
      </c>
      <c r="E23">
        <v>200.5</v>
      </c>
      <c r="F23">
        <v>44.14</v>
      </c>
    </row>
    <row r="25" spans="4:6" x14ac:dyDescent="0.25">
      <c r="D25" s="317" t="s">
        <v>778</v>
      </c>
      <c r="E25" s="301">
        <f>(E13/E8-1)/5</f>
        <v>-3.0570342205323196E-2</v>
      </c>
      <c r="F25" s="301">
        <f>(F13/F8-1)/5</f>
        <v>-3.2343032159264928E-2</v>
      </c>
    </row>
    <row r="26" spans="4:6" x14ac:dyDescent="0.25">
      <c r="D26" s="317" t="s">
        <v>777</v>
      </c>
      <c r="E26" s="301">
        <f>(E23/E14-1)/9</f>
        <v>-4.1666666666666664E-2</v>
      </c>
      <c r="F26" s="301">
        <f>(F23/F14-1)/9</f>
        <v>-2.2358949611935495E-2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16"/>
  <sheetViews>
    <sheetView workbookViewId="0">
      <selection activeCell="G10" sqref="G10"/>
    </sheetView>
  </sheetViews>
  <sheetFormatPr defaultRowHeight="15" x14ac:dyDescent="0.25"/>
  <cols>
    <col min="3" max="3" width="19" customWidth="1"/>
    <col min="5" max="10" width="11.7109375" bestFit="1" customWidth="1"/>
    <col min="11" max="14" width="10.85546875" bestFit="1" customWidth="1"/>
    <col min="15" max="15" width="23.42578125" customWidth="1"/>
  </cols>
  <sheetData>
    <row r="4" spans="3:20" x14ac:dyDescent="0.25"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</row>
    <row r="5" spans="3:20" x14ac:dyDescent="0.25"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</row>
    <row r="6" spans="3:20" x14ac:dyDescent="0.25">
      <c r="C6" s="173" t="s">
        <v>767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</row>
    <row r="7" spans="3:20" ht="33" customHeight="1" x14ac:dyDescent="0.25">
      <c r="C7" s="1207"/>
      <c r="D7" s="1608">
        <v>2020</v>
      </c>
      <c r="E7" s="1608">
        <v>2021</v>
      </c>
      <c r="F7" s="1608">
        <v>2022</v>
      </c>
      <c r="G7" s="1608">
        <v>2023</v>
      </c>
      <c r="H7" s="1608">
        <v>2024</v>
      </c>
      <c r="I7" s="1608">
        <v>2025</v>
      </c>
      <c r="J7" s="1608">
        <v>2026</v>
      </c>
      <c r="K7" s="1608">
        <v>2027</v>
      </c>
      <c r="L7" s="1608">
        <v>2028</v>
      </c>
      <c r="M7" s="1608">
        <v>2029</v>
      </c>
      <c r="N7" s="1608">
        <v>2030</v>
      </c>
      <c r="O7" s="1609" t="s">
        <v>768</v>
      </c>
      <c r="P7" s="173"/>
      <c r="Q7" s="173"/>
      <c r="R7" s="173"/>
      <c r="S7" s="173"/>
      <c r="T7" s="173"/>
    </row>
    <row r="8" spans="3:20" x14ac:dyDescent="0.25">
      <c r="C8" s="1201" t="s">
        <v>765</v>
      </c>
      <c r="D8" s="1211">
        <f>'Post-2020Caps_July25Navius FP 2'!M60</f>
        <v>123.64888977679331</v>
      </c>
      <c r="E8" s="1211">
        <f>'Post-2020Caps_July25Navius FP 2'!O60</f>
        <v>120.05649271004843</v>
      </c>
      <c r="F8" s="1211">
        <f>'Post-2020Caps_July25Navius FP 2'!P60</f>
        <v>116.46409564330355</v>
      </c>
      <c r="G8" s="1211">
        <f>'Post-2020Caps_July25Navius FP 2'!Q60</f>
        <v>112.87169857655867</v>
      </c>
      <c r="H8" s="1211">
        <f>'Post-2020Caps_July25Navius FP 2'!R60</f>
        <v>109.27930150981379</v>
      </c>
      <c r="I8" s="1211">
        <f>'Post-2020Caps_July25Navius FP 2'!S60</f>
        <v>105.68690444306891</v>
      </c>
      <c r="J8" s="1211">
        <f>'Post-2020Caps_July25Navius FP 2'!T60</f>
        <v>102.09450737632403</v>
      </c>
      <c r="K8" s="1211">
        <f>'Post-2020Caps_July25Navius FP 2'!U60</f>
        <v>98.502110309579152</v>
      </c>
      <c r="L8" s="1211">
        <f>'Post-2020Caps_July25Navius FP 2'!V60</f>
        <v>94.909713242834272</v>
      </c>
      <c r="M8" s="1211">
        <f>'Post-2020Caps_July25Navius FP 2'!W60</f>
        <v>91.317316176089392</v>
      </c>
      <c r="N8" s="1211">
        <f>'Post-2020Caps_July25Navius FP 2'!X60</f>
        <v>87.724919109344484</v>
      </c>
      <c r="O8" s="1610">
        <f>(1-N8/D8)/10</f>
        <v>2.9053209238107624E-2</v>
      </c>
      <c r="P8" s="173"/>
      <c r="Q8" s="173"/>
      <c r="R8" s="173"/>
      <c r="S8" s="173"/>
      <c r="T8" s="173"/>
    </row>
    <row r="9" spans="3:20" x14ac:dyDescent="0.25">
      <c r="C9" s="1201" t="s">
        <v>766</v>
      </c>
      <c r="D9" s="1211">
        <f>'Post-2020Caps_July25Navius FP 2'!M59</f>
        <v>1.019077013427216</v>
      </c>
      <c r="E9" s="1611">
        <f>'Post-2020Caps_July25Navius FP 2'!O59</f>
        <v>1.0289999999999999</v>
      </c>
      <c r="F9" s="1611">
        <f>'Post-2020Caps_July25Navius FP 2'!P59</f>
        <v>1.0289999999999999</v>
      </c>
      <c r="G9" s="1611">
        <f>'Post-2020Caps_July25Navius FP 2'!Q59</f>
        <v>1.0289999999999999</v>
      </c>
      <c r="H9" s="1611">
        <f>'Post-2020Caps_July25Navius FP 2'!R59</f>
        <v>1.0289999999999999</v>
      </c>
      <c r="I9" s="1611">
        <f>'Post-2020Caps_July25Navius FP 2'!S59</f>
        <v>1.0289999999999999</v>
      </c>
      <c r="J9" s="1611">
        <f>'Post-2020Caps_July25Navius FP 2'!T59</f>
        <v>1.0289999999999999</v>
      </c>
      <c r="K9" s="1611">
        <f>'Post-2020Caps_July25Navius FP 2'!U59</f>
        <v>1.0289999999999999</v>
      </c>
      <c r="L9" s="1611">
        <f>'Post-2020Caps_July25Navius FP 2'!V59</f>
        <v>1.0289999999999999</v>
      </c>
      <c r="M9" s="1611">
        <f>'Post-2020Caps_July25Navius FP 2'!W59</f>
        <v>1.0289999999999999</v>
      </c>
      <c r="N9" s="1611">
        <f>'Post-2020Caps_July25Navius FP 2'!X59</f>
        <v>1.0289999999999999</v>
      </c>
      <c r="O9" s="1612">
        <v>0</v>
      </c>
      <c r="P9" s="173"/>
      <c r="Q9" s="173"/>
      <c r="R9" s="173"/>
      <c r="S9" s="173"/>
      <c r="T9" s="173"/>
    </row>
    <row r="10" spans="3:20" x14ac:dyDescent="0.25">
      <c r="C10" s="1201" t="s">
        <v>678</v>
      </c>
      <c r="D10" s="1211">
        <f>D9+D8</f>
        <v>124.66796679022053</v>
      </c>
      <c r="E10" s="1211">
        <f t="shared" ref="E10:N10" si="0">E9+E8</f>
        <v>121.08549271004843</v>
      </c>
      <c r="F10" s="1211">
        <f t="shared" si="0"/>
        <v>117.49309564330355</v>
      </c>
      <c r="G10" s="1211">
        <f t="shared" si="0"/>
        <v>113.90069857655867</v>
      </c>
      <c r="H10" s="1211">
        <f t="shared" si="0"/>
        <v>110.30830150981379</v>
      </c>
      <c r="I10" s="1211">
        <f t="shared" si="0"/>
        <v>106.71590444306891</v>
      </c>
      <c r="J10" s="1211">
        <f t="shared" si="0"/>
        <v>103.12350737632403</v>
      </c>
      <c r="K10" s="1211">
        <f t="shared" si="0"/>
        <v>99.531110309579148</v>
      </c>
      <c r="L10" s="1211">
        <f t="shared" si="0"/>
        <v>95.938713242834268</v>
      </c>
      <c r="M10" s="1211">
        <f t="shared" si="0"/>
        <v>92.346316176089388</v>
      </c>
      <c r="N10" s="1211">
        <f t="shared" si="0"/>
        <v>88.75391910934448</v>
      </c>
      <c r="O10" s="1610">
        <f>(1-N10/D10)/10</f>
        <v>2.8807759206748607E-2</v>
      </c>
      <c r="P10" s="173"/>
      <c r="Q10" s="173"/>
      <c r="R10" s="173"/>
      <c r="S10" s="173"/>
      <c r="T10" s="173"/>
    </row>
    <row r="11" spans="3:20" x14ac:dyDescent="0.25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</row>
    <row r="12" spans="3:20" x14ac:dyDescent="0.25">
      <c r="C12" s="173" t="s">
        <v>775</v>
      </c>
      <c r="D12" s="173"/>
      <c r="E12" s="1340">
        <v>120.07337345785027</v>
      </c>
      <c r="F12" s="1340">
        <v>116.49785713890722</v>
      </c>
      <c r="G12" s="1340">
        <v>112.92234081996418</v>
      </c>
      <c r="H12" s="1340">
        <v>109.34682450102113</v>
      </c>
      <c r="I12" s="1340">
        <v>105.77130818207809</v>
      </c>
      <c r="J12" s="1340">
        <v>102.19579186313504</v>
      </c>
      <c r="K12" s="1340">
        <v>98.620275544191998</v>
      </c>
      <c r="L12" s="1340">
        <v>95.044759225248953</v>
      </c>
      <c r="M12" s="1340">
        <v>91.469242906305908</v>
      </c>
      <c r="N12" s="1340">
        <v>87.893726587362906</v>
      </c>
      <c r="O12" s="173"/>
      <c r="P12" s="173"/>
      <c r="Q12" s="173"/>
      <c r="R12" s="173"/>
      <c r="S12" s="173"/>
      <c r="T12" s="173"/>
    </row>
    <row r="13" spans="3:20" x14ac:dyDescent="0.25">
      <c r="C13" s="173" t="s">
        <v>774</v>
      </c>
      <c r="D13" s="173"/>
      <c r="E13" s="1340">
        <v>120.05649271004843</v>
      </c>
      <c r="F13" s="1340">
        <v>116.46409564330355</v>
      </c>
      <c r="G13" s="1340">
        <v>112.87169857655867</v>
      </c>
      <c r="H13" s="1340">
        <v>109.27930150981379</v>
      </c>
      <c r="I13" s="1340">
        <v>105.68690444306891</v>
      </c>
      <c r="J13" s="1340">
        <v>102.09450737632403</v>
      </c>
      <c r="K13" s="1340">
        <v>98.502110309579152</v>
      </c>
      <c r="L13" s="1340">
        <v>94.909713242834272</v>
      </c>
      <c r="M13" s="1340">
        <v>91.317316176089392</v>
      </c>
      <c r="N13" s="1340">
        <v>87.724919109344484</v>
      </c>
      <c r="O13" s="173"/>
      <c r="P13" s="173"/>
      <c r="Q13" s="173"/>
      <c r="R13" s="173"/>
      <c r="S13" s="173"/>
      <c r="T13" s="173"/>
    </row>
    <row r="14" spans="3:20" x14ac:dyDescent="0.25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</row>
    <row r="15" spans="3:20" x14ac:dyDescent="0.25">
      <c r="C15" s="173"/>
      <c r="D15" s="173"/>
      <c r="E15" s="1340">
        <f>E12-E13</f>
        <v>1.6880747801835128E-2</v>
      </c>
      <c r="F15" s="1340">
        <f t="shared" ref="F15:N15" si="1">F12-F13</f>
        <v>3.3761495603670255E-2</v>
      </c>
      <c r="G15" s="1340">
        <f t="shared" si="1"/>
        <v>5.0642243405505383E-2</v>
      </c>
      <c r="H15" s="1340">
        <f t="shared" si="1"/>
        <v>6.752299120734051E-2</v>
      </c>
      <c r="I15" s="1340">
        <f t="shared" si="1"/>
        <v>8.4403739009175638E-2</v>
      </c>
      <c r="J15" s="1340">
        <f t="shared" si="1"/>
        <v>0.10128448681101077</v>
      </c>
      <c r="K15" s="1340">
        <f t="shared" si="1"/>
        <v>0.11816523461284589</v>
      </c>
      <c r="L15" s="1340">
        <f t="shared" si="1"/>
        <v>0.13504598241468102</v>
      </c>
      <c r="M15" s="1340">
        <f t="shared" si="1"/>
        <v>0.15192673021651615</v>
      </c>
      <c r="N15" s="1340">
        <f t="shared" si="1"/>
        <v>0.16880747801842233</v>
      </c>
      <c r="O15" s="173"/>
      <c r="P15" s="173"/>
      <c r="Q15" s="173"/>
      <c r="R15" s="173"/>
      <c r="S15" s="173"/>
      <c r="T15" s="173"/>
    </row>
    <row r="16" spans="3:20" x14ac:dyDescent="0.25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23"/>
  <sheetViews>
    <sheetView topLeftCell="J46" zoomScale="120" zoomScaleNormal="120" workbookViewId="0">
      <selection activeCell="L65" sqref="L65"/>
    </sheetView>
  </sheetViews>
  <sheetFormatPr defaultRowHeight="15" x14ac:dyDescent="0.25"/>
  <cols>
    <col min="1" max="1" width="7.5703125" style="785" customWidth="1"/>
    <col min="2" max="2" width="63.140625" style="312" customWidth="1"/>
    <col min="3" max="3" width="11" style="312" hidden="1" customWidth="1"/>
    <col min="4" max="9" width="9.140625" style="312" hidden="1" customWidth="1"/>
    <col min="10" max="12" width="15.5703125" style="312" bestFit="1" customWidth="1"/>
    <col min="13" max="13" width="16.7109375" style="312" bestFit="1" customWidth="1"/>
    <col min="14" max="14" width="15.140625" style="312" customWidth="1"/>
    <col min="15" max="16" width="9.140625" style="312" customWidth="1"/>
    <col min="17" max="17" width="9" style="312" customWidth="1"/>
    <col min="18" max="24" width="9.140625" style="312" customWidth="1"/>
    <col min="25" max="25" width="5.140625" style="801" customWidth="1"/>
    <col min="26" max="26" width="14.42578125" style="312" customWidth="1"/>
    <col min="27" max="27" width="40" style="312" customWidth="1"/>
    <col min="28" max="28" width="14.28515625" style="312" customWidth="1"/>
    <col min="29" max="29" width="15.5703125" style="312" customWidth="1"/>
    <col min="30" max="30" width="38.28515625" style="312" customWidth="1"/>
    <col min="31" max="31" width="9.140625" style="312"/>
    <col min="32" max="32" width="14.42578125" style="312" customWidth="1"/>
    <col min="33" max="33" width="17.140625" style="312" customWidth="1"/>
    <col min="34" max="34" width="16.5703125" style="312" customWidth="1"/>
    <col min="35" max="16384" width="9.140625" style="312"/>
  </cols>
  <sheetData>
    <row r="1" spans="1:64" ht="18.75" x14ac:dyDescent="0.3">
      <c r="A1" s="1245" t="s">
        <v>590</v>
      </c>
    </row>
    <row r="3" spans="1:64" x14ac:dyDescent="0.25">
      <c r="B3" s="808" t="s">
        <v>487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841">
        <v>6.2047475098184792</v>
      </c>
      <c r="P3" s="841">
        <v>7.268120684340591</v>
      </c>
      <c r="Q3" s="841">
        <v>8.5137353612774103</v>
      </c>
      <c r="R3" s="841">
        <v>9.9728241934719009</v>
      </c>
      <c r="S3" s="841">
        <v>11.681972503662109</v>
      </c>
      <c r="T3" s="841">
        <v>11.801158804716309</v>
      </c>
      <c r="U3" s="841">
        <v>11.921561113970709</v>
      </c>
      <c r="V3" s="841">
        <v>12.04319183785063</v>
      </c>
      <c r="W3" s="841">
        <v>12.166063509358979</v>
      </c>
      <c r="X3" s="841">
        <v>12.290188789367676</v>
      </c>
      <c r="Y3" s="940"/>
      <c r="Z3" s="825" t="s">
        <v>464</v>
      </c>
    </row>
    <row r="4" spans="1:64" x14ac:dyDescent="0.25">
      <c r="C4" s="781">
        <v>2010</v>
      </c>
      <c r="D4" s="781">
        <v>2011</v>
      </c>
      <c r="E4" s="781">
        <v>2012</v>
      </c>
      <c r="F4" s="781">
        <v>2013</v>
      </c>
      <c r="G4" s="781">
        <v>2014</v>
      </c>
      <c r="H4" s="781">
        <v>2015</v>
      </c>
      <c r="I4" s="781">
        <v>2016</v>
      </c>
      <c r="J4" s="781">
        <v>2017</v>
      </c>
      <c r="K4" s="781">
        <v>2018</v>
      </c>
      <c r="L4" s="781">
        <v>2019</v>
      </c>
      <c r="M4" s="781">
        <v>2020</v>
      </c>
      <c r="N4" s="1572">
        <v>2020</v>
      </c>
      <c r="O4" s="781">
        <v>2021</v>
      </c>
      <c r="P4" s="781">
        <v>2022</v>
      </c>
      <c r="Q4" s="781">
        <v>2023</v>
      </c>
      <c r="R4" s="781">
        <v>2024</v>
      </c>
      <c r="S4" s="781">
        <v>2025</v>
      </c>
      <c r="T4" s="781">
        <v>2026</v>
      </c>
      <c r="U4" s="781">
        <v>2027</v>
      </c>
      <c r="V4" s="781">
        <v>2028</v>
      </c>
      <c r="W4" s="781">
        <v>2029</v>
      </c>
      <c r="X4" s="781">
        <v>2030</v>
      </c>
      <c r="Y4" s="941"/>
    </row>
    <row r="5" spans="1:64" x14ac:dyDescent="0.25">
      <c r="B5" s="782" t="s">
        <v>2</v>
      </c>
      <c r="C5" s="973">
        <v>19.802272114057871</v>
      </c>
      <c r="D5" s="973">
        <v>14.218297326696581</v>
      </c>
      <c r="E5" s="973">
        <v>14.154796364649654</v>
      </c>
      <c r="F5" s="973">
        <v>10.890218042777901</v>
      </c>
      <c r="G5" s="973">
        <v>11.203585624694824</v>
      </c>
      <c r="H5" s="973">
        <v>9.1245328705612145</v>
      </c>
      <c r="I5" s="973">
        <v>7.4312905613393676</v>
      </c>
      <c r="J5" s="981">
        <v>6.480922986572784</v>
      </c>
      <c r="K5" s="981">
        <v>6.480922986572784</v>
      </c>
      <c r="L5" s="981">
        <v>6.480922986572784</v>
      </c>
      <c r="M5" s="981">
        <v>6.480922986572784</v>
      </c>
      <c r="N5" s="1573">
        <f>'Electricity Sector Emissions'!AI16</f>
        <v>3.8699999999999997</v>
      </c>
      <c r="O5" s="1158">
        <f>VLOOKUP($AA$10,$AD$9:$AN$11,AE7,FALSE)</f>
        <v>3.4206507935681891</v>
      </c>
      <c r="P5" s="1158">
        <f t="shared" ref="P5:X5" si="0">VLOOKUP($AA$10,$AD$9:$AN$11,AF7,FALSE)</f>
        <v>3.7125233124675741</v>
      </c>
      <c r="Q5" s="1158">
        <f t="shared" si="0"/>
        <v>4.0293003224798349</v>
      </c>
      <c r="R5" s="1158">
        <f t="shared" si="0"/>
        <v>4.3731068392793846</v>
      </c>
      <c r="S5" s="1158">
        <f t="shared" si="0"/>
        <v>4.7462491989135742</v>
      </c>
      <c r="T5" s="1158">
        <f t="shared" si="0"/>
        <v>4.5497419455747279</v>
      </c>
      <c r="U5" s="1158">
        <f t="shared" si="0"/>
        <v>4.3613706115684812</v>
      </c>
      <c r="V5" s="1158">
        <f t="shared" si="0"/>
        <v>4.1807983483446565</v>
      </c>
      <c r="W5" s="1158">
        <f t="shared" si="0"/>
        <v>4.0077022537727887</v>
      </c>
      <c r="X5" s="1158">
        <f t="shared" si="0"/>
        <v>3.8417727947235107</v>
      </c>
      <c r="Y5" s="942"/>
      <c r="Z5" s="764" t="s">
        <v>279</v>
      </c>
      <c r="AA5" s="783"/>
      <c r="AB5" s="807" t="s">
        <v>188</v>
      </c>
      <c r="AD5" s="972">
        <f>'Electricity Sector Emissions'!AI16</f>
        <v>3.8699999999999997</v>
      </c>
    </row>
    <row r="6" spans="1:64" x14ac:dyDescent="0.25">
      <c r="B6" s="784" t="s">
        <v>36</v>
      </c>
      <c r="C6" s="974">
        <v>48.153857491964324</v>
      </c>
      <c r="D6" s="974">
        <v>48.226252177063913</v>
      </c>
      <c r="E6" s="974">
        <v>50.264395594747157</v>
      </c>
      <c r="F6" s="974">
        <v>47.724434817226481</v>
      </c>
      <c r="G6" s="974">
        <v>42.753318071365356</v>
      </c>
      <c r="H6" s="974">
        <v>43.285277502838987</v>
      </c>
      <c r="I6" s="974">
        <v>43.852775138730451</v>
      </c>
      <c r="J6" s="982">
        <v>44.458276212215424</v>
      </c>
      <c r="K6" s="982">
        <v>43.980439598331451</v>
      </c>
      <c r="L6" s="982">
        <v>43.510511354802844</v>
      </c>
      <c r="M6" s="982">
        <v>43.048317611217499</v>
      </c>
      <c r="N6" s="1573">
        <f>('Navius Reference_July252017'!N134+'Navius Reference_July252017'!N143+'Navius Reference_July252017'!N146+'Navius Reference_July252017'!N144+'Navius Reference_July252017'!N147)</f>
        <v>51.684359297156334</v>
      </c>
      <c r="O6" s="983">
        <f>('Navius Reference_July252017'!O134+'Navius Reference_July252017'!O143+'Navius Reference_July252017'!O146+'Navius Reference_July252017'!O144+'Navius Reference_July252017'!O147)</f>
        <v>52.461786756964869</v>
      </c>
      <c r="P6" s="983">
        <f>('Navius Reference_July252017'!P134+'Navius Reference_July252017'!P143+'Navius Reference_July252017'!P146+'Navius Reference_July252017'!P144+'Navius Reference_July252017'!P147)</f>
        <v>53.257057207226943</v>
      </c>
      <c r="Q6" s="983">
        <f>('Navius Reference_July252017'!Q134+'Navius Reference_July252017'!Q143+'Navius Reference_July252017'!Q146+'Navius Reference_July252017'!Q144+'Navius Reference_July252017'!Q147)</f>
        <v>54.070548588893615</v>
      </c>
      <c r="R6" s="983">
        <f>('Navius Reference_July252017'!R134+'Navius Reference_July252017'!R143+'Navius Reference_July252017'!R146+'Navius Reference_July252017'!R144+'Navius Reference_July252017'!R147)</f>
        <v>54.902646373222211</v>
      </c>
      <c r="S6" s="983">
        <f>('Navius Reference_July252017'!S134+'Navius Reference_July252017'!S143+'Navius Reference_July252017'!S146+'Navius Reference_July252017'!S144+'Navius Reference_July252017'!S147)</f>
        <v>55.753743801265955</v>
      </c>
      <c r="T6" s="983">
        <f>('Navius Reference_July252017'!T134+'Navius Reference_July252017'!T143+'Navius Reference_July252017'!T146+'Navius Reference_July252017'!T144+'Navius Reference_July252017'!T147)</f>
        <v>56.187878529966568</v>
      </c>
      <c r="U6" s="983">
        <f>('Navius Reference_July252017'!U134+'Navius Reference_July252017'!U143+'Navius Reference_July252017'!U146+'Navius Reference_July252017'!U144+'Navius Reference_July252017'!U147)</f>
        <v>56.633379387590246</v>
      </c>
      <c r="V6" s="983">
        <f>('Navius Reference_July252017'!V134+'Navius Reference_July252017'!V143+'Navius Reference_July252017'!V146+'Navius Reference_July252017'!V144+'Navius Reference_July252017'!V147)</f>
        <v>57.090376447158462</v>
      </c>
      <c r="W6" s="983">
        <f>('Navius Reference_July252017'!W134+'Navius Reference_July252017'!W143+'Navius Reference_July252017'!W146+'Navius Reference_July252017'!W144+'Navius Reference_July252017'!W147)</f>
        <v>57.559002722841527</v>
      </c>
      <c r="X6" s="983">
        <f>('Navius Reference_July252017'!X134+'Navius Reference_July252017'!X143+'Navius Reference_July252017'!X146+'Navius Reference_July252017'!X144+'Navius Reference_July252017'!X147)</f>
        <v>58.039394211024046</v>
      </c>
      <c r="Y6" s="943"/>
      <c r="Z6" s="517"/>
      <c r="AA6" s="517"/>
      <c r="AB6" s="517"/>
      <c r="AC6" s="517"/>
      <c r="AD6" s="785"/>
    </row>
    <row r="7" spans="1:64" x14ac:dyDescent="0.25">
      <c r="B7" s="786" t="s">
        <v>102</v>
      </c>
      <c r="C7" s="975">
        <v>30.272845283072691</v>
      </c>
      <c r="D7" s="975">
        <v>32.797226056226869</v>
      </c>
      <c r="E7" s="975">
        <v>29.696949734732314</v>
      </c>
      <c r="F7" s="975">
        <v>32.620695328766317</v>
      </c>
      <c r="G7" s="975">
        <v>31.014080047607422</v>
      </c>
      <c r="H7" s="975">
        <v>31.393143456940372</v>
      </c>
      <c r="I7" s="975">
        <v>31.776839893210589</v>
      </c>
      <c r="J7" s="982">
        <v>32.165225982666016</v>
      </c>
      <c r="K7" s="982">
        <v>32.592082207940031</v>
      </c>
      <c r="L7" s="982">
        <v>33.024603129527812</v>
      </c>
      <c r="M7" s="982">
        <v>33.462863922119141</v>
      </c>
      <c r="N7" s="1573">
        <f>'Navius Reference_July252017'!N135</f>
        <v>31.199345588684082</v>
      </c>
      <c r="O7" s="984">
        <f>'Navius Reference_July252017'!O135</f>
        <v>30.999556633929888</v>
      </c>
      <c r="P7" s="984">
        <f>'Navius Reference_July252017'!P135</f>
        <v>30.807101122619521</v>
      </c>
      <c r="Q7" s="984">
        <f>'Navius Reference_July252017'!Q135</f>
        <v>30.621896819522298</v>
      </c>
      <c r="R7" s="984">
        <f>'Navius Reference_July252017'!R135</f>
        <v>30.443863418672898</v>
      </c>
      <c r="S7" s="984">
        <f>'Navius Reference_July252017'!S135</f>
        <v>30.272922515869141</v>
      </c>
      <c r="T7" s="984">
        <f>'Navius Reference_July252017'!T135</f>
        <v>30.341810210724589</v>
      </c>
      <c r="U7" s="984">
        <f>'Navius Reference_July252017'!U135</f>
        <v>30.412628698427593</v>
      </c>
      <c r="V7" s="984">
        <f>'Navius Reference_July252017'!V135</f>
        <v>30.485395251323695</v>
      </c>
      <c r="W7" s="984">
        <f>'Navius Reference_July252017'!W135</f>
        <v>30.560127358397395</v>
      </c>
      <c r="X7" s="984">
        <f>'Navius Reference_July252017'!X135</f>
        <v>30.636842727661133</v>
      </c>
      <c r="Y7" s="944"/>
      <c r="Z7" s="173"/>
      <c r="AA7" s="173"/>
      <c r="AB7" s="173"/>
      <c r="AC7" s="173"/>
      <c r="AD7" s="1005">
        <v>1</v>
      </c>
      <c r="AE7" s="1005">
        <v>2</v>
      </c>
      <c r="AF7" s="1005">
        <v>3</v>
      </c>
      <c r="AG7" s="1005">
        <v>4</v>
      </c>
      <c r="AH7" s="1005">
        <v>5</v>
      </c>
      <c r="AI7" s="1005">
        <v>6</v>
      </c>
      <c r="AJ7" s="1005">
        <v>7</v>
      </c>
      <c r="AK7" s="1005">
        <v>8</v>
      </c>
      <c r="AL7" s="1005">
        <v>9</v>
      </c>
      <c r="AM7" s="1005">
        <v>10</v>
      </c>
      <c r="AN7" s="1005">
        <v>11</v>
      </c>
    </row>
    <row r="8" spans="1:64" x14ac:dyDescent="0.25">
      <c r="B8" s="787" t="s">
        <v>39</v>
      </c>
      <c r="C8" s="976">
        <v>60.426722889783676</v>
      </c>
      <c r="D8" s="976">
        <v>60.134993175496092</v>
      </c>
      <c r="E8" s="976">
        <v>57.690767086868441</v>
      </c>
      <c r="F8" s="976">
        <v>60.205905493701792</v>
      </c>
      <c r="G8" s="976">
        <v>61.467746496200562</v>
      </c>
      <c r="H8" s="976">
        <v>62.571428300550792</v>
      </c>
      <c r="I8" s="976">
        <v>63.694927221920743</v>
      </c>
      <c r="J8" s="982">
        <v>64.8385990858078</v>
      </c>
      <c r="K8" s="982">
        <v>65.256478266588445</v>
      </c>
      <c r="L8" s="982">
        <v>65.677050642660035</v>
      </c>
      <c r="M8" s="982">
        <v>66.100333571434021</v>
      </c>
      <c r="N8" s="1573">
        <f>('Navius Reference_July252017'!N136+'Navius Reference_July252017'!N140+'Navius Reference_July252017'!N141)</f>
        <v>59.43728905916214</v>
      </c>
      <c r="O8" s="984">
        <f>('Navius Reference_July252017'!O136+'Navius Reference_July252017'!O140+'Navius Reference_July252017'!O141)</f>
        <v>58.729579289685297</v>
      </c>
      <c r="P8" s="984">
        <f>('Navius Reference_July252017'!P136+'Navius Reference_July252017'!P140+'Navius Reference_July252017'!P141)</f>
        <v>58.052460941051784</v>
      </c>
      <c r="Q8" s="984">
        <f>('Navius Reference_July252017'!Q136+'Navius Reference_July252017'!Q140+'Navius Reference_July252017'!Q141)</f>
        <v>57.405083740689051</v>
      </c>
      <c r="R8" s="984">
        <f>('Navius Reference_July252017'!R136+'Navius Reference_July252017'!R140+'Navius Reference_July252017'!R141)</f>
        <v>56.786626347580999</v>
      </c>
      <c r="S8" s="984">
        <f>('Navius Reference_July252017'!S136+'Navius Reference_July252017'!S140+'Navius Reference_July252017'!S141)</f>
        <v>56.196295499801636</v>
      </c>
      <c r="T8" s="984">
        <f>('Navius Reference_July252017'!T136+'Navius Reference_July252017'!T140+'Navius Reference_July252017'!T141)</f>
        <v>55.58975268915993</v>
      </c>
      <c r="U8" s="984">
        <f>('Navius Reference_July252017'!U136+'Navius Reference_July252017'!U140+'Navius Reference_July252017'!U141)</f>
        <v>55.025449718787826</v>
      </c>
      <c r="V8" s="984">
        <f>('Navius Reference_July252017'!V136+'Navius Reference_July252017'!V140+'Navius Reference_July252017'!V141)</f>
        <v>54.501984342818851</v>
      </c>
      <c r="W8" s="984">
        <f>('Navius Reference_July252017'!W136+'Navius Reference_July252017'!W140+'Navius Reference_July252017'!W141)</f>
        <v>54.018013331740562</v>
      </c>
      <c r="X8" s="984">
        <f>('Navius Reference_July252017'!X136+'Navius Reference_July252017'!X140+'Navius Reference_July252017'!X141)</f>
        <v>53.572250247001648</v>
      </c>
      <c r="Y8" s="944"/>
      <c r="Z8" s="173"/>
      <c r="AA8" s="173"/>
      <c r="AB8" s="173"/>
      <c r="AC8" s="173"/>
      <c r="AD8" s="1003"/>
      <c r="AE8" s="1003">
        <v>2021</v>
      </c>
      <c r="AF8" s="1003">
        <v>2022</v>
      </c>
      <c r="AG8" s="1003">
        <v>2023</v>
      </c>
      <c r="AH8" s="1003">
        <v>2024</v>
      </c>
      <c r="AI8" s="1003">
        <v>2025</v>
      </c>
      <c r="AJ8" s="1003">
        <v>2026</v>
      </c>
      <c r="AK8" s="1003">
        <v>2027</v>
      </c>
      <c r="AL8" s="1003">
        <v>2028</v>
      </c>
      <c r="AM8" s="1003">
        <v>2029</v>
      </c>
      <c r="AN8" s="1003">
        <v>2030</v>
      </c>
    </row>
    <row r="9" spans="1:64" x14ac:dyDescent="0.25">
      <c r="B9" s="312" t="s">
        <v>40</v>
      </c>
      <c r="C9" s="977">
        <v>19.685915800506574</v>
      </c>
      <c r="D9" s="977">
        <v>19.2735267419792</v>
      </c>
      <c r="E9" s="977">
        <v>19.094737852364609</v>
      </c>
      <c r="F9" s="977">
        <v>19.332662171559068</v>
      </c>
      <c r="G9" s="977">
        <v>19.09999942779541</v>
      </c>
      <c r="H9" s="977">
        <v>19.09999942779541</v>
      </c>
      <c r="I9" s="977">
        <v>19.09999942779541</v>
      </c>
      <c r="J9" s="982">
        <v>19.09999942779541</v>
      </c>
      <c r="K9" s="982">
        <v>19.09999942779541</v>
      </c>
      <c r="L9" s="982">
        <v>19.09999942779541</v>
      </c>
      <c r="M9" s="982">
        <v>19.09999942779541</v>
      </c>
      <c r="N9" s="1573">
        <f>('Navius Reference_July252017'!N148+'Navius Reference_July252017'!N149)</f>
        <v>17.891403198242188</v>
      </c>
      <c r="O9" s="984">
        <f>('Navius Reference_July252017'!O148+'Navius Reference_July252017'!O149)</f>
        <v>17.851845884729943</v>
      </c>
      <c r="P9" s="984">
        <f>('Navius Reference_July252017'!P148+'Navius Reference_July252017'!P149)</f>
        <v>17.81253232652282</v>
      </c>
      <c r="Q9" s="984">
        <f>('Navius Reference_July252017'!Q148+'Navius Reference_July252017'!Q149)</f>
        <v>17.773460732261931</v>
      </c>
      <c r="R9" s="984">
        <f>('Navius Reference_July252017'!R148+'Navius Reference_July252017'!R149)</f>
        <v>17.734629324342304</v>
      </c>
      <c r="S9" s="984">
        <f>('Navius Reference_July252017'!S148+'Navius Reference_July252017'!S149)</f>
        <v>17.696036338806152</v>
      </c>
      <c r="T9" s="984">
        <f>('Navius Reference_July252017'!T148+'Navius Reference_July252017'!T149)</f>
        <v>17.669990145442618</v>
      </c>
      <c r="U9" s="984">
        <f>('Navius Reference_July252017'!U148+'Navius Reference_July252017'!U149)</f>
        <v>17.644106815038285</v>
      </c>
      <c r="V9" s="984">
        <f>('Navius Reference_July252017'!V148+'Navius Reference_July252017'!V149)</f>
        <v>17.618385254286775</v>
      </c>
      <c r="W9" s="984">
        <f>('Navius Reference_July252017'!W148+'Navius Reference_July252017'!W149)</f>
        <v>17.59282437723623</v>
      </c>
      <c r="X9" s="984">
        <f>('Navius Reference_July252017'!X148+'Navius Reference_July252017'!X149)</f>
        <v>17.567423105239868</v>
      </c>
      <c r="Y9" s="944"/>
      <c r="Z9" s="173"/>
      <c r="AA9" s="173"/>
      <c r="AB9" s="173"/>
      <c r="AC9" s="173"/>
      <c r="AD9" s="1003" t="s">
        <v>276</v>
      </c>
      <c r="AE9" s="1004">
        <f>'Electricity Sector Emissions'!AI14</f>
        <v>3.6</v>
      </c>
      <c r="AF9" s="1004">
        <f>'Electricity Sector Emissions'!AJ14</f>
        <v>3.7</v>
      </c>
      <c r="AG9" s="1004">
        <f>'Electricity Sector Emissions'!AK14</f>
        <v>4.2</v>
      </c>
      <c r="AH9" s="1004">
        <f>'Electricity Sector Emissions'!AL14</f>
        <v>3.4</v>
      </c>
      <c r="AI9" s="1004">
        <f>'Electricity Sector Emissions'!AM14</f>
        <v>4.7</v>
      </c>
      <c r="AJ9" s="1004">
        <f>'Electricity Sector Emissions'!AN14</f>
        <v>3.8</v>
      </c>
      <c r="AK9" s="1004">
        <f>'Electricity Sector Emissions'!AO14</f>
        <v>3.9</v>
      </c>
      <c r="AL9" s="1004">
        <f>'Electricity Sector Emissions'!AP14</f>
        <v>3.7</v>
      </c>
      <c r="AM9" s="1004">
        <f>'Electricity Sector Emissions'!AQ14</f>
        <v>3.9</v>
      </c>
      <c r="AN9" s="1004">
        <f>'Electricity Sector Emissions'!AR14</f>
        <v>3.8</v>
      </c>
    </row>
    <row r="10" spans="1:64" x14ac:dyDescent="0.25">
      <c r="B10" s="780" t="s">
        <v>41</v>
      </c>
      <c r="C10" s="978">
        <f>C5+C6+C7+C8+C9</f>
        <v>178.34161357938513</v>
      </c>
      <c r="D10" s="978">
        <f>D5+D6+D7+D8+D9</f>
        <v>174.65029547746263</v>
      </c>
      <c r="E10" s="978">
        <f>E5+E6+E7+E8+E9</f>
        <v>170.90164663336216</v>
      </c>
      <c r="F10" s="978">
        <f>F5+F6+F7+F8+F9</f>
        <v>170.77391585403157</v>
      </c>
      <c r="G10" s="978">
        <f t="shared" ref="G10:X10" si="1">SUM(G5:G9)+G20</f>
        <v>165.53872966766357</v>
      </c>
      <c r="H10" s="978">
        <f t="shared" si="1"/>
        <v>165.47438155868679</v>
      </c>
      <c r="I10" s="978">
        <f t="shared" si="1"/>
        <v>165.85583224299657</v>
      </c>
      <c r="J10" s="980">
        <f t="shared" si="1"/>
        <v>172.45474199832333</v>
      </c>
      <c r="K10" s="980">
        <f t="shared" si="1"/>
        <v>172.773276698687</v>
      </c>
      <c r="L10" s="980">
        <f t="shared" si="1"/>
        <v>173.10850988701461</v>
      </c>
      <c r="M10" s="980">
        <v>173.46035636222621</v>
      </c>
      <c r="N10" s="1574">
        <f t="shared" si="1"/>
        <v>169.35031598633211</v>
      </c>
      <c r="O10" s="978">
        <f t="shared" si="1"/>
        <v>163.46341935887818</v>
      </c>
      <c r="P10" s="978">
        <f t="shared" si="1"/>
        <v>163.64167490988862</v>
      </c>
      <c r="Q10" s="978">
        <f t="shared" si="1"/>
        <v>163.90029020384674</v>
      </c>
      <c r="R10" s="978">
        <f t="shared" si="1"/>
        <v>164.2408723030978</v>
      </c>
      <c r="S10" s="978">
        <f t="shared" si="1"/>
        <v>164.66524735465646</v>
      </c>
      <c r="T10" s="978">
        <f t="shared" si="1"/>
        <v>164.33917352086843</v>
      </c>
      <c r="U10" s="978">
        <f t="shared" si="1"/>
        <v>164.07693523141245</v>
      </c>
      <c r="V10" s="978">
        <f t="shared" si="1"/>
        <v>163.87693964393245</v>
      </c>
      <c r="W10" s="978">
        <f t="shared" si="1"/>
        <v>163.73767004398852</v>
      </c>
      <c r="X10" s="978">
        <f t="shared" si="1"/>
        <v>163.65768308565021</v>
      </c>
      <c r="Y10" s="945"/>
      <c r="Z10" s="1006" t="s">
        <v>494</v>
      </c>
      <c r="AA10" s="1008" t="s">
        <v>771</v>
      </c>
      <c r="AB10" s="173"/>
      <c r="AC10" s="173"/>
      <c r="AD10" s="1003" t="s">
        <v>493</v>
      </c>
      <c r="AE10" s="1003">
        <f>'Electricity Sector Emissions'!$AI$16</f>
        <v>3.8699999999999997</v>
      </c>
      <c r="AF10" s="1003">
        <f>'Electricity Sector Emissions'!$AI$16</f>
        <v>3.8699999999999997</v>
      </c>
      <c r="AG10" s="1003">
        <f>'Electricity Sector Emissions'!$AI$16</f>
        <v>3.8699999999999997</v>
      </c>
      <c r="AH10" s="1003">
        <f>'Electricity Sector Emissions'!$AI$16</f>
        <v>3.8699999999999997</v>
      </c>
      <c r="AI10" s="1003">
        <f>'Electricity Sector Emissions'!$AI$16</f>
        <v>3.8699999999999997</v>
      </c>
      <c r="AJ10" s="1003">
        <f>'Electricity Sector Emissions'!$AI$16</f>
        <v>3.8699999999999997</v>
      </c>
      <c r="AK10" s="1003">
        <f>'Electricity Sector Emissions'!$AI$16</f>
        <v>3.8699999999999997</v>
      </c>
      <c r="AL10" s="1003">
        <f>'Electricity Sector Emissions'!$AI$16</f>
        <v>3.8699999999999997</v>
      </c>
      <c r="AM10" s="1003">
        <f>'Electricity Sector Emissions'!$AI$16</f>
        <v>3.8699999999999997</v>
      </c>
      <c r="AN10" s="1003">
        <f>'Electricity Sector Emissions'!$AI$16</f>
        <v>3.8699999999999997</v>
      </c>
    </row>
    <row r="11" spans="1:64" x14ac:dyDescent="0.25">
      <c r="G11" s="801"/>
      <c r="H11" s="805"/>
      <c r="I11" s="805"/>
      <c r="J11" s="806" t="s">
        <v>459</v>
      </c>
      <c r="K11" s="804"/>
      <c r="L11" s="804"/>
      <c r="M11" s="804"/>
      <c r="N11" s="1575"/>
      <c r="O11" s="1624" t="s">
        <v>610</v>
      </c>
      <c r="P11" s="1624"/>
      <c r="Q11" s="1624"/>
      <c r="R11" s="1624"/>
      <c r="S11" s="1624"/>
      <c r="T11" s="1624"/>
      <c r="U11" s="1624"/>
      <c r="V11" s="1624"/>
      <c r="W11" s="1624"/>
      <c r="X11" s="1624"/>
      <c r="Y11" s="946"/>
      <c r="AD11" s="1003" t="s">
        <v>771</v>
      </c>
      <c r="AE11" s="1614">
        <f>'Navius Reference_July252017'!O92</f>
        <v>3.4206507935681891</v>
      </c>
      <c r="AF11" s="1614">
        <f>'Navius Reference_July252017'!P92</f>
        <v>3.7125233124675741</v>
      </c>
      <c r="AG11" s="1614">
        <f>'Navius Reference_July252017'!Q92</f>
        <v>4.0293003224798349</v>
      </c>
      <c r="AH11" s="1614">
        <f>'Navius Reference_July252017'!R92</f>
        <v>4.3731068392793846</v>
      </c>
      <c r="AI11" s="1614">
        <f>'Navius Reference_July252017'!S92</f>
        <v>4.7462491989135742</v>
      </c>
      <c r="AJ11" s="1614">
        <f>'Navius Reference_July252017'!T92</f>
        <v>4.5497419455747279</v>
      </c>
      <c r="AK11" s="1614">
        <f>'Navius Reference_July252017'!U92</f>
        <v>4.3613706115684812</v>
      </c>
      <c r="AL11" s="1614">
        <f>'Navius Reference_July252017'!V92</f>
        <v>4.1807983483446565</v>
      </c>
      <c r="AM11" s="1614">
        <f>'Navius Reference_July252017'!W92</f>
        <v>4.0077022537727887</v>
      </c>
      <c r="AN11" s="1614">
        <f>'Navius Reference_July252017'!X92</f>
        <v>3.8417727947235107</v>
      </c>
    </row>
    <row r="12" spans="1:64" x14ac:dyDescent="0.25">
      <c r="B12" s="1154" t="s">
        <v>27</v>
      </c>
      <c r="N12" s="1566"/>
    </row>
    <row r="13" spans="1:64" s="772" customFormat="1" x14ac:dyDescent="0.25">
      <c r="A13" s="798"/>
      <c r="B13" s="799"/>
      <c r="C13" s="773">
        <v>2010</v>
      </c>
      <c r="D13" s="773">
        <v>2011</v>
      </c>
      <c r="E13" s="773">
        <v>2012</v>
      </c>
      <c r="F13" s="773">
        <v>2013</v>
      </c>
      <c r="G13" s="773">
        <v>2014</v>
      </c>
      <c r="H13" s="773">
        <v>2015</v>
      </c>
      <c r="I13" s="773">
        <v>2016</v>
      </c>
      <c r="J13" s="773">
        <v>2017</v>
      </c>
      <c r="K13" s="773">
        <v>2018</v>
      </c>
      <c r="L13" s="773">
        <v>2019</v>
      </c>
      <c r="M13" s="773">
        <v>2020</v>
      </c>
      <c r="N13" s="1576">
        <v>2020</v>
      </c>
      <c r="O13" s="773">
        <v>2021</v>
      </c>
      <c r="P13" s="773">
        <v>2022</v>
      </c>
      <c r="Q13" s="773">
        <v>2023</v>
      </c>
      <c r="R13" s="773">
        <v>2024</v>
      </c>
      <c r="S13" s="773">
        <v>2025</v>
      </c>
      <c r="T13" s="773">
        <v>2026</v>
      </c>
      <c r="U13" s="773">
        <v>2027</v>
      </c>
      <c r="V13" s="773">
        <v>2028</v>
      </c>
      <c r="W13" s="773">
        <v>2029</v>
      </c>
      <c r="X13" s="773">
        <v>2030</v>
      </c>
      <c r="Y13" s="947"/>
      <c r="AA13" s="800"/>
    </row>
    <row r="14" spans="1:64" s="775" customFormat="1" x14ac:dyDescent="0.25">
      <c r="A14" s="785"/>
      <c r="B14" s="774" t="s">
        <v>436</v>
      </c>
      <c r="C14" s="771"/>
      <c r="D14" s="771"/>
      <c r="E14" s="771"/>
      <c r="F14" s="771"/>
      <c r="G14" s="768"/>
      <c r="H14" s="768"/>
      <c r="I14" s="768"/>
      <c r="J14" s="803"/>
      <c r="K14" s="803"/>
      <c r="L14" s="803"/>
      <c r="M14" s="803"/>
      <c r="N14" s="1577"/>
      <c r="O14" s="802"/>
      <c r="P14" s="802"/>
      <c r="Q14" s="802"/>
      <c r="R14" s="802"/>
      <c r="S14" s="802"/>
      <c r="T14" s="802"/>
      <c r="U14" s="802"/>
      <c r="V14" s="802"/>
      <c r="W14" s="802"/>
      <c r="X14" s="802"/>
      <c r="Y14" s="948"/>
    </row>
    <row r="15" spans="1:64" x14ac:dyDescent="0.25">
      <c r="B15" s="776" t="s">
        <v>437</v>
      </c>
      <c r="C15" s="979">
        <v>1.9258300387408509</v>
      </c>
      <c r="D15" s="979">
        <v>1.8710470815104994</v>
      </c>
      <c r="E15" s="979">
        <v>2.1933705693525845</v>
      </c>
      <c r="F15" s="979">
        <v>2.2655510656166098</v>
      </c>
      <c r="G15" s="979">
        <v>2.178746223449707</v>
      </c>
      <c r="H15" s="979">
        <v>2.2178666999924865</v>
      </c>
      <c r="I15" s="979">
        <v>2.2576896042289838</v>
      </c>
      <c r="J15" s="987">
        <v>2.2982275485992432</v>
      </c>
      <c r="K15" s="987">
        <v>2.3130394015912974</v>
      </c>
      <c r="L15" s="987">
        <v>2.3279467155350719</v>
      </c>
      <c r="M15" s="987">
        <v>2.3429501056671143</v>
      </c>
      <c r="N15" s="1578">
        <v>2.3429501056671143</v>
      </c>
      <c r="O15" s="985">
        <f>'Navius Reference_July252017'!O101</f>
        <v>1.8088455707376501</v>
      </c>
      <c r="P15" s="985">
        <f>'Navius Reference_July252017'!P101</f>
        <v>1.8571685888059413</v>
      </c>
      <c r="Q15" s="985">
        <f>'Navius Reference_July252017'!Q101</f>
        <v>1.9067825485184526</v>
      </c>
      <c r="R15" s="985">
        <f>'Navius Reference_July252017'!R101</f>
        <v>1.9577219371732753</v>
      </c>
      <c r="S15" s="985">
        <f>'Navius Reference_July252017'!S101</f>
        <v>2.0100221633911133</v>
      </c>
      <c r="T15" s="985">
        <f>'Navius Reference_July252017'!T101</f>
        <v>2.0633462698849883</v>
      </c>
      <c r="U15" s="985">
        <f>'Navius Reference_July252017'!U101</f>
        <v>2.1180850176625059</v>
      </c>
      <c r="V15" s="985">
        <f>'Navius Reference_July252017'!V101</f>
        <v>2.1742759359031121</v>
      </c>
      <c r="W15" s="985">
        <f>'Navius Reference_July252017'!W101</f>
        <v>2.2319575494021207</v>
      </c>
      <c r="X15" s="985">
        <f>'Navius Reference_July252017'!X101</f>
        <v>2.2911694049835205</v>
      </c>
      <c r="Y15" s="949"/>
      <c r="Z15" s="242"/>
      <c r="AD15" s="990"/>
      <c r="AE15" s="990"/>
      <c r="AF15" s="990"/>
      <c r="AG15" s="990"/>
      <c r="AH15" s="801"/>
      <c r="AI15" s="920"/>
      <c r="AJ15" s="920"/>
      <c r="AK15" s="920"/>
      <c r="AL15" s="920"/>
      <c r="AM15" s="920"/>
      <c r="AN15" s="920"/>
      <c r="AO15" s="920"/>
      <c r="AP15" s="920"/>
      <c r="AQ15" s="920"/>
      <c r="AR15" s="920"/>
      <c r="AS15" s="920"/>
      <c r="AT15" s="920"/>
      <c r="AU15" s="920"/>
      <c r="AV15" s="920"/>
      <c r="AW15" s="920"/>
      <c r="AX15" s="920"/>
      <c r="AY15" s="920"/>
      <c r="AZ15" s="920"/>
      <c r="BA15" s="920"/>
      <c r="BB15" s="920"/>
      <c r="BC15" s="920"/>
      <c r="BD15" s="920"/>
      <c r="BE15" s="948"/>
      <c r="BF15" s="948"/>
      <c r="BG15" s="948"/>
      <c r="BH15" s="948"/>
      <c r="BI15" s="948"/>
      <c r="BJ15" s="948"/>
      <c r="BK15" s="948"/>
      <c r="BL15" s="801"/>
    </row>
    <row r="16" spans="1:64" x14ac:dyDescent="0.25">
      <c r="B16" s="776" t="s">
        <v>440</v>
      </c>
      <c r="C16" s="979">
        <v>1.0934055606491213</v>
      </c>
      <c r="D16" s="979">
        <v>0.79935288145141126</v>
      </c>
      <c r="E16" s="979">
        <v>1.0075022921406105</v>
      </c>
      <c r="F16" s="979">
        <v>1.2431766438182221</v>
      </c>
      <c r="G16" s="979">
        <v>1.020704984664917</v>
      </c>
      <c r="H16" s="979">
        <v>1.0390322213478052</v>
      </c>
      <c r="I16" s="979">
        <v>1.0576885321603169</v>
      </c>
      <c r="J16" s="987">
        <v>1.0766798257827759</v>
      </c>
      <c r="K16" s="987">
        <v>1.083618923851003</v>
      </c>
      <c r="L16" s="987">
        <v>1.0906027437398191</v>
      </c>
      <c r="M16" s="987">
        <v>1.097631573677063</v>
      </c>
      <c r="N16" s="1578">
        <v>1.097631573677063</v>
      </c>
      <c r="O16" s="985">
        <f>'Navius Reference_July252017'!O105</f>
        <v>0.64888206519231584</v>
      </c>
      <c r="P16" s="985">
        <f>'Navius Reference_July252017'!P105</f>
        <v>0.65902404192205022</v>
      </c>
      <c r="Q16" s="985">
        <f>'Navius Reference_July252017'!Q105</f>
        <v>0.66932453696736782</v>
      </c>
      <c r="R16" s="985">
        <f>'Navius Reference_July252017'!R105</f>
        <v>0.67978602795733889</v>
      </c>
      <c r="S16" s="985">
        <f>'Navius Reference_July252017'!S105</f>
        <v>0.6904110312461853</v>
      </c>
      <c r="T16" s="985">
        <f>'Navius Reference_July252017'!T105</f>
        <v>0.70106916888027027</v>
      </c>
      <c r="U16" s="985">
        <f>'Navius Reference_July252017'!U105</f>
        <v>0.71189184023801555</v>
      </c>
      <c r="V16" s="985">
        <f>'Navius Reference_July252017'!V105</f>
        <v>0.72288158528908109</v>
      </c>
      <c r="W16" s="985">
        <f>'Navius Reference_July252017'!W105</f>
        <v>0.73404098321360423</v>
      </c>
      <c r="X16" s="985">
        <f>'Navius Reference_July252017'!X105</f>
        <v>0.74537265300750732</v>
      </c>
      <c r="Y16" s="949"/>
      <c r="Z16" s="242"/>
      <c r="AD16" s="990"/>
      <c r="AE16" s="990"/>
      <c r="AF16" s="990"/>
      <c r="AG16" s="990"/>
      <c r="AH16" s="801"/>
      <c r="AI16" s="991"/>
      <c r="AJ16" s="991"/>
      <c r="AK16" s="991"/>
      <c r="AL16" s="991"/>
      <c r="AM16" s="991"/>
      <c r="AN16" s="991"/>
      <c r="AO16" s="991"/>
      <c r="AP16" s="991"/>
      <c r="AQ16" s="991"/>
      <c r="AR16" s="991"/>
      <c r="AS16" s="991"/>
      <c r="AT16" s="991"/>
      <c r="AU16" s="991"/>
      <c r="AV16" s="991"/>
      <c r="AW16" s="991"/>
      <c r="AX16" s="991"/>
      <c r="AY16" s="991"/>
      <c r="AZ16" s="991"/>
      <c r="BA16" s="991"/>
      <c r="BB16" s="991"/>
      <c r="BC16" s="991"/>
      <c r="BD16" s="991"/>
      <c r="BE16" s="990"/>
      <c r="BF16" s="990"/>
      <c r="BG16" s="990"/>
      <c r="BH16" s="990"/>
      <c r="BI16" s="990"/>
      <c r="BJ16" s="990"/>
      <c r="BK16" s="990"/>
      <c r="BL16" s="801"/>
    </row>
    <row r="17" spans="2:64" x14ac:dyDescent="0.25">
      <c r="B17" s="774" t="s">
        <v>149</v>
      </c>
      <c r="C17" s="979"/>
      <c r="D17" s="979"/>
      <c r="E17" s="979"/>
      <c r="F17" s="979"/>
      <c r="G17" s="979"/>
      <c r="H17" s="979"/>
      <c r="I17" s="979"/>
      <c r="J17" s="987"/>
      <c r="K17" s="987"/>
      <c r="L17" s="987"/>
      <c r="M17" s="987"/>
      <c r="N17" s="1578"/>
      <c r="O17" s="985"/>
      <c r="P17" s="985"/>
      <c r="Q17" s="985"/>
      <c r="R17" s="985"/>
      <c r="S17" s="985"/>
      <c r="T17" s="985"/>
      <c r="U17" s="985"/>
      <c r="V17" s="985"/>
      <c r="W17" s="985"/>
      <c r="X17" s="985"/>
      <c r="Y17" s="949"/>
      <c r="Z17" s="242"/>
      <c r="AD17" s="990"/>
      <c r="AE17" s="990"/>
      <c r="AF17" s="990"/>
      <c r="AG17" s="990"/>
      <c r="AH17" s="801"/>
      <c r="AI17" s="991"/>
      <c r="AJ17" s="991"/>
      <c r="AK17" s="991"/>
      <c r="AL17" s="991"/>
      <c r="AM17" s="991"/>
      <c r="AN17" s="991"/>
      <c r="AO17" s="991"/>
      <c r="AP17" s="991"/>
      <c r="AQ17" s="991"/>
      <c r="AR17" s="991"/>
      <c r="AS17" s="991"/>
      <c r="AT17" s="991"/>
      <c r="AU17" s="991"/>
      <c r="AV17" s="991"/>
      <c r="AW17" s="991"/>
      <c r="AX17" s="991"/>
      <c r="AY17" s="991"/>
      <c r="AZ17" s="991"/>
      <c r="BA17" s="991"/>
      <c r="BB17" s="991"/>
      <c r="BC17" s="991"/>
      <c r="BD17" s="991"/>
      <c r="BE17" s="990"/>
      <c r="BF17" s="990"/>
      <c r="BG17" s="990"/>
      <c r="BH17" s="990"/>
      <c r="BI17" s="990"/>
      <c r="BJ17" s="990"/>
      <c r="BK17" s="990"/>
      <c r="BL17" s="801"/>
    </row>
    <row r="18" spans="2:64" x14ac:dyDescent="0.25">
      <c r="B18" s="776" t="s">
        <v>443</v>
      </c>
      <c r="C18" s="979"/>
      <c r="D18" s="979"/>
      <c r="E18" s="979"/>
      <c r="F18" s="979"/>
      <c r="G18" s="979"/>
      <c r="H18" s="979"/>
      <c r="I18" s="979"/>
      <c r="J18" s="987"/>
      <c r="K18" s="987"/>
      <c r="L18" s="987"/>
      <c r="M18" s="987"/>
      <c r="N18" s="1578"/>
      <c r="O18" s="985">
        <f>'Navius Reference_July252017'!O109</f>
        <v>0</v>
      </c>
      <c r="P18" s="985">
        <f>'Navius Reference_July252017'!P109</f>
        <v>0</v>
      </c>
      <c r="Q18" s="985">
        <f>'Navius Reference_July252017'!Q109</f>
        <v>0</v>
      </c>
      <c r="R18" s="985">
        <f>'Navius Reference_July252017'!R109</f>
        <v>0</v>
      </c>
      <c r="S18" s="985">
        <f>'Navius Reference_July252017'!S109</f>
        <v>0</v>
      </c>
      <c r="T18" s="985">
        <f>'Navius Reference_July252017'!T109</f>
        <v>0</v>
      </c>
      <c r="U18" s="985">
        <f>'Navius Reference_July252017'!U109</f>
        <v>0</v>
      </c>
      <c r="V18" s="985">
        <f>'Navius Reference_July252017'!V109</f>
        <v>0</v>
      </c>
      <c r="W18" s="985">
        <f>'Navius Reference_July252017'!W109</f>
        <v>0</v>
      </c>
      <c r="X18" s="985">
        <f>'Navius Reference_July252017'!X109</f>
        <v>0</v>
      </c>
      <c r="Y18" s="949"/>
      <c r="Z18" s="242"/>
      <c r="AD18" s="990"/>
      <c r="AE18" s="990"/>
      <c r="AF18" s="990"/>
      <c r="AG18" s="990"/>
      <c r="AH18" s="801"/>
      <c r="AI18" s="991"/>
      <c r="AJ18" s="991"/>
      <c r="AK18" s="991"/>
      <c r="AL18" s="991"/>
      <c r="AM18" s="991"/>
      <c r="AN18" s="991"/>
      <c r="AO18" s="991"/>
      <c r="AP18" s="991"/>
      <c r="AQ18" s="991"/>
      <c r="AR18" s="991"/>
      <c r="AS18" s="991"/>
      <c r="AT18" s="991"/>
      <c r="AU18" s="991"/>
      <c r="AV18" s="991"/>
      <c r="AW18" s="991"/>
      <c r="AX18" s="991"/>
      <c r="AY18" s="991"/>
      <c r="AZ18" s="991"/>
      <c r="BA18" s="991"/>
      <c r="BB18" s="991"/>
      <c r="BC18" s="991"/>
      <c r="BD18" s="991"/>
      <c r="BE18" s="990"/>
      <c r="BF18" s="990"/>
      <c r="BG18" s="990"/>
      <c r="BH18" s="990"/>
      <c r="BI18" s="990"/>
      <c r="BJ18" s="990"/>
      <c r="BK18" s="990"/>
      <c r="BL18" s="801"/>
    </row>
    <row r="19" spans="2:64" x14ac:dyDescent="0.25">
      <c r="B19" s="776" t="s">
        <v>13</v>
      </c>
      <c r="C19" s="979">
        <v>1.4407926532994921</v>
      </c>
      <c r="D19" s="979">
        <v>1.3989883823603455</v>
      </c>
      <c r="E19" s="979">
        <v>1.3438506309937492</v>
      </c>
      <c r="F19" s="979">
        <v>1.3480338098310654</v>
      </c>
      <c r="G19" s="979">
        <v>1.267473578453064</v>
      </c>
      <c r="H19" s="979">
        <v>1.2777360381483835</v>
      </c>
      <c r="I19" s="979">
        <v>1.2880815907623946</v>
      </c>
      <c r="J19" s="987">
        <v>1.2985109090805054</v>
      </c>
      <c r="K19" s="987">
        <v>1.3083438644804923</v>
      </c>
      <c r="L19" s="987">
        <v>1.3182512797954649</v>
      </c>
      <c r="M19" s="987">
        <v>1.3282337188720703</v>
      </c>
      <c r="N19" s="1578">
        <v>1.3282337188720703</v>
      </c>
      <c r="O19" s="986">
        <f>'Navius Reference_July252017'!O110</f>
        <v>1.3272527517286064</v>
      </c>
      <c r="P19" s="986">
        <f>'Navius Reference_July252017'!P110</f>
        <v>1.3254137642854384</v>
      </c>
      <c r="Q19" s="986">
        <f>'Navius Reference_July252017'!Q110</f>
        <v>1.3235773248684937</v>
      </c>
      <c r="R19" s="986">
        <f>'Navius Reference_July252017'!R110</f>
        <v>1.3217434299473305</v>
      </c>
      <c r="S19" s="986">
        <f>'Navius Reference_July252017'!S110</f>
        <v>1.3199120759963989</v>
      </c>
      <c r="T19" s="986">
        <f>'Navius Reference_July252017'!T110</f>
        <v>1.3190992124685561</v>
      </c>
      <c r="U19" s="986">
        <f>'Navius Reference_July252017'!U110</f>
        <v>1.3182868495400539</v>
      </c>
      <c r="V19" s="986">
        <f>'Navius Reference_July252017'!V110</f>
        <v>1.3174749869025999</v>
      </c>
      <c r="W19" s="986">
        <f>'Navius Reference_July252017'!W110</f>
        <v>1.3166636242480914</v>
      </c>
      <c r="X19" s="986">
        <f>'Navius Reference_July252017'!X110</f>
        <v>1.3158527612686157</v>
      </c>
      <c r="Y19" s="950"/>
      <c r="Z19" s="287"/>
      <c r="AD19" s="992"/>
      <c r="AE19" s="992"/>
      <c r="AF19" s="992"/>
      <c r="AG19" s="992"/>
      <c r="AH19" s="801"/>
      <c r="AI19" s="991"/>
      <c r="AJ19" s="991"/>
      <c r="AK19" s="991"/>
      <c r="AL19" s="991"/>
      <c r="AM19" s="991"/>
      <c r="AN19" s="991"/>
      <c r="AO19" s="991"/>
      <c r="AP19" s="991"/>
      <c r="AQ19" s="991"/>
      <c r="AR19" s="991"/>
      <c r="AS19" s="991"/>
      <c r="AT19" s="991"/>
      <c r="AU19" s="991"/>
      <c r="AV19" s="991"/>
      <c r="AW19" s="991"/>
      <c r="AX19" s="991"/>
      <c r="AY19" s="991"/>
      <c r="AZ19" s="991"/>
      <c r="BA19" s="991"/>
      <c r="BB19" s="991"/>
      <c r="BC19" s="991"/>
      <c r="BD19" s="991"/>
      <c r="BE19" s="990"/>
      <c r="BF19" s="990"/>
      <c r="BG19" s="990"/>
      <c r="BH19" s="990"/>
      <c r="BI19" s="990"/>
      <c r="BJ19" s="990"/>
      <c r="BK19" s="990"/>
      <c r="BL19" s="801"/>
    </row>
    <row r="20" spans="2:64" x14ac:dyDescent="0.25">
      <c r="B20" s="774" t="s">
        <v>460</v>
      </c>
      <c r="C20" s="979"/>
      <c r="D20" s="979"/>
      <c r="E20" s="979"/>
      <c r="F20" s="979"/>
      <c r="G20" s="979"/>
      <c r="H20" s="979"/>
      <c r="I20" s="979"/>
      <c r="J20" s="987">
        <v>5.4117183032658893</v>
      </c>
      <c r="K20" s="987">
        <v>5.3633542114588604</v>
      </c>
      <c r="L20" s="987">
        <v>5.3154223456557066</v>
      </c>
      <c r="M20" s="987">
        <v>5.26791884308735</v>
      </c>
      <c r="N20" s="1578">
        <v>5.26791884308735</v>
      </c>
      <c r="O20" s="985"/>
      <c r="P20" s="985"/>
      <c r="Q20" s="985"/>
      <c r="R20" s="985"/>
      <c r="S20" s="985"/>
      <c r="T20" s="985"/>
      <c r="U20" s="985"/>
      <c r="V20" s="985"/>
      <c r="W20" s="985"/>
      <c r="X20" s="985"/>
      <c r="Y20" s="949"/>
      <c r="Z20" s="777" t="s">
        <v>491</v>
      </c>
      <c r="AD20" s="990"/>
      <c r="AE20" s="990"/>
      <c r="AF20" s="990"/>
      <c r="AG20" s="990"/>
      <c r="AH20" s="801"/>
      <c r="AI20" s="991"/>
      <c r="AJ20" s="991"/>
      <c r="AK20" s="991"/>
      <c r="AL20" s="991"/>
      <c r="AM20" s="991"/>
      <c r="AN20" s="991"/>
      <c r="AO20" s="991"/>
      <c r="AP20" s="991"/>
      <c r="AQ20" s="991"/>
      <c r="AR20" s="991"/>
      <c r="AS20" s="991"/>
      <c r="AT20" s="991"/>
      <c r="AU20" s="991"/>
      <c r="AV20" s="991"/>
      <c r="AW20" s="991"/>
      <c r="AX20" s="991"/>
      <c r="AY20" s="991"/>
      <c r="AZ20" s="991"/>
      <c r="BA20" s="991"/>
      <c r="BB20" s="991"/>
      <c r="BC20" s="991"/>
      <c r="BD20" s="991"/>
      <c r="BE20" s="992"/>
      <c r="BF20" s="992"/>
      <c r="BG20" s="992"/>
      <c r="BH20" s="992"/>
      <c r="BI20" s="992"/>
      <c r="BJ20" s="992"/>
      <c r="BK20" s="992"/>
      <c r="BL20" s="801"/>
    </row>
    <row r="21" spans="2:64" x14ac:dyDescent="0.25">
      <c r="B21" s="776" t="s">
        <v>445</v>
      </c>
      <c r="C21" s="979"/>
      <c r="D21" s="979"/>
      <c r="E21" s="979"/>
      <c r="F21" s="979"/>
      <c r="G21" s="979"/>
      <c r="H21" s="979"/>
      <c r="I21" s="979"/>
      <c r="J21" s="987"/>
      <c r="K21" s="987"/>
      <c r="L21" s="987"/>
      <c r="M21" s="987"/>
      <c r="N21" s="1578"/>
      <c r="O21" s="1571">
        <f>'Navius Reference_July252017'!O146</f>
        <v>-1.9539925233402755E-14</v>
      </c>
      <c r="P21" s="1571">
        <f>'Navius Reference_July252017'!P146</f>
        <v>2.3092638912203256E-14</v>
      </c>
      <c r="Q21" s="1571">
        <f>'Navius Reference_July252017'!Q146</f>
        <v>0</v>
      </c>
      <c r="R21" s="1571">
        <f>'Navius Reference_July252017'!R146</f>
        <v>0</v>
      </c>
      <c r="S21" s="1571">
        <f>'Navius Reference_July252017'!S146</f>
        <v>0</v>
      </c>
      <c r="T21" s="1571">
        <f>'Navius Reference_July252017'!T146</f>
        <v>0</v>
      </c>
      <c r="U21" s="1571">
        <f>'Navius Reference_July252017'!U146</f>
        <v>4.0856207306205761E-14</v>
      </c>
      <c r="V21" s="1571">
        <f>'Navius Reference_July252017'!V146</f>
        <v>1.4210854715202004E-14</v>
      </c>
      <c r="W21" s="1571">
        <f>'Navius Reference_July252017'!W146</f>
        <v>0</v>
      </c>
      <c r="X21" s="1571">
        <f>'Navius Reference_July252017'!X146</f>
        <v>0</v>
      </c>
      <c r="Y21" s="949"/>
      <c r="Z21" s="777"/>
      <c r="AD21" s="990"/>
      <c r="AE21" s="990"/>
      <c r="AF21" s="990"/>
      <c r="AG21" s="990"/>
      <c r="AH21" s="801"/>
      <c r="AI21" s="991"/>
      <c r="AJ21" s="991"/>
      <c r="AK21" s="991"/>
      <c r="AL21" s="991"/>
      <c r="AM21" s="991"/>
      <c r="AN21" s="991"/>
      <c r="AO21" s="991"/>
      <c r="AP21" s="991"/>
      <c r="AQ21" s="991"/>
      <c r="AR21" s="991"/>
      <c r="AS21" s="991"/>
      <c r="AT21" s="991"/>
      <c r="AU21" s="991"/>
      <c r="AV21" s="991"/>
      <c r="AW21" s="991"/>
      <c r="AX21" s="991"/>
      <c r="AY21" s="991"/>
      <c r="AZ21" s="991"/>
      <c r="BA21" s="991"/>
      <c r="BB21" s="991"/>
      <c r="BC21" s="991"/>
      <c r="BD21" s="991"/>
      <c r="BE21" s="992"/>
      <c r="BF21" s="992"/>
      <c r="BG21" s="992"/>
      <c r="BH21" s="992"/>
      <c r="BI21" s="992"/>
      <c r="BJ21" s="992"/>
      <c r="BK21" s="992"/>
      <c r="BL21" s="801"/>
    </row>
    <row r="22" spans="2:64" x14ac:dyDescent="0.25">
      <c r="B22" s="776" t="s">
        <v>446</v>
      </c>
      <c r="C22" s="979"/>
      <c r="D22" s="979"/>
      <c r="E22" s="979"/>
      <c r="F22" s="979"/>
      <c r="G22" s="979"/>
      <c r="H22" s="979"/>
      <c r="I22" s="979"/>
      <c r="J22" s="987"/>
      <c r="K22" s="987"/>
      <c r="L22" s="987"/>
      <c r="M22" s="987"/>
      <c r="N22" s="1578"/>
      <c r="O22" s="985">
        <f>'Navius Reference_July252017'!O120</f>
        <v>3.9078462330709938</v>
      </c>
      <c r="P22" s="985">
        <f>'Navius Reference_July252017'!P120</f>
        <v>3.9661687237069994</v>
      </c>
      <c r="Q22" s="985">
        <f>'Navius Reference_July252017'!Q120</f>
        <v>4.025361645959582</v>
      </c>
      <c r="R22" s="985">
        <f>'Navius Reference_July252017'!R120</f>
        <v>4.0854379905496607</v>
      </c>
      <c r="S22" s="985">
        <f>'Navius Reference_July252017'!S120</f>
        <v>4.1464109420776367</v>
      </c>
      <c r="T22" s="985">
        <f>'Navius Reference_July252017'!T120</f>
        <v>4.1931172042540545</v>
      </c>
      <c r="U22" s="985">
        <f>'Navius Reference_July252017'!U120</f>
        <v>4.2403495780380691</v>
      </c>
      <c r="V22" s="985">
        <f>'Navius Reference_July252017'!V120</f>
        <v>4.2881139896890454</v>
      </c>
      <c r="W22" s="985">
        <f>'Navius Reference_July252017'!W120</f>
        <v>4.3364164322212924</v>
      </c>
      <c r="X22" s="985">
        <f>'Navius Reference_July252017'!X120</f>
        <v>4.3852629661560059</v>
      </c>
      <c r="Y22" s="949"/>
      <c r="Z22" s="777"/>
      <c r="AD22" s="990"/>
      <c r="AE22" s="990"/>
      <c r="AF22" s="990"/>
      <c r="AG22" s="990"/>
      <c r="AH22" s="801"/>
      <c r="AI22" s="991"/>
      <c r="AJ22" s="991"/>
      <c r="AK22" s="991"/>
      <c r="AL22" s="991"/>
      <c r="AM22" s="991"/>
      <c r="AN22" s="991"/>
      <c r="AO22" s="991"/>
      <c r="AP22" s="991"/>
      <c r="AQ22" s="991"/>
      <c r="AR22" s="991"/>
      <c r="AS22" s="991"/>
      <c r="AT22" s="991"/>
      <c r="AU22" s="991"/>
      <c r="AV22" s="991"/>
      <c r="AW22" s="991"/>
      <c r="AX22" s="991"/>
      <c r="AY22" s="991"/>
      <c r="AZ22" s="991"/>
      <c r="BA22" s="991"/>
      <c r="BB22" s="991"/>
      <c r="BC22" s="991"/>
      <c r="BD22" s="991"/>
      <c r="BE22" s="992"/>
      <c r="BF22" s="992"/>
      <c r="BG22" s="992"/>
      <c r="BH22" s="992"/>
      <c r="BI22" s="992"/>
      <c r="BJ22" s="992"/>
      <c r="BK22" s="992"/>
      <c r="BL22" s="801"/>
    </row>
    <row r="23" spans="2:64" x14ac:dyDescent="0.25">
      <c r="B23" s="776" t="s">
        <v>35</v>
      </c>
      <c r="C23" s="979">
        <v>9.2617615999999986E-2</v>
      </c>
      <c r="D23" s="979">
        <v>9.8201560000000007E-2</v>
      </c>
      <c r="E23" s="979">
        <v>0.12523462800000001</v>
      </c>
      <c r="F23" s="979">
        <v>0.11147204200000001</v>
      </c>
      <c r="G23" s="979">
        <v>1.6015083789825439</v>
      </c>
      <c r="H23" s="979">
        <v>1.7121787075834989</v>
      </c>
      <c r="I23" s="979">
        <v>1.8304967773972876</v>
      </c>
      <c r="J23" s="987">
        <v>1.9569910764694214</v>
      </c>
      <c r="K23" s="987">
        <v>1.9566695161816621</v>
      </c>
      <c r="L23" s="987">
        <v>1.9563480087306375</v>
      </c>
      <c r="M23" s="987">
        <v>1.956026554107666</v>
      </c>
      <c r="N23" s="1578">
        <v>1.956026554107666</v>
      </c>
      <c r="O23" s="986"/>
      <c r="P23" s="986"/>
      <c r="Q23" s="986"/>
      <c r="R23" s="986"/>
      <c r="S23" s="986"/>
      <c r="T23" s="986"/>
      <c r="U23" s="986"/>
      <c r="V23" s="986"/>
      <c r="W23" s="986"/>
      <c r="X23" s="986"/>
      <c r="Y23" s="950"/>
      <c r="AD23" s="992"/>
      <c r="AE23" s="992"/>
      <c r="AF23" s="992"/>
      <c r="AG23" s="992"/>
      <c r="AH23" s="801"/>
      <c r="AI23" s="991"/>
      <c r="AJ23" s="991"/>
      <c r="AK23" s="991"/>
      <c r="AL23" s="991"/>
      <c r="AM23" s="991"/>
      <c r="AN23" s="991"/>
      <c r="AO23" s="991"/>
      <c r="AP23" s="991"/>
      <c r="AQ23" s="991"/>
      <c r="AR23" s="991"/>
      <c r="AS23" s="991"/>
      <c r="AT23" s="991"/>
      <c r="AU23" s="991"/>
      <c r="AV23" s="991"/>
      <c r="AW23" s="991"/>
      <c r="AX23" s="991"/>
      <c r="AY23" s="991"/>
      <c r="AZ23" s="991"/>
      <c r="BA23" s="991"/>
      <c r="BB23" s="991"/>
      <c r="BC23" s="991"/>
      <c r="BD23" s="991"/>
      <c r="BE23" s="990"/>
      <c r="BF23" s="990"/>
      <c r="BG23" s="990"/>
      <c r="BH23" s="990"/>
      <c r="BI23" s="990"/>
      <c r="BJ23" s="990"/>
      <c r="BK23" s="990"/>
      <c r="BL23" s="801"/>
    </row>
    <row r="24" spans="2:64" x14ac:dyDescent="0.25">
      <c r="B24" s="774" t="s">
        <v>449</v>
      </c>
      <c r="C24" s="979">
        <v>10.568463080323705</v>
      </c>
      <c r="D24" s="979">
        <v>9.9956420702438074</v>
      </c>
      <c r="E24" s="979">
        <v>9.8713688043518335</v>
      </c>
      <c r="F24" s="979">
        <v>10.296296437414188</v>
      </c>
      <c r="G24" s="979">
        <v>9.8999996185302734</v>
      </c>
      <c r="H24" s="979">
        <v>9.8999996185302734</v>
      </c>
      <c r="I24" s="979">
        <v>9.8999996185302734</v>
      </c>
      <c r="J24" s="988">
        <v>9.1999998092651367</v>
      </c>
      <c r="K24" s="988">
        <v>9.1999998092651367</v>
      </c>
      <c r="L24" s="988">
        <v>9.1999998092651367</v>
      </c>
      <c r="M24" s="988">
        <v>9.1999998092651367</v>
      </c>
      <c r="N24" s="1578">
        <v>9.1999998092651367</v>
      </c>
      <c r="O24" s="986">
        <f>'Navius Reference_July252017'!O124</f>
        <v>8.6265770898701959</v>
      </c>
      <c r="P24" s="986">
        <f>'Navius Reference_July252017'!P124</f>
        <v>8.6259312132696078</v>
      </c>
      <c r="Q24" s="986">
        <f>'Navius Reference_July252017'!Q124</f>
        <v>8.6252853850261584</v>
      </c>
      <c r="R24" s="986">
        <f>'Navius Reference_July252017'!R124</f>
        <v>8.6246396051362257</v>
      </c>
      <c r="S24" s="986">
        <f>'Navius Reference_July252017'!S124</f>
        <v>8.6239938735961914</v>
      </c>
      <c r="T24" s="986">
        <f>'Navius Reference_July252017'!T124</f>
        <v>8.6234315138824922</v>
      </c>
      <c r="U24" s="986">
        <f>'Navius Reference_July252017'!U124</f>
        <v>8.6228691908395572</v>
      </c>
      <c r="V24" s="986">
        <f>'Navius Reference_July252017'!V124</f>
        <v>8.6223069044649954</v>
      </c>
      <c r="W24" s="986">
        <f>'Navius Reference_July252017'!W124</f>
        <v>8.6217446547564158</v>
      </c>
      <c r="X24" s="986">
        <f>'Navius Reference_July252017'!X124</f>
        <v>8.6211824417114258</v>
      </c>
      <c r="Y24" s="950"/>
      <c r="AD24" s="992"/>
      <c r="AE24" s="992"/>
      <c r="AF24" s="992"/>
      <c r="AG24" s="992"/>
      <c r="AH24" s="801"/>
      <c r="AI24" s="991"/>
      <c r="AJ24" s="991"/>
      <c r="AK24" s="991"/>
      <c r="AL24" s="991"/>
      <c r="AM24" s="991"/>
      <c r="AN24" s="991"/>
      <c r="AO24" s="991"/>
      <c r="AP24" s="991"/>
      <c r="AQ24" s="991"/>
      <c r="AR24" s="991"/>
      <c r="AS24" s="991"/>
      <c r="AT24" s="991"/>
      <c r="AU24" s="991"/>
      <c r="AV24" s="991"/>
      <c r="AW24" s="991"/>
      <c r="AX24" s="991"/>
      <c r="AY24" s="991"/>
      <c r="AZ24" s="991"/>
      <c r="BA24" s="991"/>
      <c r="BB24" s="991"/>
      <c r="BC24" s="991"/>
      <c r="BD24" s="991"/>
      <c r="BE24" s="992"/>
      <c r="BF24" s="992"/>
      <c r="BG24" s="992"/>
      <c r="BH24" s="992"/>
      <c r="BI24" s="992"/>
      <c r="BJ24" s="992"/>
      <c r="BK24" s="992"/>
      <c r="BL24" s="801"/>
    </row>
    <row r="25" spans="2:64" x14ac:dyDescent="0.25">
      <c r="B25" s="778" t="s">
        <v>447</v>
      </c>
      <c r="C25" s="979">
        <v>9.1174527201828681</v>
      </c>
      <c r="D25" s="979">
        <v>9.2778846717353911</v>
      </c>
      <c r="E25" s="979">
        <v>9.2233690480127777</v>
      </c>
      <c r="F25" s="979">
        <v>9.0363657341448818</v>
      </c>
      <c r="G25" s="979">
        <v>9.1999998092651367</v>
      </c>
      <c r="H25" s="979">
        <v>9.1999998092651367</v>
      </c>
      <c r="I25" s="979">
        <v>9.1999998092651367</v>
      </c>
      <c r="J25" s="988">
        <v>9.8999996185302734</v>
      </c>
      <c r="K25" s="988">
        <v>9.8999996185302734</v>
      </c>
      <c r="L25" s="988">
        <v>9.8999996185302734</v>
      </c>
      <c r="M25" s="988">
        <v>9.8999996185302734</v>
      </c>
      <c r="N25" s="1578">
        <v>9.8999996185302734</v>
      </c>
      <c r="O25" s="986">
        <f>('Navius Reference_July252017'!O122+'Navius Reference_July252017'!O123)</f>
        <v>9.2252687948597476</v>
      </c>
      <c r="P25" s="986">
        <f>('Navius Reference_July252017'!P122+'Navius Reference_July252017'!P123)</f>
        <v>9.1866011132532108</v>
      </c>
      <c r="Q25" s="986">
        <f>('Navius Reference_July252017'!Q122+'Navius Reference_July252017'!Q123)</f>
        <v>9.1481753472357727</v>
      </c>
      <c r="R25" s="986">
        <f>('Navius Reference_July252017'!R122+'Navius Reference_July252017'!R123)</f>
        <v>9.1099897192060784</v>
      </c>
      <c r="S25" s="986">
        <f>('Navius Reference_July252017'!S122+'Navius Reference_July252017'!S123)</f>
        <v>9.0720424652099609</v>
      </c>
      <c r="T25" s="986">
        <f>('Navius Reference_July252017'!T122+'Navius Reference_July252017'!T123)</f>
        <v>9.0465586315601243</v>
      </c>
      <c r="U25" s="986">
        <f>('Navius Reference_July252017'!U122+'Navius Reference_July252017'!U123)</f>
        <v>9.0212376241987293</v>
      </c>
      <c r="V25" s="986">
        <f>('Navius Reference_July252017'!V122+'Navius Reference_July252017'!V123)</f>
        <v>8.9960783498217793</v>
      </c>
      <c r="W25" s="986">
        <f>('Navius Reference_July252017'!W122+'Navius Reference_July252017'!W123)</f>
        <v>8.9710797224798142</v>
      </c>
      <c r="X25" s="986">
        <f>('Navius Reference_July252017'!X122+'Navius Reference_July252017'!X123)</f>
        <v>8.9462406635284424</v>
      </c>
      <c r="Y25" s="950"/>
      <c r="AD25" s="992"/>
      <c r="AE25" s="992"/>
      <c r="AF25" s="992"/>
      <c r="AG25" s="992"/>
      <c r="AH25" s="801"/>
      <c r="AI25" s="991"/>
      <c r="AJ25" s="991"/>
      <c r="AK25" s="991"/>
      <c r="AL25" s="991"/>
      <c r="AM25" s="991"/>
      <c r="AN25" s="991"/>
      <c r="AO25" s="991"/>
      <c r="AP25" s="991"/>
      <c r="AQ25" s="991"/>
      <c r="AR25" s="991"/>
      <c r="AS25" s="991"/>
      <c r="AT25" s="991"/>
      <c r="AU25" s="991"/>
      <c r="AV25" s="991"/>
      <c r="AW25" s="991"/>
      <c r="AX25" s="991"/>
      <c r="AY25" s="991"/>
      <c r="AZ25" s="991"/>
      <c r="BA25" s="991"/>
      <c r="BB25" s="991"/>
      <c r="BC25" s="991"/>
      <c r="BD25" s="991"/>
      <c r="BE25" s="992"/>
      <c r="BF25" s="992"/>
      <c r="BG25" s="992"/>
      <c r="BH25" s="992"/>
      <c r="BI25" s="992"/>
      <c r="BJ25" s="992"/>
      <c r="BK25" s="992"/>
      <c r="BL25" s="801"/>
    </row>
    <row r="26" spans="2:64" s="779" customFormat="1" ht="12.75" x14ac:dyDescent="0.2">
      <c r="C26" s="980">
        <f t="shared" ref="C26:X26" si="2">SUM(C15:C25)</f>
        <v>24.238561669196038</v>
      </c>
      <c r="D26" s="980">
        <f t="shared" si="2"/>
        <v>23.441116647301456</v>
      </c>
      <c r="E26" s="980">
        <f t="shared" si="2"/>
        <v>23.764695972851555</v>
      </c>
      <c r="F26" s="980">
        <f t="shared" si="2"/>
        <v>24.300895732824969</v>
      </c>
      <c r="G26" s="980">
        <f t="shared" si="2"/>
        <v>25.168432593345642</v>
      </c>
      <c r="H26" s="980">
        <f t="shared" si="2"/>
        <v>25.346813094867585</v>
      </c>
      <c r="I26" s="980">
        <f t="shared" si="2"/>
        <v>25.533955932344391</v>
      </c>
      <c r="J26" s="980">
        <f t="shared" si="2"/>
        <v>31.142127090993245</v>
      </c>
      <c r="K26" s="980">
        <f>SUM(K15:K25)</f>
        <v>31.125025345358726</v>
      </c>
      <c r="L26" s="980">
        <f>SUM(L15:L25)</f>
        <v>31.108570521252112</v>
      </c>
      <c r="M26" s="980">
        <v>31.092760223206675</v>
      </c>
      <c r="N26" s="1574">
        <f>SUM(N15:N25)</f>
        <v>31.092760223206675</v>
      </c>
      <c r="O26" s="980">
        <f t="shared" si="2"/>
        <v>25.544672505459491</v>
      </c>
      <c r="P26" s="980">
        <f t="shared" si="2"/>
        <v>25.62030744524327</v>
      </c>
      <c r="Q26" s="980">
        <f t="shared" si="2"/>
        <v>25.698506788575827</v>
      </c>
      <c r="R26" s="980">
        <f t="shared" si="2"/>
        <v>25.779318709969907</v>
      </c>
      <c r="S26" s="980">
        <f t="shared" si="2"/>
        <v>25.862792551517487</v>
      </c>
      <c r="T26" s="980">
        <f t="shared" si="2"/>
        <v>25.946622000930486</v>
      </c>
      <c r="U26" s="980">
        <f t="shared" si="2"/>
        <v>26.032720100516972</v>
      </c>
      <c r="V26" s="980">
        <f t="shared" si="2"/>
        <v>26.121131752070628</v>
      </c>
      <c r="W26" s="980">
        <f t="shared" si="2"/>
        <v>26.21190296632134</v>
      </c>
      <c r="X26" s="980">
        <f t="shared" si="2"/>
        <v>26.305080890655518</v>
      </c>
      <c r="Y26" s="951"/>
      <c r="AD26" s="957"/>
      <c r="AE26" s="957"/>
      <c r="AF26" s="957"/>
      <c r="AG26" s="957"/>
      <c r="AH26" s="957"/>
      <c r="AI26" s="991"/>
      <c r="AJ26" s="991"/>
      <c r="AK26" s="991"/>
      <c r="AL26" s="991"/>
      <c r="AM26" s="991"/>
      <c r="AN26" s="991"/>
      <c r="AO26" s="991"/>
      <c r="AP26" s="991"/>
      <c r="AQ26" s="991"/>
      <c r="AR26" s="991"/>
      <c r="AS26" s="991"/>
      <c r="AT26" s="991"/>
      <c r="AU26" s="991"/>
      <c r="AV26" s="991"/>
      <c r="AW26" s="991"/>
      <c r="AX26" s="991"/>
      <c r="AY26" s="991"/>
      <c r="AZ26" s="991"/>
      <c r="BA26" s="991"/>
      <c r="BB26" s="991"/>
      <c r="BC26" s="991"/>
      <c r="BD26" s="991"/>
      <c r="BE26" s="992"/>
      <c r="BF26" s="992"/>
      <c r="BG26" s="992"/>
      <c r="BH26" s="992"/>
      <c r="BI26" s="992"/>
      <c r="BJ26" s="992"/>
      <c r="BK26" s="992"/>
      <c r="BL26" s="957"/>
    </row>
    <row r="27" spans="2:64" x14ac:dyDescent="0.25">
      <c r="C27" s="173"/>
      <c r="D27" s="173"/>
      <c r="E27" s="173"/>
      <c r="F27" s="173"/>
      <c r="G27" s="801"/>
      <c r="H27" s="805"/>
      <c r="I27" s="805"/>
      <c r="J27" s="806" t="s">
        <v>459</v>
      </c>
      <c r="K27" s="804"/>
      <c r="L27" s="804"/>
      <c r="M27" s="804"/>
      <c r="N27" s="1279"/>
      <c r="O27" s="1624" t="s">
        <v>610</v>
      </c>
      <c r="P27" s="1624"/>
      <c r="Q27" s="1624"/>
      <c r="R27" s="1624"/>
      <c r="S27" s="1624"/>
      <c r="T27" s="1624"/>
      <c r="U27" s="1624"/>
      <c r="V27" s="1624"/>
      <c r="W27" s="1624"/>
      <c r="X27" s="1624"/>
      <c r="Y27" s="946"/>
      <c r="AD27" s="801"/>
      <c r="AE27" s="801"/>
      <c r="AF27" s="801"/>
      <c r="AG27" s="801"/>
      <c r="AH27" s="801"/>
      <c r="AI27" s="801"/>
      <c r="AJ27" s="801"/>
      <c r="AK27" s="801"/>
      <c r="AL27" s="801"/>
      <c r="AM27" s="801"/>
      <c r="AN27" s="801"/>
      <c r="AO27" s="801"/>
      <c r="AP27" s="801"/>
      <c r="AQ27" s="801"/>
      <c r="AR27" s="801"/>
      <c r="AS27" s="801"/>
      <c r="AT27" s="801"/>
      <c r="AU27" s="801"/>
      <c r="AV27" s="801"/>
      <c r="AW27" s="801"/>
      <c r="AX27" s="801"/>
      <c r="AY27" s="801"/>
      <c r="AZ27" s="801"/>
      <c r="BA27" s="801"/>
      <c r="BB27" s="801"/>
      <c r="BC27" s="801"/>
      <c r="BD27" s="801"/>
      <c r="BE27" s="801"/>
      <c r="BF27" s="801"/>
      <c r="BG27" s="801"/>
      <c r="BH27" s="801"/>
      <c r="BI27" s="801"/>
      <c r="BJ27" s="801"/>
      <c r="BK27" s="801"/>
      <c r="BL27" s="801"/>
    </row>
    <row r="28" spans="2:64" x14ac:dyDescent="0.25">
      <c r="B28" s="1154" t="s">
        <v>486</v>
      </c>
      <c r="AD28" s="801"/>
      <c r="AE28" s="801"/>
      <c r="AF28" s="801"/>
      <c r="AG28" s="801"/>
      <c r="AH28" s="801"/>
      <c r="AI28" s="801"/>
      <c r="AJ28" s="801"/>
      <c r="AK28" s="801"/>
      <c r="AL28" s="801"/>
      <c r="AM28" s="801"/>
      <c r="AN28" s="801"/>
      <c r="AO28" s="801"/>
      <c r="AP28" s="801"/>
      <c r="AQ28" s="801"/>
      <c r="AR28" s="801"/>
      <c r="AS28" s="801"/>
      <c r="AT28" s="801"/>
      <c r="AU28" s="801"/>
      <c r="AV28" s="801"/>
      <c r="AW28" s="801"/>
      <c r="AX28" s="801"/>
      <c r="AY28" s="801"/>
      <c r="AZ28" s="801"/>
      <c r="BA28" s="801"/>
      <c r="BB28" s="801"/>
      <c r="BC28" s="801"/>
      <c r="BD28" s="801"/>
      <c r="BE28" s="801"/>
      <c r="BF28" s="801"/>
      <c r="BG28" s="801"/>
      <c r="BH28" s="801"/>
      <c r="BI28" s="801"/>
      <c r="BJ28" s="801"/>
      <c r="BK28" s="801"/>
      <c r="BL28" s="801"/>
    </row>
    <row r="29" spans="2:64" x14ac:dyDescent="0.25">
      <c r="C29" s="1625" t="s">
        <v>101</v>
      </c>
      <c r="D29" s="1625"/>
      <c r="E29" s="1625"/>
      <c r="F29" s="1625"/>
      <c r="G29" s="1626" t="s">
        <v>463</v>
      </c>
      <c r="H29" s="1626"/>
      <c r="I29" s="1626"/>
      <c r="J29" s="1626"/>
      <c r="K29" s="1626"/>
      <c r="L29" s="1626"/>
      <c r="M29" s="1626"/>
      <c r="N29" s="1626"/>
      <c r="O29" s="1626"/>
      <c r="P29" s="1626"/>
      <c r="Q29" s="1626"/>
      <c r="R29" s="1626"/>
      <c r="S29" s="1626"/>
      <c r="T29" s="1626"/>
      <c r="U29" s="1626"/>
      <c r="V29" s="1626"/>
      <c r="W29" s="1626"/>
      <c r="X29" s="1626"/>
      <c r="Y29" s="952"/>
      <c r="AD29" s="801"/>
      <c r="AE29" s="801"/>
      <c r="AF29" s="801"/>
      <c r="AG29" s="801"/>
      <c r="AH29" s="801"/>
      <c r="AI29" s="801"/>
      <c r="AJ29" s="801"/>
      <c r="AK29" s="801"/>
      <c r="AL29" s="801"/>
      <c r="AM29" s="801"/>
      <c r="AN29" s="801"/>
      <c r="AO29" s="801"/>
      <c r="AP29" s="801"/>
      <c r="AQ29" s="801"/>
      <c r="AR29" s="801"/>
      <c r="AS29" s="801"/>
      <c r="AT29" s="801"/>
      <c r="AU29" s="801"/>
      <c r="AV29" s="801"/>
      <c r="AW29" s="801"/>
      <c r="AX29" s="801"/>
      <c r="AY29" s="801"/>
      <c r="AZ29" s="801"/>
      <c r="BA29" s="801"/>
      <c r="BB29" s="801"/>
      <c r="BC29" s="801"/>
      <c r="BD29" s="801"/>
      <c r="BE29" s="801"/>
      <c r="BF29" s="801"/>
      <c r="BG29" s="801"/>
      <c r="BH29" s="801"/>
      <c r="BI29" s="801"/>
      <c r="BJ29" s="801"/>
      <c r="BK29" s="801"/>
      <c r="BL29" s="801"/>
    </row>
    <row r="30" spans="2:64" x14ac:dyDescent="0.25">
      <c r="B30" s="362"/>
      <c r="C30" s="769">
        <v>2010</v>
      </c>
      <c r="D30" s="769">
        <v>2011</v>
      </c>
      <c r="E30" s="769">
        <v>2012</v>
      </c>
      <c r="F30" s="769">
        <v>2013</v>
      </c>
      <c r="G30" s="769">
        <v>2014</v>
      </c>
      <c r="H30" s="769">
        <v>2015</v>
      </c>
      <c r="I30" s="769">
        <v>2016</v>
      </c>
      <c r="J30" s="770">
        <v>2017</v>
      </c>
      <c r="K30" s="770">
        <v>2018</v>
      </c>
      <c r="L30" s="770">
        <v>2019</v>
      </c>
      <c r="M30" s="770">
        <v>2020</v>
      </c>
      <c r="N30" s="1579">
        <v>2020</v>
      </c>
      <c r="O30" s="770">
        <v>2021</v>
      </c>
      <c r="P30" s="770">
        <v>2022</v>
      </c>
      <c r="Q30" s="770">
        <v>2023</v>
      </c>
      <c r="R30" s="770">
        <v>2024</v>
      </c>
      <c r="S30" s="770">
        <v>2025</v>
      </c>
      <c r="T30" s="770">
        <v>2026</v>
      </c>
      <c r="U30" s="770">
        <v>2027</v>
      </c>
      <c r="V30" s="770">
        <v>2028</v>
      </c>
      <c r="W30" s="770">
        <v>2029</v>
      </c>
      <c r="X30" s="770">
        <v>2030</v>
      </c>
      <c r="Y30" s="953"/>
      <c r="AD30" s="801"/>
      <c r="AE30" s="801"/>
      <c r="AF30" s="801"/>
      <c r="AG30" s="801"/>
      <c r="AH30" s="801"/>
      <c r="AI30" s="801"/>
      <c r="AJ30" s="801"/>
      <c r="AK30" s="801"/>
      <c r="AL30" s="801"/>
      <c r="AM30" s="801"/>
      <c r="AN30" s="801"/>
      <c r="AO30" s="801"/>
      <c r="AP30" s="801"/>
      <c r="AQ30" s="801"/>
      <c r="AR30" s="801"/>
      <c r="AS30" s="801"/>
      <c r="AT30" s="801"/>
      <c r="AU30" s="801"/>
      <c r="AV30" s="801"/>
      <c r="AW30" s="801"/>
      <c r="AX30" s="801"/>
      <c r="AY30" s="801"/>
      <c r="AZ30" s="801"/>
      <c r="BA30" s="801"/>
      <c r="BB30" s="801"/>
      <c r="BC30" s="801"/>
      <c r="BD30" s="801"/>
      <c r="BE30" s="801"/>
      <c r="BF30" s="801"/>
      <c r="BG30" s="801"/>
      <c r="BH30" s="801"/>
      <c r="BI30" s="801"/>
      <c r="BJ30" s="801"/>
      <c r="BK30" s="801"/>
      <c r="BL30" s="801"/>
    </row>
    <row r="31" spans="2:64" x14ac:dyDescent="0.25">
      <c r="B31" s="789" t="s">
        <v>462</v>
      </c>
      <c r="C31" s="842">
        <f t="shared" ref="C31:W31" si="3">C34/1000000</f>
        <v>29.568594999999998</v>
      </c>
      <c r="D31" s="842">
        <f t="shared" si="3"/>
        <v>30.181574999999999</v>
      </c>
      <c r="E31" s="842">
        <f t="shared" si="3"/>
        <v>30.908985000000001</v>
      </c>
      <c r="F31" s="842">
        <f t="shared" si="3"/>
        <v>28.411908</v>
      </c>
      <c r="G31" s="842">
        <f t="shared" si="3"/>
        <v>28.688124070619835</v>
      </c>
      <c r="H31" s="842">
        <f t="shared" si="3"/>
        <v>28.925179165733535</v>
      </c>
      <c r="I31" s="842">
        <f t="shared" si="3"/>
        <v>29.196001128480333</v>
      </c>
      <c r="J31" s="842">
        <f t="shared" si="3"/>
        <v>29.502350481872782</v>
      </c>
      <c r="K31" s="842">
        <f t="shared" si="3"/>
        <v>29.119064061200707</v>
      </c>
      <c r="L31" s="842">
        <f t="shared" si="3"/>
        <v>28.743845317554793</v>
      </c>
      <c r="M31" s="842">
        <f t="shared" si="3"/>
        <v>28.376472501034623</v>
      </c>
      <c r="N31" s="1580">
        <f t="shared" si="3"/>
        <v>33.329251359625466</v>
      </c>
      <c r="O31" s="842">
        <f>O34/1000000</f>
        <v>33.203826240544402</v>
      </c>
      <c r="P31" s="842">
        <f t="shared" si="3"/>
        <v>33.076346485908516</v>
      </c>
      <c r="Q31" s="842">
        <f t="shared" si="3"/>
        <v>32.946294009790115</v>
      </c>
      <c r="R31" s="842">
        <f t="shared" si="3"/>
        <v>32.813103286067957</v>
      </c>
      <c r="S31" s="842">
        <f t="shared" si="3"/>
        <v>32.088195036760077</v>
      </c>
      <c r="T31" s="842">
        <f t="shared" si="3"/>
        <v>32.676155972758117</v>
      </c>
      <c r="U31" s="842">
        <f t="shared" si="3"/>
        <v>31.496211511754229</v>
      </c>
      <c r="V31" s="842">
        <f t="shared" si="3"/>
        <v>30.900240941553523</v>
      </c>
      <c r="W31" s="842">
        <f t="shared" si="3"/>
        <v>30.300319780071241</v>
      </c>
      <c r="X31" s="842">
        <f>X34/1000000</f>
        <v>29.878360175054532</v>
      </c>
      <c r="Y31" s="954"/>
    </row>
    <row r="32" spans="2:64" x14ac:dyDescent="0.25">
      <c r="B32" s="790" t="s">
        <v>100</v>
      </c>
      <c r="C32" s="989">
        <f>(C6-C19-C23+C7)-C31</f>
        <v>47.324697505737518</v>
      </c>
      <c r="D32" s="989">
        <f t="shared" ref="D32:N32" si="4">(D6-D19-D23+D7)-D31</f>
        <v>49.344713290930443</v>
      </c>
      <c r="E32" s="989">
        <f t="shared" si="4"/>
        <v>47.583275070485712</v>
      </c>
      <c r="F32" s="989">
        <f t="shared" si="4"/>
        <v>50.473716294161733</v>
      </c>
      <c r="G32" s="989">
        <f t="shared" si="4"/>
        <v>42.210292090917335</v>
      </c>
      <c r="H32" s="989">
        <f t="shared" si="4"/>
        <v>42.76332704831394</v>
      </c>
      <c r="I32" s="989">
        <f t="shared" si="4"/>
        <v>43.315035535301021</v>
      </c>
      <c r="J32" s="989">
        <f t="shared" si="4"/>
        <v>43.865649727458731</v>
      </c>
      <c r="K32" s="989">
        <f t="shared" si="4"/>
        <v>44.188444364408625</v>
      </c>
      <c r="L32" s="989">
        <f t="shared" si="4"/>
        <v>44.516669878249765</v>
      </c>
      <c r="M32" s="989">
        <f t="shared" si="4"/>
        <v>44.850448759322276</v>
      </c>
      <c r="N32" s="1581">
        <f t="shared" si="4"/>
        <v>46.270193253235213</v>
      </c>
      <c r="O32" s="989">
        <f>(O6-O19-O21-O22-O23+O7)-O31</f>
        <v>45.022418165550775</v>
      </c>
      <c r="P32" s="989">
        <f t="shared" ref="P32:X32" si="5">(P6-P19-P21-P22-P23+P7)-P31</f>
        <v>45.696229355945491</v>
      </c>
      <c r="Q32" s="989">
        <f t="shared" si="5"/>
        <v>46.397212427797719</v>
      </c>
      <c r="R32" s="989">
        <f t="shared" si="5"/>
        <v>47.126225085330162</v>
      </c>
      <c r="S32" s="989">
        <f t="shared" si="5"/>
        <v>48.472148262300983</v>
      </c>
      <c r="T32" s="989">
        <f t="shared" si="5"/>
        <v>48.34131635121043</v>
      </c>
      <c r="U32" s="989">
        <f t="shared" si="5"/>
        <v>49.991160146685445</v>
      </c>
      <c r="V32" s="989">
        <f t="shared" si="5"/>
        <v>51.069941780336976</v>
      </c>
      <c r="W32" s="989">
        <f t="shared" si="5"/>
        <v>52.165730244698302</v>
      </c>
      <c r="X32" s="989">
        <f t="shared" si="5"/>
        <v>53.096761036206026</v>
      </c>
      <c r="Y32" s="920"/>
    </row>
    <row r="33" spans="1:62" x14ac:dyDescent="0.25">
      <c r="C33" s="1627" t="s">
        <v>103</v>
      </c>
      <c r="D33" s="1627"/>
      <c r="E33" s="1627"/>
      <c r="F33" s="1627"/>
      <c r="G33" s="1627"/>
      <c r="H33" s="1627"/>
      <c r="I33" s="1627"/>
      <c r="J33" s="1627"/>
      <c r="K33" s="1627"/>
      <c r="L33" s="1627"/>
      <c r="M33" s="1628"/>
      <c r="N33" s="1627"/>
      <c r="O33" s="1627"/>
      <c r="P33" s="1627"/>
      <c r="Q33" s="1627"/>
      <c r="R33" s="1627"/>
      <c r="S33" s="1627"/>
      <c r="T33" s="1627"/>
      <c r="U33" s="1627"/>
      <c r="V33" s="1627"/>
      <c r="W33" s="1627"/>
      <c r="X33" s="1627"/>
      <c r="Y33" s="952"/>
    </row>
    <row r="34" spans="1:62" s="814" customFormat="1" x14ac:dyDescent="0.25">
      <c r="A34" s="813"/>
      <c r="B34" s="815" t="s">
        <v>465</v>
      </c>
      <c r="C34" s="843">
        <v>29568595</v>
      </c>
      <c r="D34" s="843">
        <v>30181575</v>
      </c>
      <c r="E34" s="843">
        <v>30908985</v>
      </c>
      <c r="F34" s="843">
        <v>28411908</v>
      </c>
      <c r="G34" s="843">
        <v>28688124.070619836</v>
      </c>
      <c r="H34" s="843">
        <v>28925179.165733535</v>
      </c>
      <c r="I34" s="843">
        <v>29196001.128480334</v>
      </c>
      <c r="J34" s="843">
        <v>29502350.481872782</v>
      </c>
      <c r="K34" s="843">
        <v>29119064.061200708</v>
      </c>
      <c r="L34" s="843">
        <v>28743845.317554794</v>
      </c>
      <c r="M34" s="843">
        <v>28376472.501034625</v>
      </c>
      <c r="N34" s="1278">
        <f>'Allocation_Khalid Aug 2017'!F10*1000000</f>
        <v>33329251.359625466</v>
      </c>
      <c r="O34" s="1278">
        <f>'Allocation_Khalid Aug 2017'!G10*1000000</f>
        <v>33203826.240544401</v>
      </c>
      <c r="P34" s="1278">
        <f>'Allocation_Khalid Aug 2017'!H10*1000000</f>
        <v>33076346.485908516</v>
      </c>
      <c r="Q34" s="1278">
        <f>'Allocation_Khalid Aug 2017'!I10*1000000</f>
        <v>32946294.009790115</v>
      </c>
      <c r="R34" s="1278">
        <f>'Allocation_Khalid Aug 2017'!J10*1000000</f>
        <v>32813103.286067955</v>
      </c>
      <c r="S34" s="1278">
        <f>'Allocation_Khalid Aug 2017'!K10*1000000</f>
        <v>32088195.036760077</v>
      </c>
      <c r="T34" s="1278">
        <f>'Allocation_Khalid Aug 2017'!L10*1000000</f>
        <v>32676155.972758118</v>
      </c>
      <c r="U34" s="1278">
        <f>'Allocation_Khalid Aug 2017'!M10*1000000</f>
        <v>31496211.51175423</v>
      </c>
      <c r="V34" s="1278">
        <f>'Allocation_Khalid Aug 2017'!N10*1000000</f>
        <v>30900240.941553522</v>
      </c>
      <c r="W34" s="1278">
        <f>'Allocation_Khalid Aug 2017'!O10*1000000</f>
        <v>30300319.78007124</v>
      </c>
      <c r="X34" s="1278">
        <f>'Allocation_Khalid Aug 2017'!P10*1000000</f>
        <v>29878360.175054532</v>
      </c>
      <c r="Y34" s="955"/>
    </row>
    <row r="35" spans="1:62" s="811" customFormat="1" x14ac:dyDescent="0.25">
      <c r="A35" s="809"/>
      <c r="B35" s="810" t="s">
        <v>466</v>
      </c>
      <c r="C35" s="810">
        <f>BC80</f>
        <v>31.380570000000006</v>
      </c>
      <c r="D35" s="810">
        <f>BD80</f>
        <v>31.553200999999998</v>
      </c>
      <c r="E35" s="810">
        <f>BE80</f>
        <v>32.066291999999997</v>
      </c>
      <c r="F35" s="810">
        <f>BF80</f>
        <v>29.877814000000001</v>
      </c>
      <c r="G35" s="810">
        <f t="shared" ref="G35:X35" si="6">F35*G6/F6</f>
        <v>26.765653487802332</v>
      </c>
      <c r="H35" s="810">
        <f t="shared" si="6"/>
        <v>27.098685927264093</v>
      </c>
      <c r="I35" s="810">
        <f t="shared" si="6"/>
        <v>27.453967008654384</v>
      </c>
      <c r="J35" s="810">
        <f>I35*J6/I6</f>
        <v>27.833040087668703</v>
      </c>
      <c r="K35" s="810">
        <f t="shared" si="6"/>
        <v>27.533891160568956</v>
      </c>
      <c r="L35" s="810">
        <f t="shared" si="6"/>
        <v>27.239693257392815</v>
      </c>
      <c r="M35" s="810">
        <v>26.950337526818043</v>
      </c>
      <c r="N35" s="810">
        <f>L35*N6/L6</f>
        <v>32.356919043747617</v>
      </c>
      <c r="O35" s="810">
        <f t="shared" si="6"/>
        <v>32.843626390447668</v>
      </c>
      <c r="P35" s="810">
        <f t="shared" si="6"/>
        <v>33.341504315741602</v>
      </c>
      <c r="Q35" s="810">
        <f t="shared" si="6"/>
        <v>33.850789429020018</v>
      </c>
      <c r="R35" s="810">
        <f t="shared" si="6"/>
        <v>34.371723054010964</v>
      </c>
      <c r="S35" s="810">
        <f t="shared" si="6"/>
        <v>34.904551378712057</v>
      </c>
      <c r="T35" s="810">
        <f t="shared" si="6"/>
        <v>35.176340803243392</v>
      </c>
      <c r="U35" s="810">
        <f t="shared" si="6"/>
        <v>35.455245976492634</v>
      </c>
      <c r="V35" s="810">
        <f t="shared" si="6"/>
        <v>35.7413483304884</v>
      </c>
      <c r="W35" s="810">
        <f t="shared" si="6"/>
        <v>36.034731138561334</v>
      </c>
      <c r="X35" s="810">
        <f t="shared" si="6"/>
        <v>36.33547954105304</v>
      </c>
      <c r="Y35" s="956"/>
    </row>
    <row r="36" spans="1:62" s="809" customFormat="1" x14ac:dyDescent="0.25">
      <c r="B36" s="812"/>
      <c r="C36" s="812"/>
      <c r="D36" s="812"/>
      <c r="E36" s="812"/>
      <c r="F36" s="812"/>
      <c r="G36" s="812"/>
      <c r="H36" s="812"/>
      <c r="I36" s="812"/>
      <c r="J36" s="812"/>
      <c r="K36" s="812"/>
      <c r="L36" s="812"/>
      <c r="M36" s="812"/>
      <c r="N36" s="812"/>
      <c r="O36" s="812"/>
      <c r="P36" s="812"/>
      <c r="Q36" s="812"/>
      <c r="R36" s="812"/>
      <c r="S36" s="812"/>
      <c r="T36" s="812"/>
      <c r="U36" s="812"/>
      <c r="V36" s="812"/>
      <c r="W36" s="812"/>
      <c r="X36" s="812"/>
      <c r="Y36" s="956"/>
    </row>
    <row r="37" spans="1:62" s="788" customFormat="1" x14ac:dyDescent="0.25">
      <c r="A37" s="785"/>
    </row>
    <row r="38" spans="1:62" s="785" customFormat="1" x14ac:dyDescent="0.25">
      <c r="B38" s="1155" t="s">
        <v>521</v>
      </c>
    </row>
    <row r="39" spans="1:62" x14ac:dyDescent="0.25">
      <c r="B39" s="1269" t="s">
        <v>608</v>
      </c>
      <c r="C39" s="781">
        <v>2010</v>
      </c>
      <c r="D39" s="781">
        <v>2011</v>
      </c>
      <c r="E39" s="781">
        <v>2012</v>
      </c>
      <c r="F39" s="781">
        <v>2013</v>
      </c>
      <c r="G39" s="781">
        <v>2014</v>
      </c>
      <c r="H39" s="781">
        <v>2015</v>
      </c>
      <c r="I39" s="780">
        <v>2016</v>
      </c>
      <c r="J39" s="780">
        <v>2017</v>
      </c>
      <c r="K39" s="780">
        <v>2018</v>
      </c>
      <c r="L39" s="780">
        <v>2019</v>
      </c>
      <c r="M39" s="780">
        <v>2020</v>
      </c>
      <c r="N39" s="1582">
        <v>2020</v>
      </c>
      <c r="O39" s="780">
        <v>2021</v>
      </c>
      <c r="P39" s="780">
        <v>2022</v>
      </c>
      <c r="Q39" s="780">
        <v>2023</v>
      </c>
      <c r="R39" s="780">
        <v>2024</v>
      </c>
      <c r="S39" s="780">
        <v>2025</v>
      </c>
      <c r="T39" s="780">
        <v>2026</v>
      </c>
      <c r="U39" s="780">
        <v>2027</v>
      </c>
      <c r="V39" s="780">
        <v>2028</v>
      </c>
      <c r="W39" s="780">
        <v>2029</v>
      </c>
      <c r="X39" s="780">
        <v>2030</v>
      </c>
      <c r="Y39" s="957"/>
    </row>
    <row r="40" spans="1:62" s="764" customFormat="1" ht="12.75" x14ac:dyDescent="0.2">
      <c r="A40" s="816"/>
      <c r="B40" s="846" t="s">
        <v>96</v>
      </c>
      <c r="C40" s="847">
        <f t="shared" ref="C40:X40" si="7">C31</f>
        <v>29.568594999999998</v>
      </c>
      <c r="D40" s="847">
        <f t="shared" si="7"/>
        <v>30.181574999999999</v>
      </c>
      <c r="E40" s="847">
        <f t="shared" si="7"/>
        <v>30.908985000000001</v>
      </c>
      <c r="F40" s="847">
        <f t="shared" si="7"/>
        <v>28.411908</v>
      </c>
      <c r="G40" s="847">
        <f t="shared" si="7"/>
        <v>28.688124070619835</v>
      </c>
      <c r="H40" s="847">
        <f t="shared" si="7"/>
        <v>28.925179165733535</v>
      </c>
      <c r="I40" s="847">
        <f t="shared" si="7"/>
        <v>29.196001128480333</v>
      </c>
      <c r="J40" s="829">
        <f t="shared" si="7"/>
        <v>29.502350481872782</v>
      </c>
      <c r="K40" s="829">
        <f t="shared" si="7"/>
        <v>29.119064061200707</v>
      </c>
      <c r="L40" s="829">
        <f t="shared" si="7"/>
        <v>28.743845317554793</v>
      </c>
      <c r="M40" s="829">
        <f>M31</f>
        <v>28.376472501034623</v>
      </c>
      <c r="N40" s="1583">
        <f t="shared" si="7"/>
        <v>33.329251359625466</v>
      </c>
      <c r="O40" s="831">
        <f t="shared" si="7"/>
        <v>33.203826240544402</v>
      </c>
      <c r="P40" s="831">
        <f t="shared" si="7"/>
        <v>33.076346485908516</v>
      </c>
      <c r="Q40" s="831">
        <f t="shared" si="7"/>
        <v>32.946294009790115</v>
      </c>
      <c r="R40" s="831">
        <f t="shared" si="7"/>
        <v>32.813103286067957</v>
      </c>
      <c r="S40" s="831">
        <f t="shared" si="7"/>
        <v>32.088195036760077</v>
      </c>
      <c r="T40" s="831">
        <f t="shared" si="7"/>
        <v>32.676155972758117</v>
      </c>
      <c r="U40" s="831">
        <f t="shared" si="7"/>
        <v>31.496211511754229</v>
      </c>
      <c r="V40" s="831">
        <f t="shared" si="7"/>
        <v>30.900240941553523</v>
      </c>
      <c r="W40" s="831">
        <f t="shared" si="7"/>
        <v>30.300319780071241</v>
      </c>
      <c r="X40" s="831">
        <f t="shared" si="7"/>
        <v>29.878360175054532</v>
      </c>
      <c r="Y40" s="847"/>
    </row>
    <row r="41" spans="1:62" s="764" customFormat="1" ht="12.75" x14ac:dyDescent="0.2">
      <c r="A41" s="816"/>
      <c r="B41" s="846" t="s">
        <v>110</v>
      </c>
      <c r="C41" s="847">
        <f>C5</f>
        <v>19.802272114057871</v>
      </c>
      <c r="D41" s="847">
        <f t="shared" ref="D41:X41" si="8">D5</f>
        <v>14.218297326696581</v>
      </c>
      <c r="E41" s="847">
        <f t="shared" si="8"/>
        <v>14.154796364649654</v>
      </c>
      <c r="F41" s="847">
        <f t="shared" si="8"/>
        <v>10.890218042777901</v>
      </c>
      <c r="G41" s="847">
        <f t="shared" si="8"/>
        <v>11.203585624694824</v>
      </c>
      <c r="H41" s="847">
        <f t="shared" si="8"/>
        <v>9.1245328705612145</v>
      </c>
      <c r="I41" s="847">
        <f t="shared" si="8"/>
        <v>7.4312905613393676</v>
      </c>
      <c r="J41" s="829">
        <f t="shared" si="8"/>
        <v>6.480922986572784</v>
      </c>
      <c r="K41" s="829">
        <f t="shared" si="8"/>
        <v>6.480922986572784</v>
      </c>
      <c r="L41" s="829">
        <f t="shared" si="8"/>
        <v>6.480922986572784</v>
      </c>
      <c r="M41" s="829">
        <f>M5</f>
        <v>6.480922986572784</v>
      </c>
      <c r="N41" s="1583">
        <f t="shared" si="8"/>
        <v>3.8699999999999997</v>
      </c>
      <c r="O41" s="831">
        <f t="shared" si="8"/>
        <v>3.4206507935681891</v>
      </c>
      <c r="P41" s="831">
        <f t="shared" si="8"/>
        <v>3.7125233124675741</v>
      </c>
      <c r="Q41" s="831">
        <f t="shared" si="8"/>
        <v>4.0293003224798349</v>
      </c>
      <c r="R41" s="831">
        <f t="shared" si="8"/>
        <v>4.3731068392793846</v>
      </c>
      <c r="S41" s="831">
        <f t="shared" si="8"/>
        <v>4.7462491989135742</v>
      </c>
      <c r="T41" s="831">
        <f t="shared" si="8"/>
        <v>4.5497419455747279</v>
      </c>
      <c r="U41" s="831">
        <f t="shared" si="8"/>
        <v>4.3613706115684812</v>
      </c>
      <c r="V41" s="831">
        <f t="shared" si="8"/>
        <v>4.1807983483446565</v>
      </c>
      <c r="W41" s="831">
        <f t="shared" si="8"/>
        <v>4.0077022537727887</v>
      </c>
      <c r="X41" s="831">
        <f t="shared" si="8"/>
        <v>3.8417727947235107</v>
      </c>
      <c r="Y41" s="958"/>
      <c r="BB41" s="364" t="s">
        <v>69</v>
      </c>
    </row>
    <row r="42" spans="1:62" s="764" customFormat="1" ht="12.75" x14ac:dyDescent="0.2">
      <c r="A42" s="816"/>
      <c r="B42" s="846" t="s">
        <v>66</v>
      </c>
      <c r="C42" s="847">
        <f>(C8-C15-C16)</f>
        <v>57.407487290393703</v>
      </c>
      <c r="D42" s="847">
        <f t="shared" ref="D42:X42" si="9">(D8-D15-D16)</f>
        <v>57.464593212534183</v>
      </c>
      <c r="E42" s="847">
        <f t="shared" si="9"/>
        <v>54.489894225375245</v>
      </c>
      <c r="F42" s="847">
        <f t="shared" si="9"/>
        <v>56.697177784266955</v>
      </c>
      <c r="G42" s="847">
        <f t="shared" si="9"/>
        <v>58.268295288085938</v>
      </c>
      <c r="H42" s="847">
        <f t="shared" si="9"/>
        <v>59.314529379210505</v>
      </c>
      <c r="I42" s="847">
        <f t="shared" si="9"/>
        <v>60.379549085531437</v>
      </c>
      <c r="J42" s="829">
        <f t="shared" si="9"/>
        <v>61.463691711425781</v>
      </c>
      <c r="K42" s="829">
        <f t="shared" si="9"/>
        <v>61.859819941146142</v>
      </c>
      <c r="L42" s="829">
        <f t="shared" si="9"/>
        <v>62.258501183385142</v>
      </c>
      <c r="M42" s="829">
        <f>(M8-M15-M16)</f>
        <v>62.659751892089844</v>
      </c>
      <c r="N42" s="1583">
        <f t="shared" si="9"/>
        <v>55.996707379817963</v>
      </c>
      <c r="O42" s="831">
        <f t="shared" si="9"/>
        <v>56.271851653755327</v>
      </c>
      <c r="P42" s="831">
        <f t="shared" si="9"/>
        <v>55.536268310323791</v>
      </c>
      <c r="Q42" s="831">
        <f t="shared" si="9"/>
        <v>54.828976655203235</v>
      </c>
      <c r="R42" s="831">
        <f t="shared" si="9"/>
        <v>54.149118382450382</v>
      </c>
      <c r="S42" s="831">
        <f t="shared" si="9"/>
        <v>53.495862305164337</v>
      </c>
      <c r="T42" s="831">
        <f t="shared" si="9"/>
        <v>52.825337250394668</v>
      </c>
      <c r="U42" s="831">
        <f t="shared" si="9"/>
        <v>52.1954728608873</v>
      </c>
      <c r="V42" s="831">
        <f t="shared" si="9"/>
        <v>51.604826821626659</v>
      </c>
      <c r="W42" s="831">
        <f t="shared" si="9"/>
        <v>51.052014799124841</v>
      </c>
      <c r="X42" s="831">
        <f t="shared" si="9"/>
        <v>50.53570818901062</v>
      </c>
      <c r="Y42" s="847"/>
      <c r="BB42" s="764" t="s">
        <v>70</v>
      </c>
    </row>
    <row r="43" spans="1:62" s="764" customFormat="1" ht="12.75" x14ac:dyDescent="0.2">
      <c r="A43" s="816"/>
      <c r="B43" s="846" t="s">
        <v>67</v>
      </c>
      <c r="C43" s="847">
        <f t="shared" ref="C43:X43" si="10">C32</f>
        <v>47.324697505737518</v>
      </c>
      <c r="D43" s="847">
        <f t="shared" si="10"/>
        <v>49.344713290930443</v>
      </c>
      <c r="E43" s="847">
        <f t="shared" si="10"/>
        <v>47.583275070485712</v>
      </c>
      <c r="F43" s="847">
        <f t="shared" si="10"/>
        <v>50.473716294161733</v>
      </c>
      <c r="G43" s="847">
        <f t="shared" si="10"/>
        <v>42.210292090917335</v>
      </c>
      <c r="H43" s="847">
        <f t="shared" si="10"/>
        <v>42.76332704831394</v>
      </c>
      <c r="I43" s="847">
        <f t="shared" si="10"/>
        <v>43.315035535301021</v>
      </c>
      <c r="J43" s="829">
        <f t="shared" si="10"/>
        <v>43.865649727458731</v>
      </c>
      <c r="K43" s="829">
        <f t="shared" si="10"/>
        <v>44.188444364408625</v>
      </c>
      <c r="L43" s="829">
        <f t="shared" si="10"/>
        <v>44.516669878249765</v>
      </c>
      <c r="M43" s="829">
        <f>M32</f>
        <v>44.850448759322276</v>
      </c>
      <c r="N43" s="1583">
        <f t="shared" si="10"/>
        <v>46.270193253235213</v>
      </c>
      <c r="O43" s="831">
        <f t="shared" si="10"/>
        <v>45.022418165550775</v>
      </c>
      <c r="P43" s="831">
        <f t="shared" si="10"/>
        <v>45.696229355945491</v>
      </c>
      <c r="Q43" s="831">
        <f t="shared" si="10"/>
        <v>46.397212427797719</v>
      </c>
      <c r="R43" s="831">
        <f t="shared" si="10"/>
        <v>47.126225085330162</v>
      </c>
      <c r="S43" s="831">
        <f t="shared" si="10"/>
        <v>48.472148262300983</v>
      </c>
      <c r="T43" s="831">
        <f t="shared" si="10"/>
        <v>48.34131635121043</v>
      </c>
      <c r="U43" s="831">
        <f t="shared" si="10"/>
        <v>49.991160146685445</v>
      </c>
      <c r="V43" s="831">
        <f t="shared" si="10"/>
        <v>51.069941780336976</v>
      </c>
      <c r="W43" s="831">
        <f t="shared" si="10"/>
        <v>52.165730244698302</v>
      </c>
      <c r="X43" s="831">
        <f t="shared" si="10"/>
        <v>53.096761036206026</v>
      </c>
      <c r="Y43" s="847"/>
    </row>
    <row r="44" spans="1:62" s="764" customFormat="1" ht="12.75" x14ac:dyDescent="0.2">
      <c r="A44" s="816"/>
      <c r="B44" s="846" t="s">
        <v>523</v>
      </c>
      <c r="C44" s="847"/>
      <c r="D44" s="847"/>
      <c r="E44" s="847"/>
      <c r="F44" s="847"/>
      <c r="G44" s="847"/>
      <c r="H44" s="847"/>
      <c r="I44" s="847"/>
      <c r="J44" s="829">
        <f>J40+J43</f>
        <v>73.368000209331512</v>
      </c>
      <c r="K44" s="829"/>
      <c r="L44" s="829"/>
      <c r="M44" s="829"/>
      <c r="N44" s="1583"/>
      <c r="O44" s="831"/>
      <c r="P44" s="831"/>
      <c r="Q44" s="831"/>
      <c r="R44" s="831"/>
      <c r="S44" s="831"/>
      <c r="T44" s="831"/>
      <c r="U44" s="831"/>
      <c r="V44" s="831"/>
      <c r="W44" s="831"/>
      <c r="X44" s="831"/>
      <c r="Y44" s="847"/>
    </row>
    <row r="45" spans="1:62" s="764" customFormat="1" ht="12.75" x14ac:dyDescent="0.2">
      <c r="A45" s="816"/>
      <c r="B45" s="817" t="s">
        <v>68</v>
      </c>
      <c r="C45" s="818">
        <f t="shared" ref="C45:X45" si="11">SUM(C40:C43)</f>
        <v>154.10305191018909</v>
      </c>
      <c r="D45" s="818">
        <f t="shared" si="11"/>
        <v>151.20917883016119</v>
      </c>
      <c r="E45" s="818">
        <f t="shared" si="11"/>
        <v>147.13695066051062</v>
      </c>
      <c r="F45" s="818">
        <f t="shared" si="11"/>
        <v>146.47302012120659</v>
      </c>
      <c r="G45" s="818">
        <f t="shared" si="11"/>
        <v>140.37029707431793</v>
      </c>
      <c r="H45" s="818">
        <f t="shared" si="11"/>
        <v>140.12756846381922</v>
      </c>
      <c r="I45" s="818">
        <f t="shared" si="11"/>
        <v>140.32187631065216</v>
      </c>
      <c r="J45" s="837">
        <f t="shared" si="11"/>
        <v>141.31261490733007</v>
      </c>
      <c r="K45" s="837">
        <f t="shared" si="11"/>
        <v>141.64825135332825</v>
      </c>
      <c r="L45" s="837">
        <f t="shared" si="11"/>
        <v>141.99993936576249</v>
      </c>
      <c r="M45" s="837">
        <f>SUM(M40:M43)</f>
        <v>142.36759613901953</v>
      </c>
      <c r="N45" s="1584">
        <f t="shared" si="11"/>
        <v>139.46615199267865</v>
      </c>
      <c r="O45" s="830">
        <f t="shared" si="11"/>
        <v>137.91874685341867</v>
      </c>
      <c r="P45" s="830">
        <f t="shared" si="11"/>
        <v>138.02136746464538</v>
      </c>
      <c r="Q45" s="830">
        <f t="shared" si="11"/>
        <v>138.20178341527091</v>
      </c>
      <c r="R45" s="830">
        <f t="shared" si="11"/>
        <v>138.46155359312789</v>
      </c>
      <c r="S45" s="830">
        <f t="shared" si="11"/>
        <v>138.80245480313897</v>
      </c>
      <c r="T45" s="830">
        <f t="shared" si="11"/>
        <v>138.39255151993794</v>
      </c>
      <c r="U45" s="830">
        <f t="shared" si="11"/>
        <v>138.04421513089545</v>
      </c>
      <c r="V45" s="830">
        <f t="shared" si="11"/>
        <v>137.75580789186182</v>
      </c>
      <c r="W45" s="830">
        <f t="shared" si="11"/>
        <v>137.52576707766718</v>
      </c>
      <c r="X45" s="830">
        <f t="shared" si="11"/>
        <v>137.35260219499469</v>
      </c>
      <c r="Y45" s="847"/>
      <c r="BC45" s="764">
        <v>2010</v>
      </c>
      <c r="BD45" s="764">
        <v>2011</v>
      </c>
      <c r="BE45" s="764">
        <v>2012</v>
      </c>
      <c r="BF45" s="764">
        <v>2013</v>
      </c>
    </row>
    <row r="46" spans="1:62" s="764" customFormat="1" ht="12.75" x14ac:dyDescent="0.2">
      <c r="A46" s="816"/>
      <c r="B46" s="819" t="s">
        <v>106</v>
      </c>
      <c r="C46" s="820">
        <f>C26</f>
        <v>24.238561669196038</v>
      </c>
      <c r="D46" s="820">
        <f t="shared" ref="D46:I46" si="12">D26</f>
        <v>23.441116647301456</v>
      </c>
      <c r="E46" s="820">
        <f t="shared" si="12"/>
        <v>23.764695972851555</v>
      </c>
      <c r="F46" s="820">
        <f t="shared" si="12"/>
        <v>24.300895732824969</v>
      </c>
      <c r="G46" s="820">
        <f t="shared" si="12"/>
        <v>25.168432593345642</v>
      </c>
      <c r="H46" s="820">
        <f t="shared" si="12"/>
        <v>25.346813094867585</v>
      </c>
      <c r="I46" s="820">
        <f t="shared" si="12"/>
        <v>25.533955932344391</v>
      </c>
      <c r="J46" s="837">
        <f t="shared" ref="J46:O46" si="13">J26</f>
        <v>31.142127090993245</v>
      </c>
      <c r="K46" s="837">
        <f t="shared" si="13"/>
        <v>31.125025345358726</v>
      </c>
      <c r="L46" s="837">
        <f t="shared" si="13"/>
        <v>31.108570521252112</v>
      </c>
      <c r="M46" s="837">
        <f t="shared" si="13"/>
        <v>31.092760223206675</v>
      </c>
      <c r="N46" s="1584">
        <f t="shared" si="13"/>
        <v>31.092760223206675</v>
      </c>
      <c r="O46" s="830">
        <f t="shared" si="13"/>
        <v>25.544672505459491</v>
      </c>
      <c r="P46" s="830">
        <f t="shared" ref="P46:X46" si="14">P26</f>
        <v>25.62030744524327</v>
      </c>
      <c r="Q46" s="830">
        <f t="shared" si="14"/>
        <v>25.698506788575827</v>
      </c>
      <c r="R46" s="830">
        <f t="shared" si="14"/>
        <v>25.779318709969907</v>
      </c>
      <c r="S46" s="830">
        <f t="shared" si="14"/>
        <v>25.862792551517487</v>
      </c>
      <c r="T46" s="830">
        <f t="shared" si="14"/>
        <v>25.946622000930486</v>
      </c>
      <c r="U46" s="830">
        <f t="shared" si="14"/>
        <v>26.032720100516972</v>
      </c>
      <c r="V46" s="830">
        <f t="shared" si="14"/>
        <v>26.121131752070628</v>
      </c>
      <c r="W46" s="830">
        <f t="shared" si="14"/>
        <v>26.21190296632134</v>
      </c>
      <c r="X46" s="830">
        <f t="shared" si="14"/>
        <v>26.305080890655518</v>
      </c>
      <c r="Y46" s="847"/>
      <c r="BB46" s="364" t="s">
        <v>71</v>
      </c>
      <c r="BC46" s="764">
        <v>23.471340999999999</v>
      </c>
      <c r="BD46" s="764">
        <v>15.654388000000001</v>
      </c>
      <c r="BE46" s="764">
        <v>16.177610999999999</v>
      </c>
      <c r="BF46" s="764">
        <v>13.049913</v>
      </c>
    </row>
    <row r="47" spans="1:62" s="824" customFormat="1" ht="12.75" x14ac:dyDescent="0.2">
      <c r="A47" s="821"/>
      <c r="B47" s="822" t="s">
        <v>107</v>
      </c>
      <c r="C47" s="823">
        <f>C45/(C45+C46)</f>
        <v>0.86408914227745992</v>
      </c>
      <c r="D47" s="823">
        <f t="shared" ref="D47:X47" si="15">D45/(D45+D46)</f>
        <v>0.86578255374136281</v>
      </c>
      <c r="E47" s="823">
        <f t="shared" si="15"/>
        <v>0.86094519016639837</v>
      </c>
      <c r="F47" s="823">
        <f t="shared" si="15"/>
        <v>0.85770136140933806</v>
      </c>
      <c r="G47" s="823">
        <f t="shared" si="15"/>
        <v>0.84796045829351285</v>
      </c>
      <c r="H47" s="823">
        <f t="shared" si="15"/>
        <v>0.84682333992662107</v>
      </c>
      <c r="I47" s="823">
        <f t="shared" si="15"/>
        <v>0.84604728343267177</v>
      </c>
      <c r="J47" s="838">
        <f t="shared" si="15"/>
        <v>0.81941855161456778</v>
      </c>
      <c r="K47" s="838">
        <f t="shared" si="15"/>
        <v>0.81985046565019359</v>
      </c>
      <c r="L47" s="838">
        <f t="shared" si="15"/>
        <v>0.82029438909989905</v>
      </c>
      <c r="M47" s="838">
        <f>M45/(M45+M46)</f>
        <v>0.8207500498945266</v>
      </c>
      <c r="N47" s="1585">
        <f t="shared" si="15"/>
        <v>0.81770075911453433</v>
      </c>
      <c r="O47" s="1613">
        <f t="shared" si="15"/>
        <v>0.84372850754224671</v>
      </c>
      <c r="P47" s="1613">
        <f t="shared" si="15"/>
        <v>0.84343653620417036</v>
      </c>
      <c r="Q47" s="1613">
        <f t="shared" si="15"/>
        <v>0.8432064595089247</v>
      </c>
      <c r="R47" s="1613">
        <f t="shared" si="15"/>
        <v>0.84303956531358681</v>
      </c>
      <c r="S47" s="1613">
        <f t="shared" si="15"/>
        <v>0.84293715299978178</v>
      </c>
      <c r="T47" s="1613">
        <f t="shared" si="15"/>
        <v>0.8421154162757446</v>
      </c>
      <c r="U47" s="1613">
        <f t="shared" si="15"/>
        <v>0.84133833275346903</v>
      </c>
      <c r="V47" s="1613">
        <f t="shared" si="15"/>
        <v>0.84060520162979646</v>
      </c>
      <c r="W47" s="1613">
        <f t="shared" si="15"/>
        <v>0.83991525615773421</v>
      </c>
      <c r="X47" s="1613">
        <f t="shared" si="15"/>
        <v>0.83926766898631477</v>
      </c>
      <c r="Y47" s="959"/>
      <c r="Z47" s="1002"/>
      <c r="BB47" s="764" t="s">
        <v>72</v>
      </c>
      <c r="BC47" s="764">
        <v>12.239734</v>
      </c>
      <c r="BD47" s="764">
        <v>12.045002</v>
      </c>
      <c r="BE47" s="764">
        <v>12.566719000000001</v>
      </c>
      <c r="BF47" s="764">
        <v>10.342922</v>
      </c>
      <c r="BG47" s="764"/>
      <c r="BH47" s="764"/>
      <c r="BI47" s="764"/>
      <c r="BJ47" s="764"/>
    </row>
    <row r="48" spans="1:62" s="824" customFormat="1" ht="12.75" x14ac:dyDescent="0.2">
      <c r="A48" s="821"/>
      <c r="B48" s="822" t="s">
        <v>461</v>
      </c>
      <c r="C48" s="823"/>
      <c r="D48" s="823"/>
      <c r="E48" s="823"/>
      <c r="F48" s="823"/>
      <c r="G48" s="823"/>
      <c r="H48" s="823"/>
      <c r="I48" s="823"/>
      <c r="J48" s="839">
        <f>J45+J46</f>
        <v>172.45474199832333</v>
      </c>
      <c r="K48" s="839">
        <f t="shared" ref="K48:X48" si="16">K45+K46</f>
        <v>172.77327669868697</v>
      </c>
      <c r="L48" s="839">
        <f t="shared" si="16"/>
        <v>173.10850988701461</v>
      </c>
      <c r="M48" s="839">
        <f>M45+M46</f>
        <v>173.46035636222621</v>
      </c>
      <c r="N48" s="1586">
        <f t="shared" si="16"/>
        <v>170.55891221588533</v>
      </c>
      <c r="O48" s="835">
        <f t="shared" si="16"/>
        <v>163.46341935887816</v>
      </c>
      <c r="P48" s="835">
        <f t="shared" si="16"/>
        <v>163.64167490988865</v>
      </c>
      <c r="Q48" s="835">
        <f t="shared" si="16"/>
        <v>163.90029020384674</v>
      </c>
      <c r="R48" s="835">
        <f t="shared" si="16"/>
        <v>164.2408723030978</v>
      </c>
      <c r="S48" s="835">
        <f t="shared" si="16"/>
        <v>164.66524735465646</v>
      </c>
      <c r="T48" s="835">
        <f t="shared" si="16"/>
        <v>164.33917352086843</v>
      </c>
      <c r="U48" s="835">
        <f t="shared" si="16"/>
        <v>164.07693523141242</v>
      </c>
      <c r="V48" s="835">
        <f t="shared" si="16"/>
        <v>163.87693964393245</v>
      </c>
      <c r="W48" s="835">
        <f t="shared" si="16"/>
        <v>163.73767004398852</v>
      </c>
      <c r="X48" s="1607">
        <f t="shared" si="16"/>
        <v>163.65768308565021</v>
      </c>
      <c r="Y48" s="960"/>
      <c r="BB48" s="764"/>
      <c r="BC48" s="764"/>
      <c r="BD48" s="764"/>
      <c r="BE48" s="764"/>
      <c r="BF48" s="764"/>
      <c r="BG48" s="764"/>
      <c r="BH48" s="764"/>
      <c r="BI48" s="764"/>
      <c r="BJ48" s="764"/>
    </row>
    <row r="49" spans="1:62" s="827" customFormat="1" ht="12.75" x14ac:dyDescent="0.2">
      <c r="A49" s="826"/>
      <c r="B49" s="998" t="s">
        <v>182</v>
      </c>
      <c r="C49" s="998"/>
      <c r="D49" s="998"/>
      <c r="E49" s="998"/>
      <c r="F49" s="998"/>
      <c r="G49" s="998"/>
      <c r="H49" s="999" t="s">
        <v>503</v>
      </c>
      <c r="I49" s="998"/>
      <c r="J49" s="1000">
        <v>17.776544332575511</v>
      </c>
      <c r="K49" s="1000">
        <v>18.260183300000001</v>
      </c>
      <c r="L49" s="1000">
        <v>19.024845363512195</v>
      </c>
      <c r="M49" s="1000">
        <v>19.823987288030477</v>
      </c>
      <c r="N49" s="1000">
        <v>19.823987288030477</v>
      </c>
      <c r="O49" s="1000">
        <v>20.914146793507996</v>
      </c>
      <c r="P49" s="1000">
        <v>22.276871121840031</v>
      </c>
      <c r="Q49" s="1000">
        <v>26.015425021990001</v>
      </c>
      <c r="R49" s="1000">
        <v>33.122947588190712</v>
      </c>
      <c r="S49" s="1000">
        <v>39.254679818464147</v>
      </c>
      <c r="T49" s="1000">
        <v>46.231770390260444</v>
      </c>
      <c r="U49" s="1000">
        <v>54.142767837477656</v>
      </c>
      <c r="V49" s="1000">
        <v>58.615223418346439</v>
      </c>
      <c r="W49" s="1000">
        <v>63.049506895243077</v>
      </c>
      <c r="X49" s="1000">
        <v>67.604570726888241</v>
      </c>
      <c r="Y49" s="961"/>
      <c r="AA49" s="1005" t="s">
        <v>773</v>
      </c>
      <c r="AB49" s="1005" t="s">
        <v>772</v>
      </c>
      <c r="BB49" s="827" t="s">
        <v>73</v>
      </c>
      <c r="BC49" s="827">
        <v>4.5615500000000004</v>
      </c>
      <c r="BD49" s="827">
        <v>4.6675000000000004</v>
      </c>
      <c r="BE49" s="827">
        <v>4.5891409999999997</v>
      </c>
      <c r="BF49" s="827">
        <v>4.5392890000000001</v>
      </c>
    </row>
    <row r="50" spans="1:62" x14ac:dyDescent="0.25">
      <c r="B50" s="157" t="s">
        <v>45</v>
      </c>
      <c r="J50" s="927"/>
      <c r="K50" s="927"/>
      <c r="L50" s="927"/>
      <c r="M50" s="828">
        <f>(182049*0.85)/1000</f>
        <v>154.74164999999999</v>
      </c>
      <c r="N50" s="1583">
        <f>(182049*0.85)/1000</f>
        <v>154.74164999999999</v>
      </c>
      <c r="O50" s="928"/>
      <c r="P50" s="928"/>
      <c r="Q50" s="928"/>
      <c r="R50" s="928"/>
      <c r="S50" s="928"/>
      <c r="T50" s="928"/>
      <c r="U50" s="928"/>
      <c r="V50" s="928"/>
      <c r="W50" s="928"/>
      <c r="X50" s="1273">
        <f>AB50</f>
        <v>114.03</v>
      </c>
      <c r="Y50" s="847"/>
      <c r="AA50" s="1615">
        <f>181267.948377807*0.63/1000</f>
        <v>114.19880747801842</v>
      </c>
      <c r="AB50" s="1616">
        <f>(181000*0.63)/1000</f>
        <v>114.03</v>
      </c>
      <c r="AF50" s="937" t="s">
        <v>105</v>
      </c>
      <c r="AG50" s="968" t="s">
        <v>187</v>
      </c>
      <c r="AH50" s="969" t="s">
        <v>188</v>
      </c>
      <c r="BB50" s="312" t="s">
        <v>74</v>
      </c>
      <c r="BC50" s="312">
        <v>4.4165049999999999</v>
      </c>
      <c r="BD50" s="312">
        <v>4.5535319999999997</v>
      </c>
      <c r="BE50" s="312">
        <v>4.5836699999999997</v>
      </c>
      <c r="BF50" s="312">
        <v>4.615856</v>
      </c>
    </row>
    <row r="51" spans="1:62" x14ac:dyDescent="0.25">
      <c r="B51" s="199" t="s">
        <v>108</v>
      </c>
      <c r="J51" s="927"/>
      <c r="K51" s="927"/>
      <c r="L51" s="927"/>
      <c r="M51" s="929">
        <f>(M45+M46)-M50</f>
        <v>18.718706362226214</v>
      </c>
      <c r="N51" s="1587">
        <f>(N45+N46)-N50</f>
        <v>15.817262215885336</v>
      </c>
      <c r="O51" s="928"/>
      <c r="P51" s="928"/>
      <c r="Q51" s="928"/>
      <c r="R51" s="928"/>
      <c r="S51" s="928"/>
      <c r="T51" s="928"/>
      <c r="U51" s="928"/>
      <c r="V51" s="928"/>
      <c r="W51" s="928"/>
      <c r="X51" s="930">
        <f>(X45+X46)-X50</f>
        <v>49.627683085650204</v>
      </c>
      <c r="Y51" s="962"/>
      <c r="Z51" s="1350">
        <f>X45-X51</f>
        <v>87.724919109344484</v>
      </c>
      <c r="AA51" s="1350">
        <f>(X45+X46)-AA50</f>
        <v>49.458875607631782</v>
      </c>
      <c r="AF51" s="937" t="s">
        <v>483</v>
      </c>
      <c r="AG51" s="938">
        <f>'Electricity Sector Emissions'!AE27</f>
        <v>1.019077013427216</v>
      </c>
      <c r="AH51" s="939">
        <f>'Electricity Sector Emissions'!AI17</f>
        <v>4.2</v>
      </c>
      <c r="BB51" s="312" t="s">
        <v>75</v>
      </c>
      <c r="BC51" s="312">
        <v>4.3822070000000002</v>
      </c>
      <c r="BD51" s="312">
        <v>4.3620289999999997</v>
      </c>
      <c r="BE51" s="312">
        <v>4.6875660000000003</v>
      </c>
      <c r="BF51" s="312">
        <v>4.3963890000000001</v>
      </c>
    </row>
    <row r="52" spans="1:62" x14ac:dyDescent="0.25">
      <c r="B52" s="199" t="s">
        <v>111</v>
      </c>
      <c r="J52" s="931">
        <f>J45-J60</f>
        <v>0</v>
      </c>
      <c r="K52" s="931">
        <f t="shared" ref="K52:X52" si="17">K45-K60</f>
        <v>6.2235448228437633</v>
      </c>
      <c r="L52" s="931">
        <f t="shared" si="17"/>
        <v>12.463141212123588</v>
      </c>
      <c r="M52" s="931">
        <f>M45-M60</f>
        <v>18.718706362226214</v>
      </c>
      <c r="N52" s="1583">
        <f t="shared" si="17"/>
        <v>15.817262215885336</v>
      </c>
      <c r="O52" s="932">
        <f t="shared" si="17"/>
        <v>17.862254143370237</v>
      </c>
      <c r="P52" s="932">
        <f t="shared" si="17"/>
        <v>21.557271821341828</v>
      </c>
      <c r="Q52" s="932">
        <f t="shared" si="17"/>
        <v>25.330084838712239</v>
      </c>
      <c r="R52" s="932">
        <f t="shared" si="17"/>
        <v>29.182252083314097</v>
      </c>
      <c r="S52" s="932">
        <f t="shared" si="17"/>
        <v>33.11555036007006</v>
      </c>
      <c r="T52" s="932">
        <f t="shared" si="17"/>
        <v>36.298044143613907</v>
      </c>
      <c r="U52" s="932">
        <f t="shared" si="17"/>
        <v>39.5421048213163</v>
      </c>
      <c r="V52" s="932">
        <f t="shared" si="17"/>
        <v>42.846094649027549</v>
      </c>
      <c r="W52" s="932">
        <f t="shared" si="17"/>
        <v>46.208450901577791</v>
      </c>
      <c r="X52" s="932">
        <f t="shared" si="17"/>
        <v>49.627683085650204</v>
      </c>
      <c r="Y52" s="963"/>
      <c r="AF52" s="937"/>
      <c r="AG52" s="938"/>
      <c r="AH52" s="939"/>
      <c r="BB52" s="312" t="s">
        <v>76</v>
      </c>
      <c r="BC52" s="312">
        <v>1.025134</v>
      </c>
      <c r="BD52" s="312">
        <v>0.94970900000000003</v>
      </c>
      <c r="BE52" s="312">
        <v>0.89521799999999996</v>
      </c>
      <c r="BF52" s="312">
        <v>1.1112010000000001</v>
      </c>
    </row>
    <row r="53" spans="1:62" x14ac:dyDescent="0.25">
      <c r="B53" s="845" t="s">
        <v>96</v>
      </c>
      <c r="J53" s="828">
        <f>J40-J61</f>
        <v>0</v>
      </c>
      <c r="K53" s="828">
        <f>K40-K61</f>
        <v>0.39818954030205944</v>
      </c>
      <c r="L53" s="828">
        <f>IF((L40-L61)&gt;0,L40-L61,0)</f>
        <v>0.80444675763028073</v>
      </c>
      <c r="M53" s="828">
        <f>IF((M40-M61)&gt;0,M40-M61,0)</f>
        <v>1.218549902084245</v>
      </c>
      <c r="N53" s="1583">
        <f>IF((N40-N61)&gt;0,N40-N61,0)</f>
        <v>0</v>
      </c>
      <c r="O53" s="831">
        <f t="shared" ref="O53:X53" si="18">O40-O61</f>
        <v>0.30113653987858413</v>
      </c>
      <c r="P53" s="831">
        <f t="shared" si="18"/>
        <v>0.59578505695516526</v>
      </c>
      <c r="Q53" s="831">
        <f t="shared" si="18"/>
        <v>0.88334180635144577</v>
      </c>
      <c r="R53" s="831">
        <f t="shared" si="18"/>
        <v>1.1631538187639947</v>
      </c>
      <c r="S53" s="831">
        <f t="shared" si="18"/>
        <v>0.82981185364901222</v>
      </c>
      <c r="T53" s="831">
        <f t="shared" si="18"/>
        <v>2.0927595099377285</v>
      </c>
      <c r="U53" s="831">
        <f t="shared" si="18"/>
        <v>1.5349454251956161</v>
      </c>
      <c r="V53" s="831">
        <f t="shared" si="18"/>
        <v>1.5751761308443086</v>
      </c>
      <c r="W53" s="831">
        <f t="shared" si="18"/>
        <v>1.608749994028404</v>
      </c>
      <c r="X53" s="831">
        <f t="shared" si="18"/>
        <v>1.8175417811381962</v>
      </c>
      <c r="Y53" s="847"/>
      <c r="AF53" s="937" t="s">
        <v>485</v>
      </c>
      <c r="AG53" s="937" t="s">
        <v>484</v>
      </c>
      <c r="AH53" s="937" t="s">
        <v>276</v>
      </c>
      <c r="BB53" s="312" t="s">
        <v>77</v>
      </c>
      <c r="BC53" s="312">
        <v>0.96855500000000005</v>
      </c>
      <c r="BD53" s="312">
        <v>1.0279100000000001</v>
      </c>
      <c r="BE53" s="312">
        <v>1.000391</v>
      </c>
      <c r="BF53" s="312">
        <v>0.78884200000000004</v>
      </c>
    </row>
    <row r="54" spans="1:62" x14ac:dyDescent="0.25">
      <c r="B54" s="845" t="s">
        <v>2</v>
      </c>
      <c r="J54" s="828">
        <f>J41-J64</f>
        <v>0</v>
      </c>
      <c r="K54" s="828">
        <f>K41-K64</f>
        <v>0</v>
      </c>
      <c r="L54" s="828">
        <f>IF((L41-L64)&gt;0,L41-L64,0)</f>
        <v>0</v>
      </c>
      <c r="M54" s="828">
        <f>IF((M41-M64)&gt;0,M41-M64,0)</f>
        <v>0</v>
      </c>
      <c r="N54" s="1583">
        <f>IF((N41-N64)&gt;0,N41-N64,0)</f>
        <v>0</v>
      </c>
      <c r="O54" s="831">
        <f t="shared" ref="O54:X54" si="19">IF((O41-O64)&gt;0,O41-O64,0)</f>
        <v>0</v>
      </c>
      <c r="P54" s="831">
        <f t="shared" si="19"/>
        <v>0</v>
      </c>
      <c r="Q54" s="831">
        <f t="shared" si="19"/>
        <v>0.15930032247983528</v>
      </c>
      <c r="R54" s="831">
        <f t="shared" si="19"/>
        <v>0.50310683927938493</v>
      </c>
      <c r="S54" s="831">
        <f t="shared" si="19"/>
        <v>0.87624919891357456</v>
      </c>
      <c r="T54" s="831">
        <f t="shared" si="19"/>
        <v>0.67974194557472822</v>
      </c>
      <c r="U54" s="831">
        <f t="shared" si="19"/>
        <v>0.4913706115684815</v>
      </c>
      <c r="V54" s="831">
        <f t="shared" si="19"/>
        <v>0.31079834834465681</v>
      </c>
      <c r="W54" s="831">
        <f t="shared" si="19"/>
        <v>0.137702253772789</v>
      </c>
      <c r="X54" s="831">
        <f t="shared" si="19"/>
        <v>0</v>
      </c>
      <c r="Y54" s="847"/>
      <c r="BB54" s="312" t="s">
        <v>78</v>
      </c>
      <c r="BC54" s="312">
        <v>0.87819999999999998</v>
      </c>
      <c r="BD54" s="312">
        <v>0.90612099999999995</v>
      </c>
      <c r="BE54" s="312">
        <v>0.79643900000000001</v>
      </c>
      <c r="BF54" s="312">
        <v>1.0696969999999999</v>
      </c>
    </row>
    <row r="55" spans="1:62" x14ac:dyDescent="0.25">
      <c r="B55" s="845" t="s">
        <v>63</v>
      </c>
      <c r="J55" s="828">
        <f>(J42+J43)-J65</f>
        <v>0</v>
      </c>
      <c r="K55" s="828">
        <f>(K42+K43)-K65</f>
        <v>5.8253552825417074</v>
      </c>
      <c r="L55" s="828">
        <f>(L42+L43)-L65</f>
        <v>11.6586944544933</v>
      </c>
      <c r="M55" s="933">
        <f>M51-M53-M54</f>
        <v>17.500156460141969</v>
      </c>
      <c r="N55" s="1587">
        <f>N51-N53-N54</f>
        <v>15.817262215885336</v>
      </c>
      <c r="O55" s="831">
        <f t="shared" ref="O55:W55" si="20">(O42+O43)-O65</f>
        <v>17.907362451784564</v>
      </c>
      <c r="P55" s="831">
        <f t="shared" si="20"/>
        <v>20.908321348394068</v>
      </c>
      <c r="Q55" s="831">
        <f t="shared" si="20"/>
        <v>23.964743814772049</v>
      </c>
      <c r="R55" s="831">
        <f t="shared" si="20"/>
        <v>27.076629249197964</v>
      </c>
      <c r="S55" s="831">
        <f t="shared" si="20"/>
        <v>30.83202739852905</v>
      </c>
      <c r="T55" s="831">
        <f t="shared" si="20"/>
        <v>33.093401482315159</v>
      </c>
      <c r="U55" s="831">
        <f t="shared" si="20"/>
        <v>37.176111937929107</v>
      </c>
      <c r="V55" s="831">
        <f t="shared" si="20"/>
        <v>40.726978581966321</v>
      </c>
      <c r="W55" s="831">
        <f t="shared" si="20"/>
        <v>44.332686073472146</v>
      </c>
      <c r="X55" s="934">
        <f>X51-X53-X54</f>
        <v>47.810141304512008</v>
      </c>
      <c r="Y55" s="964"/>
      <c r="BB55" s="312" t="s">
        <v>79</v>
      </c>
      <c r="BC55" s="312">
        <v>0.59262700000000001</v>
      </c>
      <c r="BD55" s="312">
        <v>0.61369200000000002</v>
      </c>
      <c r="BE55" s="312">
        <v>0.59292299999999998</v>
      </c>
      <c r="BF55" s="312">
        <v>0.58471099999999998</v>
      </c>
    </row>
    <row r="56" spans="1:62" s="173" customFormat="1" x14ac:dyDescent="0.25">
      <c r="A56" s="797"/>
      <c r="B56" s="791" t="s">
        <v>66</v>
      </c>
      <c r="J56" s="836">
        <f t="shared" ref="J56:X57" si="21">J42-J66</f>
        <v>0</v>
      </c>
      <c r="K56" s="836">
        <f t="shared" si="21"/>
        <v>4.0684707137102194</v>
      </c>
      <c r="L56" s="836">
        <f t="shared" si="21"/>
        <v>8.1394944399390781</v>
      </c>
      <c r="M56" s="836">
        <f>M42-M66</f>
        <v>12.213087632633631</v>
      </c>
      <c r="N56" s="1588">
        <f t="shared" si="21"/>
        <v>5.5500431203617495</v>
      </c>
      <c r="O56" s="833">
        <f t="shared" si="21"/>
        <v>7.612407882520813</v>
      </c>
      <c r="P56" s="833">
        <f t="shared" si="21"/>
        <v>8.6640450273109693</v>
      </c>
      <c r="Q56" s="833">
        <f t="shared" si="21"/>
        <v>9.7439738604121118</v>
      </c>
      <c r="R56" s="833">
        <f t="shared" si="21"/>
        <v>10.851336075880958</v>
      </c>
      <c r="S56" s="833">
        <f t="shared" si="21"/>
        <v>11.985300486816605</v>
      </c>
      <c r="T56" s="833">
        <f t="shared" si="21"/>
        <v>13.101995920268635</v>
      </c>
      <c r="U56" s="833">
        <f t="shared" si="21"/>
        <v>14.259352018982959</v>
      </c>
      <c r="V56" s="833">
        <f t="shared" si="21"/>
        <v>15.455926467944018</v>
      </c>
      <c r="W56" s="833">
        <f t="shared" si="21"/>
        <v>16.690334933663898</v>
      </c>
      <c r="X56" s="833">
        <f t="shared" si="21"/>
        <v>17.96124881177137</v>
      </c>
      <c r="Y56" s="960"/>
      <c r="AD56" s="1005">
        <v>1</v>
      </c>
      <c r="AE56" s="1005">
        <v>2</v>
      </c>
      <c r="AF56" s="1005">
        <v>3</v>
      </c>
      <c r="AG56" s="1005">
        <v>4</v>
      </c>
      <c r="AH56" s="1005">
        <v>5</v>
      </c>
      <c r="AI56" s="1005">
        <v>6</v>
      </c>
      <c r="AJ56" s="1005">
        <v>7</v>
      </c>
      <c r="AK56" s="1005">
        <v>8</v>
      </c>
      <c r="AL56" s="1005">
        <v>9</v>
      </c>
      <c r="AM56" s="1005">
        <v>10</v>
      </c>
      <c r="AN56" s="1005">
        <v>11</v>
      </c>
      <c r="BB56" s="312" t="s">
        <v>80</v>
      </c>
      <c r="BC56" s="312">
        <v>2.316058</v>
      </c>
      <c r="BD56" s="312">
        <v>2.4277060000000001</v>
      </c>
      <c r="BE56" s="312">
        <v>2.354225</v>
      </c>
      <c r="BF56" s="312">
        <v>2.4289070000000001</v>
      </c>
      <c r="BG56" s="312"/>
      <c r="BH56" s="312"/>
      <c r="BI56" s="312"/>
      <c r="BJ56" s="312"/>
    </row>
    <row r="57" spans="1:62" s="173" customFormat="1" x14ac:dyDescent="0.25">
      <c r="A57" s="797"/>
      <c r="B57" s="791" t="s">
        <v>67</v>
      </c>
      <c r="J57" s="836">
        <f t="shared" si="21"/>
        <v>0</v>
      </c>
      <c r="K57" s="836">
        <f t="shared" si="21"/>
        <v>2.9436864935322546</v>
      </c>
      <c r="L57" s="836">
        <f t="shared" si="21"/>
        <v>5.8928038639557627</v>
      </c>
      <c r="M57" s="836">
        <f>M43-M67</f>
        <v>8.8474746016106351</v>
      </c>
      <c r="N57" s="1588">
        <f t="shared" si="21"/>
        <v>10.267219095523572</v>
      </c>
      <c r="O57" s="833">
        <f t="shared" si="21"/>
        <v>10.294954569263759</v>
      </c>
      <c r="P57" s="833">
        <f t="shared" si="21"/>
        <v>12.244276321083099</v>
      </c>
      <c r="Q57" s="833">
        <f t="shared" si="21"/>
        <v>14.220769954359952</v>
      </c>
      <c r="R57" s="833">
        <f t="shared" si="21"/>
        <v>16.22529317331702</v>
      </c>
      <c r="S57" s="833">
        <f t="shared" si="21"/>
        <v>18.846726911712466</v>
      </c>
      <c r="T57" s="833">
        <f t="shared" si="21"/>
        <v>19.991405562046534</v>
      </c>
      <c r="U57" s="833">
        <f t="shared" si="21"/>
        <v>22.916759918946173</v>
      </c>
      <c r="V57" s="833">
        <f t="shared" si="21"/>
        <v>25.271052114022329</v>
      </c>
      <c r="W57" s="833">
        <f t="shared" si="21"/>
        <v>27.64235113980828</v>
      </c>
      <c r="X57" s="833">
        <f t="shared" si="21"/>
        <v>29.848892492740628</v>
      </c>
      <c r="Y57" s="960"/>
      <c r="AD57" s="1003"/>
      <c r="AE57" s="1003">
        <v>2021</v>
      </c>
      <c r="AF57" s="1003">
        <v>2022</v>
      </c>
      <c r="AG57" s="1003">
        <v>2023</v>
      </c>
      <c r="AH57" s="1003">
        <v>2024</v>
      </c>
      <c r="AI57" s="1003">
        <v>2025</v>
      </c>
      <c r="AJ57" s="1003">
        <v>2026</v>
      </c>
      <c r="AK57" s="1003">
        <v>2027</v>
      </c>
      <c r="AL57" s="1003">
        <v>2028</v>
      </c>
      <c r="AM57" s="1003">
        <v>2029</v>
      </c>
      <c r="AN57" s="1003">
        <v>2030</v>
      </c>
      <c r="BB57" s="312" t="s">
        <v>81</v>
      </c>
      <c r="BC57" s="312">
        <v>54.851911000000001</v>
      </c>
      <c r="BD57" s="312">
        <v>47.207588999999999</v>
      </c>
      <c r="BE57" s="312">
        <v>48.243903000000003</v>
      </c>
      <c r="BF57" s="312">
        <v>42.927726999999997</v>
      </c>
      <c r="BG57" s="312"/>
      <c r="BH57" s="312"/>
      <c r="BI57" s="312"/>
      <c r="BJ57" s="312"/>
    </row>
    <row r="58" spans="1:62" s="173" customFormat="1" x14ac:dyDescent="0.25">
      <c r="A58" s="797"/>
      <c r="B58" s="229" t="s">
        <v>479</v>
      </c>
      <c r="J58" s="935">
        <f>J60+'Electricity Sector Emissions'!$AE$27</f>
        <v>142.33169192075729</v>
      </c>
      <c r="K58" s="935">
        <f>K60+'Electricity Sector Emissions'!$AE$27</f>
        <v>136.44378354391171</v>
      </c>
      <c r="L58" s="935">
        <f>L60+'Electricity Sector Emissions'!$AE$27</f>
        <v>130.55587516706612</v>
      </c>
      <c r="M58" s="936">
        <f>M60+M59</f>
        <v>124.66796679022053</v>
      </c>
      <c r="N58" s="1589">
        <f>N60+N59</f>
        <v>124.66796679022053</v>
      </c>
      <c r="O58" s="926">
        <f>O60+O59</f>
        <v>121.08549271004843</v>
      </c>
      <c r="P58" s="926">
        <f t="shared" ref="P58:W58" si="22">P60+P59</f>
        <v>117.49309564330355</v>
      </c>
      <c r="Q58" s="926">
        <f t="shared" si="22"/>
        <v>113.90069857655867</v>
      </c>
      <c r="R58" s="926">
        <f t="shared" si="22"/>
        <v>110.30830150981379</v>
      </c>
      <c r="S58" s="926">
        <f t="shared" si="22"/>
        <v>106.71590444306891</v>
      </c>
      <c r="T58" s="926">
        <f t="shared" si="22"/>
        <v>103.12350737632403</v>
      </c>
      <c r="U58" s="926">
        <f t="shared" si="22"/>
        <v>99.531110309579148</v>
      </c>
      <c r="V58" s="926">
        <f t="shared" si="22"/>
        <v>95.938713242834268</v>
      </c>
      <c r="W58" s="926">
        <f t="shared" si="22"/>
        <v>92.346316176089388</v>
      </c>
      <c r="X58" s="997">
        <f>X60+X59</f>
        <v>88.75391910934448</v>
      </c>
      <c r="Y58" s="965"/>
      <c r="AD58" s="1003" t="s">
        <v>492</v>
      </c>
      <c r="AE58" s="1004">
        <f>'Electricity Sector Emissions'!AI17</f>
        <v>4.2</v>
      </c>
      <c r="AF58" s="1004">
        <f>AE58*P60/O60</f>
        <v>4.0743252668827497</v>
      </c>
      <c r="AG58" s="1004">
        <f t="shared" ref="AG58:AN58" si="23">AF58*Q60/P60</f>
        <v>3.9486505337654987</v>
      </c>
      <c r="AH58" s="1004">
        <f t="shared" si="23"/>
        <v>3.8229758006482477</v>
      </c>
      <c r="AI58" s="1004">
        <f t="shared" si="23"/>
        <v>3.6973010675309972</v>
      </c>
      <c r="AJ58" s="1004">
        <f t="shared" si="23"/>
        <v>3.5716263344137467</v>
      </c>
      <c r="AK58" s="1004">
        <f t="shared" si="23"/>
        <v>3.4459516012964961</v>
      </c>
      <c r="AL58" s="1004">
        <f t="shared" si="23"/>
        <v>3.3202768681792456</v>
      </c>
      <c r="AM58" s="1004">
        <f t="shared" si="23"/>
        <v>3.1946021350619946</v>
      </c>
      <c r="AN58" s="1004">
        <f t="shared" si="23"/>
        <v>3.0689274019447428</v>
      </c>
      <c r="BB58" s="312"/>
      <c r="BC58" s="312"/>
      <c r="BD58" s="312"/>
      <c r="BE58" s="312"/>
      <c r="BF58" s="312"/>
      <c r="BG58" s="312"/>
      <c r="BH58" s="312"/>
      <c r="BI58" s="312"/>
      <c r="BJ58" s="312"/>
    </row>
    <row r="59" spans="1:62" s="173" customFormat="1" x14ac:dyDescent="0.25">
      <c r="A59" s="797"/>
      <c r="B59" s="996" t="s">
        <v>490</v>
      </c>
      <c r="J59" s="935">
        <f>'Electricity Sector Emissions'!$AE$27</f>
        <v>1.019077013427216</v>
      </c>
      <c r="K59" s="935">
        <f>'Electricity Sector Emissions'!$AE$27</f>
        <v>1.019077013427216</v>
      </c>
      <c r="L59" s="935">
        <f>'Electricity Sector Emissions'!$AE$27</f>
        <v>1.019077013427216</v>
      </c>
      <c r="M59" s="935">
        <f>'Electricity Sector Emissions'!$AE$27</f>
        <v>1.019077013427216</v>
      </c>
      <c r="N59" s="1590">
        <f>'Electricity Sector Emissions'!$AE$27</f>
        <v>1.019077013427216</v>
      </c>
      <c r="O59" s="1007">
        <f>VLOOKUP($AA$59,$AD$58:$AN$60,2,FALSE)</f>
        <v>1.0289999999999999</v>
      </c>
      <c r="P59" s="1007">
        <f t="shared" ref="P59:X59" si="24">VLOOKUP($AA$59,$AD$58:$AN$60,2,FALSE)</f>
        <v>1.0289999999999999</v>
      </c>
      <c r="Q59" s="1007">
        <f t="shared" si="24"/>
        <v>1.0289999999999999</v>
      </c>
      <c r="R59" s="1007">
        <f t="shared" si="24"/>
        <v>1.0289999999999999</v>
      </c>
      <c r="S59" s="1007">
        <f t="shared" si="24"/>
        <v>1.0289999999999999</v>
      </c>
      <c r="T59" s="1007">
        <f t="shared" si="24"/>
        <v>1.0289999999999999</v>
      </c>
      <c r="U59" s="1007">
        <f t="shared" si="24"/>
        <v>1.0289999999999999</v>
      </c>
      <c r="V59" s="1007">
        <f t="shared" si="24"/>
        <v>1.0289999999999999</v>
      </c>
      <c r="W59" s="1007">
        <f t="shared" si="24"/>
        <v>1.0289999999999999</v>
      </c>
      <c r="X59" s="1007">
        <f t="shared" si="24"/>
        <v>1.0289999999999999</v>
      </c>
      <c r="Y59" s="965"/>
      <c r="Z59" s="1006" t="s">
        <v>613</v>
      </c>
      <c r="AA59" s="1008" t="s">
        <v>681</v>
      </c>
      <c r="AD59" s="1003" t="s">
        <v>493</v>
      </c>
      <c r="AE59" s="1003">
        <f>'Electricity Sector Emissions'!AI17</f>
        <v>4.2</v>
      </c>
      <c r="AF59" s="1003">
        <f>AE59</f>
        <v>4.2</v>
      </c>
      <c r="AG59" s="1003">
        <f t="shared" ref="AG59:AN59" si="25">AF59</f>
        <v>4.2</v>
      </c>
      <c r="AH59" s="1003">
        <f t="shared" si="25"/>
        <v>4.2</v>
      </c>
      <c r="AI59" s="1003">
        <f t="shared" si="25"/>
        <v>4.2</v>
      </c>
      <c r="AJ59" s="1003">
        <f t="shared" si="25"/>
        <v>4.2</v>
      </c>
      <c r="AK59" s="1003">
        <f t="shared" si="25"/>
        <v>4.2</v>
      </c>
      <c r="AL59" s="1003">
        <f t="shared" si="25"/>
        <v>4.2</v>
      </c>
      <c r="AM59" s="1003">
        <f t="shared" si="25"/>
        <v>4.2</v>
      </c>
      <c r="AN59" s="1003">
        <f t="shared" si="25"/>
        <v>4.2</v>
      </c>
      <c r="BB59" s="312"/>
      <c r="BC59" s="312"/>
      <c r="BD59" s="312"/>
      <c r="BE59" s="312"/>
      <c r="BF59" s="312"/>
      <c r="BG59" s="312"/>
      <c r="BH59" s="312"/>
      <c r="BI59" s="312"/>
      <c r="BJ59" s="312"/>
    </row>
    <row r="60" spans="1:62" x14ac:dyDescent="0.25">
      <c r="B60" s="157" t="s">
        <v>480</v>
      </c>
      <c r="J60" s="828">
        <f>J61+J64+J65</f>
        <v>141.31261490733007</v>
      </c>
      <c r="K60" s="828">
        <f>K61+K64+K65</f>
        <v>135.42470653048449</v>
      </c>
      <c r="L60" s="828">
        <f>L61+L64+L65</f>
        <v>129.5367981536389</v>
      </c>
      <c r="M60" s="933">
        <f>M61+M64+M65</f>
        <v>123.64888977679331</v>
      </c>
      <c r="N60" s="1587">
        <f>N61+N64+N65</f>
        <v>123.64888977679331</v>
      </c>
      <c r="O60" s="934">
        <f>N60-($N60-$X60)/10</f>
        <v>120.05649271004843</v>
      </c>
      <c r="P60" s="934">
        <f t="shared" ref="P60:W60" si="26">O60-($N60-$X60)/10</f>
        <v>116.46409564330355</v>
      </c>
      <c r="Q60" s="934">
        <f t="shared" si="26"/>
        <v>112.87169857655867</v>
      </c>
      <c r="R60" s="934">
        <f t="shared" si="26"/>
        <v>109.27930150981379</v>
      </c>
      <c r="S60" s="934">
        <f t="shared" si="26"/>
        <v>105.68690444306891</v>
      </c>
      <c r="T60" s="934">
        <f t="shared" si="26"/>
        <v>102.09450737632403</v>
      </c>
      <c r="U60" s="934">
        <f t="shared" si="26"/>
        <v>98.502110309579152</v>
      </c>
      <c r="V60" s="934">
        <f t="shared" si="26"/>
        <v>94.909713242834272</v>
      </c>
      <c r="W60" s="934">
        <f t="shared" si="26"/>
        <v>91.317316176089392</v>
      </c>
      <c r="X60" s="934">
        <f>X45-X51</f>
        <v>87.724919109344484</v>
      </c>
      <c r="Y60" s="964"/>
      <c r="AC60" s="923"/>
      <c r="AD60" s="1003" t="s">
        <v>681</v>
      </c>
      <c r="AE60" s="1003">
        <f>'Electricity Sector Emissions'!$AI$8</f>
        <v>1.0289999999999999</v>
      </c>
      <c r="AF60" s="1003">
        <f>'Electricity Sector Emissions'!$AI$8</f>
        <v>1.0289999999999999</v>
      </c>
      <c r="AG60" s="1003">
        <f>'Electricity Sector Emissions'!$AI$8</f>
        <v>1.0289999999999999</v>
      </c>
      <c r="AH60" s="1003">
        <f>'Electricity Sector Emissions'!$AI$8</f>
        <v>1.0289999999999999</v>
      </c>
      <c r="AI60" s="1003">
        <f>'Electricity Sector Emissions'!$AI$8</f>
        <v>1.0289999999999999</v>
      </c>
      <c r="AJ60" s="1003">
        <f>'Electricity Sector Emissions'!$AI$8</f>
        <v>1.0289999999999999</v>
      </c>
      <c r="AK60" s="1003">
        <f>'Electricity Sector Emissions'!$AI$8</f>
        <v>1.0289999999999999</v>
      </c>
      <c r="AL60" s="1003">
        <f>'Electricity Sector Emissions'!$AI$8</f>
        <v>1.0289999999999999</v>
      </c>
      <c r="AM60" s="1003">
        <f>'Electricity Sector Emissions'!$AI$8</f>
        <v>1.0289999999999999</v>
      </c>
      <c r="AN60" s="1003">
        <f>'Electricity Sector Emissions'!$AI$8</f>
        <v>1.0289999999999999</v>
      </c>
      <c r="BB60" s="157" t="s">
        <v>82</v>
      </c>
    </row>
    <row r="61" spans="1:62" x14ac:dyDescent="0.25">
      <c r="B61" s="845" t="s">
        <v>96</v>
      </c>
      <c r="J61" s="828">
        <f t="shared" ref="J61:O61" si="27">J62+J63</f>
        <v>29.502350481872782</v>
      </c>
      <c r="K61" s="828">
        <f t="shared" si="27"/>
        <v>28.720874520898647</v>
      </c>
      <c r="L61" s="828">
        <f t="shared" si="27"/>
        <v>27.939398559924513</v>
      </c>
      <c r="M61" s="828">
        <f t="shared" si="27"/>
        <v>27.157922598950378</v>
      </c>
      <c r="N61" s="1583">
        <f t="shared" si="27"/>
        <v>33.329251359625466</v>
      </c>
      <c r="O61" s="831">
        <f t="shared" si="27"/>
        <v>32.902689700665817</v>
      </c>
      <c r="P61" s="831">
        <f t="shared" ref="P61:X61" si="28">P62+P63</f>
        <v>32.480561428953351</v>
      </c>
      <c r="Q61" s="831">
        <f t="shared" si="28"/>
        <v>32.06295220343867</v>
      </c>
      <c r="R61" s="831">
        <f t="shared" si="28"/>
        <v>31.649949467303962</v>
      </c>
      <c r="S61" s="831">
        <f t="shared" si="28"/>
        <v>31.258383183111064</v>
      </c>
      <c r="T61" s="831">
        <f t="shared" si="28"/>
        <v>30.583396462820389</v>
      </c>
      <c r="U61" s="831">
        <f t="shared" si="28"/>
        <v>29.961266086558613</v>
      </c>
      <c r="V61" s="831">
        <f t="shared" si="28"/>
        <v>29.325064810709215</v>
      </c>
      <c r="W61" s="831">
        <f t="shared" si="28"/>
        <v>28.691569786042837</v>
      </c>
      <c r="X61" s="831">
        <f t="shared" si="28"/>
        <v>28.060818393916335</v>
      </c>
      <c r="Y61" s="847"/>
      <c r="BB61" s="312" t="s">
        <v>83</v>
      </c>
      <c r="BC61" s="312">
        <v>0.54015599999999997</v>
      </c>
      <c r="BD61" s="312">
        <v>0.55067600000000005</v>
      </c>
      <c r="BE61" s="312">
        <v>0.463028</v>
      </c>
      <c r="BF61" s="312">
        <v>0.51003299999999996</v>
      </c>
    </row>
    <row r="62" spans="1:62" s="173" customFormat="1" x14ac:dyDescent="0.25">
      <c r="A62" s="797"/>
      <c r="B62" s="791" t="s">
        <v>591</v>
      </c>
      <c r="J62" s="840">
        <f>J40*U77</f>
        <v>17.111363279486216</v>
      </c>
      <c r="K62" s="1246">
        <f>$J62-$J62*$O77</f>
        <v>16.329887318512082</v>
      </c>
      <c r="L62" s="1246">
        <f>$J62-$J62*$O77*2</f>
        <v>15.548411357537946</v>
      </c>
      <c r="M62" s="1246">
        <f>$J62-$J62*$O77*3</f>
        <v>14.766935396563809</v>
      </c>
      <c r="N62" s="1591">
        <f>'Allocation_Khalid Aug 2017'!F8</f>
        <v>19.440225145697063</v>
      </c>
      <c r="O62" s="849">
        <f>$N62-$N62*$Q77</f>
        <v>18.78197912226376</v>
      </c>
      <c r="P62" s="849">
        <f>$N62-$N62*$Q77*2</f>
        <v>18.123733098830456</v>
      </c>
      <c r="Q62" s="849">
        <f>$N62-$N62*$Q77*3</f>
        <v>17.465487075397157</v>
      </c>
      <c r="R62" s="849">
        <f>$N62-$N62*$Q77*4</f>
        <v>16.807241051963853</v>
      </c>
      <c r="S62" s="849">
        <f>$N62-$N62*$Q77*5</f>
        <v>16.14899502853055</v>
      </c>
      <c r="T62" s="849">
        <f>$N62-$N62*$Q77*6</f>
        <v>15.490749005097246</v>
      </c>
      <c r="U62" s="849">
        <f>$N62-$N62*$Q77*7</f>
        <v>14.832502981663945</v>
      </c>
      <c r="V62" s="849">
        <f>$N62-$N62*$Q77*8</f>
        <v>14.174256958230643</v>
      </c>
      <c r="W62" s="849">
        <f>$N62-$N62*$Q77*9</f>
        <v>13.51601093479734</v>
      </c>
      <c r="X62" s="849">
        <f>$N62-$N62*$Q77*10</f>
        <v>12.857764911364036</v>
      </c>
      <c r="Y62" s="1247"/>
      <c r="AD62" s="1005">
        <v>1</v>
      </c>
      <c r="AE62" s="1005">
        <v>2</v>
      </c>
      <c r="AF62" s="1005">
        <v>3</v>
      </c>
      <c r="AG62" s="1005">
        <v>4</v>
      </c>
      <c r="AH62" s="1005">
        <v>5</v>
      </c>
      <c r="AI62" s="1005">
        <v>6</v>
      </c>
      <c r="AJ62" s="1005">
        <v>7</v>
      </c>
      <c r="AK62" s="1005">
        <v>8</v>
      </c>
      <c r="AL62" s="1005">
        <v>9</v>
      </c>
      <c r="AM62" s="1005">
        <v>10</v>
      </c>
      <c r="AN62" s="1005">
        <v>11</v>
      </c>
      <c r="AO62" s="1005">
        <v>12</v>
      </c>
      <c r="BB62" s="312"/>
      <c r="BC62" s="312"/>
      <c r="BD62" s="312"/>
      <c r="BE62" s="312"/>
      <c r="BF62" s="312"/>
      <c r="BG62" s="312"/>
      <c r="BH62" s="312"/>
      <c r="BI62" s="312"/>
      <c r="BJ62" s="312"/>
    </row>
    <row r="63" spans="1:62" s="173" customFormat="1" x14ac:dyDescent="0.25">
      <c r="A63" s="797"/>
      <c r="B63" s="791" t="s">
        <v>592</v>
      </c>
      <c r="J63" s="840">
        <f>J40*U78</f>
        <v>12.390987202386567</v>
      </c>
      <c r="K63" s="840">
        <f>J63</f>
        <v>12.390987202386567</v>
      </c>
      <c r="L63" s="840">
        <f>K63</f>
        <v>12.390987202386567</v>
      </c>
      <c r="M63" s="840">
        <f>K63</f>
        <v>12.390987202386567</v>
      </c>
      <c r="N63" s="1592">
        <f>'Allocation_Khalid Aug 2017'!F9</f>
        <v>13.889026213928405</v>
      </c>
      <c r="O63" s="849">
        <v>14.120710578402061</v>
      </c>
      <c r="P63" s="849">
        <v>14.356828330122891</v>
      </c>
      <c r="Q63" s="849">
        <v>14.597465128041513</v>
      </c>
      <c r="R63" s="849">
        <v>14.842708415340109</v>
      </c>
      <c r="S63" s="849">
        <v>15.109388154580515</v>
      </c>
      <c r="T63" s="849">
        <v>15.092647457723142</v>
      </c>
      <c r="U63" s="849">
        <v>15.128763104894668</v>
      </c>
      <c r="V63" s="849">
        <v>15.150807852478572</v>
      </c>
      <c r="W63" s="849">
        <v>15.175558851245498</v>
      </c>
      <c r="X63" s="849">
        <v>15.203053482552299</v>
      </c>
      <c r="Z63" s="1006" t="s">
        <v>626</v>
      </c>
      <c r="AD63" s="1003"/>
      <c r="AE63" s="1003">
        <v>2020</v>
      </c>
      <c r="AF63" s="1003">
        <v>2021</v>
      </c>
      <c r="AG63" s="1003">
        <v>2022</v>
      </c>
      <c r="AH63" s="1003">
        <v>2023</v>
      </c>
      <c r="AI63" s="1003">
        <v>2024</v>
      </c>
      <c r="AJ63" s="1003">
        <v>2025</v>
      </c>
      <c r="AK63" s="1003">
        <v>2026</v>
      </c>
      <c r="AL63" s="1003">
        <v>2027</v>
      </c>
      <c r="AM63" s="1003">
        <v>2028</v>
      </c>
      <c r="AN63" s="1003">
        <v>2029</v>
      </c>
      <c r="AO63" s="1003">
        <v>2030</v>
      </c>
      <c r="BB63" s="312"/>
      <c r="BC63" s="312"/>
      <c r="BD63" s="312"/>
      <c r="BE63" s="312"/>
      <c r="BF63" s="312"/>
      <c r="BG63" s="312"/>
      <c r="BH63" s="312"/>
      <c r="BI63" s="312"/>
      <c r="BJ63" s="312"/>
    </row>
    <row r="64" spans="1:62" x14ac:dyDescent="0.25">
      <c r="B64" s="845" t="s">
        <v>2</v>
      </c>
      <c r="J64" s="828">
        <f>J41</f>
        <v>6.480922986572784</v>
      </c>
      <c r="K64" s="828">
        <f>$J64-$J64*$O79</f>
        <v>6.480922986572784</v>
      </c>
      <c r="L64" s="828">
        <f>$J64-$J64*$O79*2</f>
        <v>6.480922986572784</v>
      </c>
      <c r="M64" s="828">
        <f>$J64-$J64*$O79*3</f>
        <v>6.480922986572784</v>
      </c>
      <c r="N64" s="1583">
        <f>N41</f>
        <v>3.8699999999999997</v>
      </c>
      <c r="O64" s="832">
        <f>VLOOKUP($AA$65,$AD$69:$AN$70,2,FALSE)</f>
        <v>3.8699999999999997</v>
      </c>
      <c r="P64" s="832">
        <f>VLOOKUP($AA$65,$AD$69:$AN$70,3,FALSE)</f>
        <v>3.8699999999999997</v>
      </c>
      <c r="Q64" s="832">
        <f>VLOOKUP($AA$65,$AD$69:$AN$70,4,FALSE)</f>
        <v>3.8699999999999997</v>
      </c>
      <c r="R64" s="832">
        <f>VLOOKUP($AA$65,$AD$69:$AN$70,5,FALSE)</f>
        <v>3.8699999999999997</v>
      </c>
      <c r="S64" s="832">
        <f>VLOOKUP($AA$65,$AD$69:$AN$70,6,FALSE)</f>
        <v>3.8699999999999997</v>
      </c>
      <c r="T64" s="832">
        <f>VLOOKUP($AA$65,$AD$69:$AN$70,7,FALSE)</f>
        <v>3.8699999999999997</v>
      </c>
      <c r="U64" s="832">
        <f>VLOOKUP($AA$65,$AD$69:$AN$70,8,FALSE)</f>
        <v>3.8699999999999997</v>
      </c>
      <c r="V64" s="832">
        <f>VLOOKUP($AA$65,$AD$69:$AN$70,9,FALSE)</f>
        <v>3.8699999999999997</v>
      </c>
      <c r="W64" s="832">
        <f>VLOOKUP($AA$65,$AD$69:$AN$70,10,FALSE)</f>
        <v>3.8699999999999997</v>
      </c>
      <c r="X64" s="832">
        <f>VLOOKUP($AA$65,$AD$69:$AN$70,11,FALSE)</f>
        <v>3.8699999999999997</v>
      </c>
      <c r="Y64" s="958"/>
      <c r="AD64" s="1003" t="s">
        <v>627</v>
      </c>
      <c r="AE64" s="1004"/>
      <c r="AF64" s="1004"/>
      <c r="AG64" s="1004"/>
      <c r="AH64" s="1004"/>
      <c r="AI64" s="1004"/>
      <c r="AJ64" s="1004"/>
      <c r="AK64" s="1004"/>
      <c r="AL64" s="1004"/>
      <c r="AM64" s="1004"/>
      <c r="AN64" s="1004"/>
      <c r="BB64" s="312" t="s">
        <v>85</v>
      </c>
      <c r="BC64" s="312">
        <v>0.36312299999999997</v>
      </c>
      <c r="BD64" s="312">
        <v>0.47993200000000003</v>
      </c>
      <c r="BE64" s="312">
        <v>0.48398400000000003</v>
      </c>
      <c r="BF64" s="312">
        <v>0.49171700000000002</v>
      </c>
    </row>
    <row r="65" spans="1:62" x14ac:dyDescent="0.25">
      <c r="B65" s="845" t="s">
        <v>63</v>
      </c>
      <c r="J65" s="828">
        <f>SUM(J66:J67)</f>
        <v>105.32934143888451</v>
      </c>
      <c r="K65" s="933">
        <f>J65-($J65-$M65)/3</f>
        <v>100.22290902301306</v>
      </c>
      <c r="L65" s="933">
        <f>K65-($J65-$M65)/3</f>
        <v>95.116476607141607</v>
      </c>
      <c r="M65" s="933">
        <f>(M42+M43)-M55</f>
        <v>90.010044191270154</v>
      </c>
      <c r="N65" s="1587">
        <f>(N42+N43)-N55</f>
        <v>86.449638417167847</v>
      </c>
      <c r="O65" s="934">
        <f>N65-($N65-$X65)/10</f>
        <v>83.38690736752153</v>
      </c>
      <c r="P65" s="934">
        <f t="shared" ref="P65:W65" si="29">O65-($N65-$X65)/10</f>
        <v>80.324176317875214</v>
      </c>
      <c r="Q65" s="934">
        <f t="shared" si="29"/>
        <v>77.261445268228897</v>
      </c>
      <c r="R65" s="934">
        <f t="shared" si="29"/>
        <v>74.19871421858258</v>
      </c>
      <c r="S65" s="934">
        <f t="shared" si="29"/>
        <v>71.135983168936264</v>
      </c>
      <c r="T65" s="934">
        <f t="shared" si="29"/>
        <v>68.073252119289947</v>
      </c>
      <c r="U65" s="934">
        <f t="shared" si="29"/>
        <v>65.01052106964363</v>
      </c>
      <c r="V65" s="934">
        <f t="shared" si="29"/>
        <v>61.947790019997313</v>
      </c>
      <c r="W65" s="934">
        <f t="shared" si="29"/>
        <v>58.885058970350997</v>
      </c>
      <c r="X65" s="934">
        <f>(X42+X43)-X55</f>
        <v>55.822327920704645</v>
      </c>
      <c r="Y65" s="964"/>
      <c r="Z65" s="1006" t="s">
        <v>614</v>
      </c>
      <c r="AA65" s="1008" t="s">
        <v>493</v>
      </c>
      <c r="AD65" s="1003" t="s">
        <v>628</v>
      </c>
      <c r="AE65" s="1003"/>
      <c r="AF65" s="1003"/>
      <c r="AG65" s="1003"/>
      <c r="AH65" s="1003"/>
      <c r="AI65" s="1003"/>
      <c r="AJ65" s="1003"/>
      <c r="AK65" s="1003"/>
      <c r="AL65" s="1003"/>
      <c r="AM65" s="1003"/>
      <c r="AN65" s="1003"/>
      <c r="BB65" s="312" t="s">
        <v>86</v>
      </c>
      <c r="BC65" s="312">
        <v>0.29633300000000001</v>
      </c>
      <c r="BD65" s="312">
        <v>0.29138399999999998</v>
      </c>
      <c r="BE65" s="312">
        <v>0.26049299999999997</v>
      </c>
      <c r="BF65" s="312">
        <v>0.25771500000000003</v>
      </c>
    </row>
    <row r="66" spans="1:62" s="173" customFormat="1" x14ac:dyDescent="0.25">
      <c r="A66" s="797"/>
      <c r="B66" s="791" t="s">
        <v>66</v>
      </c>
      <c r="J66" s="840">
        <f>J42</f>
        <v>61.463691711425781</v>
      </c>
      <c r="K66" s="840">
        <f>$J66-$J66*$Q$89*1</f>
        <v>57.791349227435923</v>
      </c>
      <c r="L66" s="840">
        <f>$J66-$J66*$Q$89*2</f>
        <v>54.119006743446064</v>
      </c>
      <c r="M66" s="840">
        <f>$J66-$J66*$Q$89*3</f>
        <v>50.446664259456213</v>
      </c>
      <c r="N66" s="1592">
        <f>$J66-$J66*$Q$89*3</f>
        <v>50.446664259456213</v>
      </c>
      <c r="O66" s="849">
        <f>$N66-$N66*$S$89*1</f>
        <v>48.659443771234514</v>
      </c>
      <c r="P66" s="849">
        <f>$N66-$N66*$S$89*2</f>
        <v>46.872223283012822</v>
      </c>
      <c r="Q66" s="849">
        <f>$N66-$N66*$S$89*3</f>
        <v>45.085002794791123</v>
      </c>
      <c r="R66" s="849">
        <f>$N66-$N66*$S$89*4</f>
        <v>43.297782306569424</v>
      </c>
      <c r="S66" s="849">
        <f>$N66-$N66*$S$89*5</f>
        <v>41.510561818347732</v>
      </c>
      <c r="T66" s="849">
        <f>$N66-$N66*$S$89*6</f>
        <v>39.723341330126033</v>
      </c>
      <c r="U66" s="849">
        <f>$N66-$N66*$S$89*7</f>
        <v>37.936120841904341</v>
      </c>
      <c r="V66" s="849">
        <f>$N66-$N66*$S$89*8</f>
        <v>36.148900353682642</v>
      </c>
      <c r="W66" s="849">
        <f>$N66-$N66*$S$89*9</f>
        <v>34.361679865460943</v>
      </c>
      <c r="X66" s="849">
        <f>$N66-$N66*$S$89*10</f>
        <v>32.574459377239251</v>
      </c>
      <c r="Y66" s="966"/>
      <c r="BB66" s="312" t="s">
        <v>87</v>
      </c>
      <c r="BC66" s="312">
        <v>0.28870200000000001</v>
      </c>
      <c r="BD66" s="312">
        <v>0.304591</v>
      </c>
      <c r="BE66" s="312">
        <v>0.32132899999999998</v>
      </c>
      <c r="BF66" s="312">
        <v>0.323932</v>
      </c>
      <c r="BG66" s="312"/>
      <c r="BH66" s="312"/>
      <c r="BI66" s="312"/>
      <c r="BJ66" s="312"/>
    </row>
    <row r="67" spans="1:62" s="173" customFormat="1" x14ac:dyDescent="0.25">
      <c r="A67" s="797"/>
      <c r="B67" s="791" t="s">
        <v>67</v>
      </c>
      <c r="J67" s="840">
        <f>J43</f>
        <v>43.865649727458731</v>
      </c>
      <c r="K67" s="840">
        <f>$J67-$J67*$Q$89*1</f>
        <v>41.24475787087637</v>
      </c>
      <c r="L67" s="840">
        <f>$J67-$J67*$Q$89*2</f>
        <v>38.623866014294002</v>
      </c>
      <c r="M67" s="840">
        <f>$J67-$J67*$Q$89*3</f>
        <v>36.002974157711641</v>
      </c>
      <c r="N67" s="1592">
        <f>$J67-$J67*$Q$89*3</f>
        <v>36.002974157711641</v>
      </c>
      <c r="O67" s="849">
        <f>$N67-$N67*$S$89*1</f>
        <v>34.727463596287016</v>
      </c>
      <c r="P67" s="849">
        <f>$N67-$N67*$S$89*2</f>
        <v>33.451953034862392</v>
      </c>
      <c r="Q67" s="849">
        <f>$N67-$N67*$S$89*3</f>
        <v>32.176442473437767</v>
      </c>
      <c r="R67" s="849">
        <f>$N67-$N67*$S$89*4</f>
        <v>30.900931912013142</v>
      </c>
      <c r="S67" s="849">
        <f>$N67-$N67*$S$89*5</f>
        <v>29.625421350588518</v>
      </c>
      <c r="T67" s="849">
        <f>$N67-$N67*$S$89*6</f>
        <v>28.349910789163896</v>
      </c>
      <c r="U67" s="849">
        <f>$N67-$N67*$S$89*7</f>
        <v>27.074400227739272</v>
      </c>
      <c r="V67" s="849">
        <f>$N67-$N67*$S$89*8</f>
        <v>25.798889666314647</v>
      </c>
      <c r="W67" s="849">
        <f>$N67-$N67*$S$89*9</f>
        <v>24.523379104890022</v>
      </c>
      <c r="X67" s="849">
        <f>$N67-$N67*$S$89*10</f>
        <v>23.247868543465398</v>
      </c>
      <c r="Y67" s="966"/>
      <c r="AD67" s="1005">
        <v>1</v>
      </c>
      <c r="AE67" s="1005">
        <v>2</v>
      </c>
      <c r="AF67" s="1005">
        <v>3</v>
      </c>
      <c r="AG67" s="1005">
        <v>4</v>
      </c>
      <c r="AH67" s="1005">
        <v>5</v>
      </c>
      <c r="AI67" s="1005">
        <v>6</v>
      </c>
      <c r="AJ67" s="1005">
        <v>7</v>
      </c>
      <c r="AK67" s="1005">
        <v>8</v>
      </c>
      <c r="AL67" s="1005">
        <v>9</v>
      </c>
      <c r="AM67" s="1005">
        <v>10</v>
      </c>
      <c r="AN67" s="1005">
        <v>11</v>
      </c>
      <c r="BB67" s="312" t="s">
        <v>88</v>
      </c>
      <c r="BC67" s="312">
        <v>0.20796100000000001</v>
      </c>
      <c r="BD67" s="312">
        <v>0.14618500000000001</v>
      </c>
      <c r="BE67" s="312">
        <v>0.18004899999999999</v>
      </c>
      <c r="BF67" s="312">
        <v>0.18599299999999999</v>
      </c>
      <c r="BG67" s="312"/>
      <c r="BH67" s="312"/>
      <c r="BI67" s="312"/>
      <c r="BJ67" s="312"/>
    </row>
    <row r="68" spans="1:62" x14ac:dyDescent="0.25">
      <c r="B68" s="852" t="s">
        <v>179</v>
      </c>
      <c r="J68" s="850">
        <f>J64+J65</f>
        <v>111.81026442545729</v>
      </c>
      <c r="K68" s="850">
        <f t="shared" ref="K68:X68" si="30">K64+K65</f>
        <v>106.70383200958584</v>
      </c>
      <c r="L68" s="850">
        <f t="shared" si="30"/>
        <v>101.59739959371439</v>
      </c>
      <c r="M68" s="850">
        <f>M64+M65</f>
        <v>96.490967177842933</v>
      </c>
      <c r="N68" s="1592">
        <f t="shared" si="30"/>
        <v>90.319638417167852</v>
      </c>
      <c r="O68" s="851">
        <f t="shared" si="30"/>
        <v>87.256907367521535</v>
      </c>
      <c r="P68" s="851">
        <f t="shared" si="30"/>
        <v>84.194176317875218</v>
      </c>
      <c r="Q68" s="851">
        <f t="shared" si="30"/>
        <v>81.131445268228902</v>
      </c>
      <c r="R68" s="851">
        <f t="shared" si="30"/>
        <v>78.068714218582585</v>
      </c>
      <c r="S68" s="851">
        <f t="shared" si="30"/>
        <v>75.005983168936268</v>
      </c>
      <c r="T68" s="851">
        <f t="shared" si="30"/>
        <v>71.943252119289951</v>
      </c>
      <c r="U68" s="851">
        <f t="shared" si="30"/>
        <v>68.880521069643635</v>
      </c>
      <c r="V68" s="851">
        <f t="shared" si="30"/>
        <v>65.817790019997318</v>
      </c>
      <c r="W68" s="851">
        <f t="shared" si="30"/>
        <v>62.755058970350994</v>
      </c>
      <c r="X68" s="851">
        <f t="shared" si="30"/>
        <v>59.692327920704642</v>
      </c>
      <c r="Y68" s="967"/>
      <c r="AD68" s="1003"/>
      <c r="AE68" s="1003">
        <v>2021</v>
      </c>
      <c r="AF68" s="1003">
        <v>2022</v>
      </c>
      <c r="AG68" s="1003">
        <v>2023</v>
      </c>
      <c r="AH68" s="1003">
        <v>2024</v>
      </c>
      <c r="AI68" s="1003">
        <v>2025</v>
      </c>
      <c r="AJ68" s="1003">
        <v>2026</v>
      </c>
      <c r="AK68" s="1003">
        <v>2027</v>
      </c>
      <c r="AL68" s="1003">
        <v>2028</v>
      </c>
      <c r="AM68" s="1003">
        <v>2029</v>
      </c>
      <c r="AN68" s="1003">
        <v>2030</v>
      </c>
      <c r="BB68" s="312" t="s">
        <v>89</v>
      </c>
      <c r="BC68" s="312">
        <v>0.13961899999999999</v>
      </c>
      <c r="BD68" s="312">
        <v>0.13515199999999999</v>
      </c>
      <c r="BE68" s="312">
        <v>0.145704</v>
      </c>
      <c r="BF68" s="312">
        <v>0.135209</v>
      </c>
    </row>
    <row r="69" spans="1:62" x14ac:dyDescent="0.25">
      <c r="B69" s="852" t="s">
        <v>428</v>
      </c>
      <c r="J69" s="850">
        <f t="shared" ref="J69:O69" si="31">J65+J64+J62</f>
        <v>128.92162770494352</v>
      </c>
      <c r="K69" s="850">
        <f t="shared" si="31"/>
        <v>123.03371932809792</v>
      </c>
      <c r="L69" s="850">
        <f t="shared" si="31"/>
        <v>117.14581095125233</v>
      </c>
      <c r="M69" s="850">
        <f t="shared" si="31"/>
        <v>111.25790257440674</v>
      </c>
      <c r="N69" s="1592">
        <f t="shared" si="31"/>
        <v>109.75986356286492</v>
      </c>
      <c r="O69" s="851">
        <f t="shared" si="31"/>
        <v>106.0388864897853</v>
      </c>
      <c r="P69" s="851">
        <f t="shared" ref="P69:X69" si="32">P65+P64+P62</f>
        <v>102.31790941670567</v>
      </c>
      <c r="Q69" s="851">
        <f t="shared" si="32"/>
        <v>98.596932343626065</v>
      </c>
      <c r="R69" s="851">
        <f t="shared" si="32"/>
        <v>94.875955270546442</v>
      </c>
      <c r="S69" s="851">
        <f t="shared" si="32"/>
        <v>91.154978197466818</v>
      </c>
      <c r="T69" s="851">
        <f t="shared" si="32"/>
        <v>87.434001124387194</v>
      </c>
      <c r="U69" s="851">
        <f t="shared" si="32"/>
        <v>83.713024051307585</v>
      </c>
      <c r="V69" s="851">
        <f t="shared" si="32"/>
        <v>79.992046978227961</v>
      </c>
      <c r="W69" s="851">
        <f t="shared" si="32"/>
        <v>76.271069905148337</v>
      </c>
      <c r="X69" s="851">
        <f t="shared" si="32"/>
        <v>72.550092832068685</v>
      </c>
      <c r="Y69" s="967"/>
      <c r="AD69" s="1003" t="s">
        <v>276</v>
      </c>
      <c r="AE69" s="1004">
        <f>'Electricity Sector Emissions'!AI14</f>
        <v>3.6</v>
      </c>
      <c r="AF69" s="1004">
        <f>'Electricity Sector Emissions'!AJ14</f>
        <v>3.7</v>
      </c>
      <c r="AG69" s="1004">
        <f>'Electricity Sector Emissions'!AK14</f>
        <v>4.2</v>
      </c>
      <c r="AH69" s="1004">
        <f>'Electricity Sector Emissions'!AL14</f>
        <v>3.4</v>
      </c>
      <c r="AI69" s="1004">
        <f>'Electricity Sector Emissions'!AM14</f>
        <v>4.7</v>
      </c>
      <c r="AJ69" s="1004">
        <f>'Electricity Sector Emissions'!AN14</f>
        <v>3.8</v>
      </c>
      <c r="AK69" s="1004">
        <f>'Electricity Sector Emissions'!AO14</f>
        <v>3.9</v>
      </c>
      <c r="AL69" s="1004">
        <f>'Electricity Sector Emissions'!AP14</f>
        <v>3.7</v>
      </c>
      <c r="AM69" s="1004">
        <f>'Electricity Sector Emissions'!AQ14</f>
        <v>3.9</v>
      </c>
      <c r="AN69" s="1004">
        <f>'Electricity Sector Emissions'!AR14</f>
        <v>3.8</v>
      </c>
      <c r="BB69" s="312" t="s">
        <v>90</v>
      </c>
      <c r="BC69" s="312">
        <v>0.101923</v>
      </c>
      <c r="BD69" s="312">
        <v>0.137846</v>
      </c>
      <c r="BE69" s="312">
        <v>0.142485</v>
      </c>
      <c r="BF69" s="312">
        <v>0.155691</v>
      </c>
    </row>
    <row r="70" spans="1:62" s="785" customFormat="1" x14ac:dyDescent="0.25">
      <c r="J70" s="806" t="s">
        <v>467</v>
      </c>
      <c r="K70" s="806"/>
      <c r="L70" s="806"/>
      <c r="M70" s="806"/>
      <c r="N70" s="1280"/>
      <c r="O70" s="1624" t="s">
        <v>468</v>
      </c>
      <c r="P70" s="1624"/>
      <c r="Q70" s="1624"/>
      <c r="R70" s="1624"/>
      <c r="S70" s="1624"/>
      <c r="T70" s="1624"/>
      <c r="U70" s="1624"/>
      <c r="V70" s="1624"/>
      <c r="W70" s="1624"/>
      <c r="X70" s="1624"/>
      <c r="Y70" s="946"/>
      <c r="Z70" s="767"/>
      <c r="AA70" s="767"/>
      <c r="AD70" s="1003" t="s">
        <v>493</v>
      </c>
      <c r="AE70" s="1003">
        <f>'Electricity Sector Emissions'!$AI$16</f>
        <v>3.8699999999999997</v>
      </c>
      <c r="AF70" s="1003">
        <f>'Electricity Sector Emissions'!$AI$16</f>
        <v>3.8699999999999997</v>
      </c>
      <c r="AG70" s="1003">
        <f>'Electricity Sector Emissions'!$AI$16</f>
        <v>3.8699999999999997</v>
      </c>
      <c r="AH70" s="1003">
        <f>'Electricity Sector Emissions'!$AI$16</f>
        <v>3.8699999999999997</v>
      </c>
      <c r="AI70" s="1003">
        <f>'Electricity Sector Emissions'!$AI$16</f>
        <v>3.8699999999999997</v>
      </c>
      <c r="AJ70" s="1003">
        <f>'Electricity Sector Emissions'!$AI$16</f>
        <v>3.8699999999999997</v>
      </c>
      <c r="AK70" s="1003">
        <f>'Electricity Sector Emissions'!$AI$16</f>
        <v>3.8699999999999997</v>
      </c>
      <c r="AL70" s="1003">
        <f>'Electricity Sector Emissions'!$AI$16</f>
        <v>3.8699999999999997</v>
      </c>
      <c r="AM70" s="1003">
        <f>'Electricity Sector Emissions'!$AI$16</f>
        <v>3.8699999999999997</v>
      </c>
      <c r="AN70" s="1003">
        <f>'Electricity Sector Emissions'!$AI$16</f>
        <v>3.8699999999999997</v>
      </c>
      <c r="BB70" s="312"/>
      <c r="BC70" s="312"/>
      <c r="BD70" s="312"/>
      <c r="BE70" s="312"/>
      <c r="BF70" s="312"/>
      <c r="BG70" s="312"/>
      <c r="BH70" s="312"/>
      <c r="BI70" s="312"/>
      <c r="BJ70" s="312"/>
    </row>
    <row r="71" spans="1:62" s="785" customFormat="1" x14ac:dyDescent="0.25">
      <c r="J71" s="806" t="s">
        <v>594</v>
      </c>
      <c r="K71" s="806"/>
      <c r="L71" s="806"/>
      <c r="M71" s="806"/>
      <c r="N71" s="1280"/>
      <c r="O71" s="1624" t="s">
        <v>593</v>
      </c>
      <c r="P71" s="1624"/>
      <c r="Q71" s="1624"/>
      <c r="R71" s="1624"/>
      <c r="S71" s="1624"/>
      <c r="T71" s="1624"/>
      <c r="U71" s="1624"/>
      <c r="V71" s="1624"/>
      <c r="W71" s="1624"/>
      <c r="X71" s="1624"/>
      <c r="Y71" s="946"/>
      <c r="Z71" s="767"/>
      <c r="AA71" s="767"/>
      <c r="BB71" s="157" t="s">
        <v>91</v>
      </c>
      <c r="BC71" s="312"/>
      <c r="BD71" s="312"/>
      <c r="BE71" s="312"/>
      <c r="BF71" s="312"/>
      <c r="BG71" s="312"/>
      <c r="BH71" s="312"/>
      <c r="BI71" s="312"/>
      <c r="BJ71" s="312"/>
    </row>
    <row r="72" spans="1:62" x14ac:dyDescent="0.25">
      <c r="B72" s="1156" t="s">
        <v>112</v>
      </c>
      <c r="C72" s="765"/>
      <c r="D72" s="765"/>
      <c r="E72" s="765"/>
      <c r="F72" s="765"/>
      <c r="G72" s="765"/>
      <c r="H72" s="765"/>
      <c r="I72" s="765"/>
      <c r="J72" s="844">
        <v>12.230901558896287</v>
      </c>
      <c r="K72" s="844">
        <v>13.034013518870387</v>
      </c>
      <c r="L72" s="844">
        <v>13.45429782049424</v>
      </c>
      <c r="M72" s="844">
        <v>13.889026213928405</v>
      </c>
      <c r="N72" s="1593">
        <v>13.889026213928405</v>
      </c>
      <c r="O72" s="844"/>
      <c r="P72" s="844"/>
      <c r="Q72" s="765"/>
      <c r="Z72" s="793"/>
      <c r="AA72" s="793">
        <v>2020</v>
      </c>
      <c r="AC72" s="312">
        <v>2030</v>
      </c>
      <c r="BB72" s="312" t="s">
        <v>92</v>
      </c>
      <c r="BC72" s="312">
        <v>30.604073000000007</v>
      </c>
      <c r="BD72" s="312">
        <v>30.742030999999997</v>
      </c>
      <c r="BE72" s="312">
        <v>31.306160999999999</v>
      </c>
      <c r="BF72" s="312">
        <v>29.095790999999998</v>
      </c>
    </row>
    <row r="73" spans="1:62" ht="15.75" thickBot="1" x14ac:dyDescent="0.3">
      <c r="B73" s="765"/>
      <c r="C73" s="765"/>
      <c r="D73" s="765"/>
      <c r="E73" s="765"/>
      <c r="F73" s="765"/>
      <c r="G73" s="765"/>
      <c r="H73" s="765"/>
      <c r="I73" s="765"/>
      <c r="J73" s="794"/>
      <c r="K73" s="765"/>
      <c r="L73" s="765"/>
      <c r="M73" s="765"/>
      <c r="N73" s="765"/>
      <c r="O73" s="844"/>
      <c r="P73" s="844"/>
      <c r="Q73" s="844"/>
      <c r="R73" s="844"/>
      <c r="S73" s="844"/>
      <c r="T73" s="844"/>
      <c r="U73" s="844"/>
      <c r="V73" s="844"/>
      <c r="W73" s="844"/>
      <c r="X73" s="844"/>
      <c r="Z73" s="312" t="s">
        <v>676</v>
      </c>
      <c r="AA73" s="1350">
        <f>M60</f>
        <v>123.64888977679331</v>
      </c>
      <c r="AC73" s="1350">
        <f>X60</f>
        <v>87.724919109344484</v>
      </c>
      <c r="AE73" s="301">
        <f>(1-AC73/AA73)/10</f>
        <v>2.9053209238107624E-2</v>
      </c>
      <c r="BB73" s="312" t="s">
        <v>93</v>
      </c>
      <c r="BC73" s="312">
        <v>23.471340999999999</v>
      </c>
      <c r="BD73" s="312">
        <v>15.654388000000001</v>
      </c>
      <c r="BE73" s="312">
        <v>16.177610999999999</v>
      </c>
      <c r="BF73" s="312">
        <v>13.049913</v>
      </c>
    </row>
    <row r="74" spans="1:62" x14ac:dyDescent="0.25">
      <c r="B74" s="765"/>
      <c r="C74" s="765"/>
      <c r="D74" s="765"/>
      <c r="E74" s="765"/>
      <c r="F74" s="765"/>
      <c r="G74" s="765"/>
      <c r="H74" s="765"/>
      <c r="I74" s="765"/>
      <c r="J74" s="912"/>
      <c r="K74" s="792"/>
      <c r="L74" s="792"/>
      <c r="M74" s="792"/>
      <c r="N74" s="792"/>
      <c r="O74" s="913" t="s">
        <v>478</v>
      </c>
      <c r="P74" s="914"/>
      <c r="Q74" s="913" t="s">
        <v>477</v>
      </c>
      <c r="R74" s="858"/>
      <c r="S74" s="792"/>
      <c r="T74" s="792"/>
      <c r="U74" s="792"/>
      <c r="V74" s="792"/>
      <c r="W74" s="792"/>
      <c r="X74" s="857"/>
      <c r="Y74" s="856"/>
      <c r="Z74" s="312" t="s">
        <v>677</v>
      </c>
      <c r="AA74" s="923">
        <f>O59</f>
        <v>1.0289999999999999</v>
      </c>
      <c r="AC74" s="923">
        <f>X59</f>
        <v>1.0289999999999999</v>
      </c>
      <c r="AE74" s="301"/>
    </row>
    <row r="75" spans="1:62" x14ac:dyDescent="0.25">
      <c r="B75" s="765"/>
      <c r="C75" s="765"/>
      <c r="D75" s="765"/>
      <c r="J75" s="884"/>
      <c r="K75" s="885"/>
      <c r="L75" s="860" t="s">
        <v>55</v>
      </c>
      <c r="M75" s="860"/>
      <c r="N75" s="860"/>
      <c r="O75" s="915">
        <v>2017</v>
      </c>
      <c r="P75" s="865"/>
      <c r="Q75" s="915">
        <v>2020</v>
      </c>
      <c r="R75" s="888"/>
      <c r="S75" s="885"/>
      <c r="T75" s="888"/>
      <c r="U75" s="888"/>
      <c r="V75" s="888"/>
      <c r="W75" s="885"/>
      <c r="X75" s="887"/>
      <c r="Y75" s="892"/>
      <c r="Z75" s="312" t="s">
        <v>678</v>
      </c>
      <c r="AA75" s="844">
        <f>AA73+AA74</f>
        <v>124.67788977679331</v>
      </c>
      <c r="AC75" s="844">
        <f>AC73+AC74</f>
        <v>88.75391910934448</v>
      </c>
      <c r="AE75" s="301">
        <f>1-AC75/AA75</f>
        <v>0.28813425324860986</v>
      </c>
      <c r="BB75" s="312" t="s">
        <v>94</v>
      </c>
      <c r="BC75" s="312">
        <v>0.37824099999999999</v>
      </c>
      <c r="BD75" s="312">
        <v>0.38194</v>
      </c>
      <c r="BE75" s="312">
        <v>0.357153</v>
      </c>
      <c r="BF75" s="312">
        <v>0.36861699999999997</v>
      </c>
    </row>
    <row r="76" spans="1:62" x14ac:dyDescent="0.25">
      <c r="B76" s="765"/>
      <c r="C76" s="765"/>
      <c r="D76" s="765"/>
      <c r="J76" s="884"/>
      <c r="K76" s="885"/>
      <c r="L76" s="860" t="s">
        <v>56</v>
      </c>
      <c r="M76" s="860"/>
      <c r="N76" s="860"/>
      <c r="O76" s="916" t="s">
        <v>116</v>
      </c>
      <c r="P76" s="917"/>
      <c r="Q76" s="916" t="s">
        <v>473</v>
      </c>
      <c r="R76" s="888"/>
      <c r="S76" s="885"/>
      <c r="T76" s="865"/>
      <c r="U76" s="1044">
        <v>2017</v>
      </c>
      <c r="V76" s="863"/>
      <c r="W76" s="885"/>
      <c r="X76" s="887"/>
      <c r="Y76" s="892"/>
      <c r="AA76" s="146">
        <f>(20-10)/10</f>
        <v>1</v>
      </c>
    </row>
    <row r="77" spans="1:62" x14ac:dyDescent="0.25">
      <c r="B77" s="765"/>
      <c r="C77" s="765"/>
      <c r="D77" s="765"/>
      <c r="J77" s="884"/>
      <c r="K77" s="885"/>
      <c r="L77" s="920"/>
      <c r="M77" s="921"/>
      <c r="N77" s="921" t="s">
        <v>36</v>
      </c>
      <c r="O77" s="861">
        <v>4.5670000000000002E-2</v>
      </c>
      <c r="P77" s="862" t="s">
        <v>57</v>
      </c>
      <c r="Q77" s="861">
        <v>3.3860000000000001E-2</v>
      </c>
      <c r="R77" s="886"/>
      <c r="S77" s="885"/>
      <c r="T77" s="863" t="s">
        <v>58</v>
      </c>
      <c r="U77" s="893">
        <f>1-U78</f>
        <v>0.58000000000000007</v>
      </c>
      <c r="V77" s="885"/>
      <c r="W77" s="885"/>
      <c r="X77" s="887"/>
      <c r="Y77" s="892"/>
      <c r="AA77" s="765">
        <f>(AA73-AC73)/10</f>
        <v>3.5923970667448826</v>
      </c>
      <c r="BB77" s="312" t="s">
        <v>90</v>
      </c>
      <c r="BC77" s="312">
        <v>0.101923</v>
      </c>
      <c r="BD77" s="312">
        <v>0.137846</v>
      </c>
      <c r="BE77" s="312">
        <v>0.142485</v>
      </c>
      <c r="BF77" s="312">
        <v>0.155691</v>
      </c>
    </row>
    <row r="78" spans="1:62" x14ac:dyDescent="0.25">
      <c r="B78" s="765"/>
      <c r="C78" s="765"/>
      <c r="D78" s="765"/>
      <c r="J78" s="884"/>
      <c r="K78" s="885"/>
      <c r="L78" s="922"/>
      <c r="M78" s="860"/>
      <c r="N78" s="860"/>
      <c r="O78" s="864">
        <v>0</v>
      </c>
      <c r="P78" s="865" t="s">
        <v>59</v>
      </c>
      <c r="Q78" s="864">
        <v>0</v>
      </c>
      <c r="R78" s="886"/>
      <c r="S78" s="885"/>
      <c r="T78" s="863" t="s">
        <v>59</v>
      </c>
      <c r="U78" s="893">
        <v>0.42</v>
      </c>
      <c r="V78" s="885"/>
      <c r="W78" s="885"/>
      <c r="X78" s="887"/>
      <c r="Y78" s="892"/>
      <c r="AA78" s="765"/>
      <c r="BB78" s="312" t="s">
        <v>86</v>
      </c>
      <c r="BC78" s="312">
        <v>0.29633300000000001</v>
      </c>
      <c r="BD78" s="312">
        <v>0.29138399999999998</v>
      </c>
      <c r="BE78" s="312">
        <v>0.26049299999999997</v>
      </c>
      <c r="BF78" s="312">
        <v>0.25771500000000003</v>
      </c>
    </row>
    <row r="79" spans="1:62" x14ac:dyDescent="0.25">
      <c r="B79" s="765"/>
      <c r="C79" s="765"/>
      <c r="D79" s="765"/>
      <c r="J79" s="884"/>
      <c r="K79" s="885"/>
      <c r="L79" s="920"/>
      <c r="M79" s="860"/>
      <c r="N79" s="860" t="s">
        <v>60</v>
      </c>
      <c r="O79" s="918">
        <v>0</v>
      </c>
      <c r="P79" s="865" t="s">
        <v>61</v>
      </c>
      <c r="Q79" s="918">
        <v>0</v>
      </c>
      <c r="R79" s="886"/>
      <c r="S79" s="888"/>
      <c r="T79" s="888"/>
      <c r="U79" s="888"/>
      <c r="V79" s="885"/>
      <c r="W79" s="885"/>
      <c r="X79" s="887"/>
      <c r="Y79" s="892"/>
      <c r="AA79" s="765"/>
      <c r="BB79" s="312" t="s">
        <v>81</v>
      </c>
      <c r="BC79" s="312">
        <v>54.851911000000008</v>
      </c>
      <c r="BD79" s="312">
        <v>47.207588999999999</v>
      </c>
      <c r="BE79" s="312">
        <v>48.243902999999996</v>
      </c>
      <c r="BF79" s="312">
        <v>42.92772699999999</v>
      </c>
    </row>
    <row r="80" spans="1:62" x14ac:dyDescent="0.25">
      <c r="B80" s="765"/>
      <c r="C80" s="765"/>
      <c r="D80" s="765"/>
      <c r="J80" s="884"/>
      <c r="K80" s="885"/>
      <c r="L80" s="920"/>
      <c r="M80" s="860"/>
      <c r="N80" s="860" t="s">
        <v>63</v>
      </c>
      <c r="O80" s="919">
        <f>O89</f>
        <v>4.8480626064052346E-2</v>
      </c>
      <c r="P80" s="865" t="s">
        <v>64</v>
      </c>
      <c r="Q80" s="919">
        <f>S89</f>
        <v>3.5427922033252825E-2</v>
      </c>
      <c r="R80" s="886"/>
      <c r="S80" s="888"/>
      <c r="T80" s="888"/>
      <c r="U80" s="888"/>
      <c r="V80" s="885"/>
      <c r="W80" s="885"/>
      <c r="X80" s="887"/>
      <c r="Y80" s="892"/>
      <c r="AA80" s="765"/>
      <c r="BB80" s="158" t="s">
        <v>95</v>
      </c>
      <c r="BC80" s="796">
        <f>SUM(BC72,BC75,BC77,BC78)</f>
        <v>31.380570000000006</v>
      </c>
      <c r="BD80" s="796">
        <f>SUM(BD72,BD75,BD77,BD78)</f>
        <v>31.553200999999998</v>
      </c>
      <c r="BE80" s="796">
        <f>SUM(BE72,BE75,BE77,BE78)</f>
        <v>32.066291999999997</v>
      </c>
      <c r="BF80" s="796">
        <f>SUM(BF72,BF75,BF77,BF78)</f>
        <v>29.877814000000001</v>
      </c>
    </row>
    <row r="81" spans="1:73" x14ac:dyDescent="0.25">
      <c r="B81" s="765"/>
      <c r="C81" s="765"/>
      <c r="D81" s="765"/>
      <c r="J81" s="884"/>
      <c r="K81" s="885"/>
      <c r="L81" s="922"/>
      <c r="M81" s="860"/>
      <c r="N81" s="860" t="s">
        <v>475</v>
      </c>
      <c r="O81" s="866">
        <f>O86</f>
        <v>4.1665836986363579E-2</v>
      </c>
      <c r="P81" s="865" t="s">
        <v>64</v>
      </c>
      <c r="Q81" s="866">
        <f>S86</f>
        <v>2.9053209238107624E-2</v>
      </c>
      <c r="R81" s="886"/>
      <c r="S81" s="888"/>
      <c r="T81" s="888"/>
      <c r="U81" s="888"/>
      <c r="V81" s="885"/>
      <c r="W81" s="885"/>
      <c r="X81" s="887"/>
      <c r="Y81" s="892"/>
      <c r="AA81" s="1217"/>
      <c r="AB81" s="1216"/>
    </row>
    <row r="82" spans="1:73" ht="18" x14ac:dyDescent="0.35">
      <c r="B82" s="765"/>
      <c r="C82" s="765"/>
      <c r="D82" s="765"/>
      <c r="J82" s="884"/>
      <c r="K82" s="885"/>
      <c r="L82" s="920"/>
      <c r="M82" s="859"/>
      <c r="N82" s="859"/>
      <c r="O82" s="885"/>
      <c r="P82" s="885"/>
      <c r="Q82" s="885"/>
      <c r="R82" s="885"/>
      <c r="S82" s="885"/>
      <c r="T82" s="885"/>
      <c r="U82" s="885"/>
      <c r="V82" s="885"/>
      <c r="W82" s="885"/>
      <c r="X82" s="887"/>
      <c r="Y82" s="892"/>
      <c r="AA82" s="970" t="s">
        <v>471</v>
      </c>
      <c r="AB82" s="970" t="s">
        <v>472</v>
      </c>
      <c r="AD82" s="970" t="s">
        <v>474</v>
      </c>
    </row>
    <row r="83" spans="1:73" x14ac:dyDescent="0.25">
      <c r="B83" s="765"/>
      <c r="C83" s="765"/>
      <c r="D83" s="765"/>
      <c r="J83" s="884"/>
      <c r="K83" s="885"/>
      <c r="L83" s="892"/>
      <c r="M83" s="885"/>
      <c r="N83" s="1623" t="s">
        <v>116</v>
      </c>
      <c r="O83" s="1623"/>
      <c r="P83" s="1621" t="s">
        <v>116</v>
      </c>
      <c r="Q83" s="1621"/>
      <c r="R83" s="1622" t="s">
        <v>473</v>
      </c>
      <c r="S83" s="1622"/>
      <c r="T83" s="885"/>
      <c r="U83" s="885"/>
      <c r="V83" s="885"/>
      <c r="W83" s="885"/>
      <c r="X83" s="887"/>
      <c r="Y83" s="892"/>
      <c r="AA83" s="971">
        <v>0</v>
      </c>
      <c r="AB83" s="993">
        <v>3.3860000000000001E-2</v>
      </c>
      <c r="AD83" s="1001">
        <f>S86</f>
        <v>2.9053209238107624E-2</v>
      </c>
    </row>
    <row r="84" spans="1:73" x14ac:dyDescent="0.25">
      <c r="B84" s="853"/>
      <c r="C84" s="765"/>
      <c r="D84" s="765"/>
      <c r="J84" s="884"/>
      <c r="K84" s="859"/>
      <c r="L84" s="859"/>
      <c r="M84" s="867" t="s">
        <v>112</v>
      </c>
      <c r="N84" s="868" t="s">
        <v>114</v>
      </c>
      <c r="O84" s="869" t="s">
        <v>115</v>
      </c>
      <c r="P84" s="1283" t="s">
        <v>114</v>
      </c>
      <c r="Q84" s="1284" t="s">
        <v>115</v>
      </c>
      <c r="R84" s="868" t="s">
        <v>114</v>
      </c>
      <c r="S84" s="869" t="s">
        <v>115</v>
      </c>
      <c r="T84" s="885"/>
      <c r="U84" s="885"/>
      <c r="V84" s="885"/>
      <c r="W84" s="885"/>
      <c r="X84" s="887"/>
      <c r="Y84" s="892"/>
      <c r="AA84" s="971">
        <v>0.01</v>
      </c>
      <c r="AB84" s="993">
        <v>3.1220000000000001E-2</v>
      </c>
    </row>
    <row r="85" spans="1:73" x14ac:dyDescent="0.25">
      <c r="B85" s="854"/>
      <c r="C85" s="765"/>
      <c r="D85" s="765"/>
      <c r="J85" s="884"/>
      <c r="K85" s="859"/>
      <c r="L85" s="859"/>
      <c r="M85" s="867" t="s">
        <v>611</v>
      </c>
      <c r="N85" s="870">
        <f>1-M58/J58</f>
        <v>0.12410254450126945</v>
      </c>
      <c r="O85" s="871">
        <f t="shared" ref="O85:O91" si="33">N85/3</f>
        <v>4.1367514833756482E-2</v>
      </c>
      <c r="P85" s="1285">
        <f>1-N58/J58</f>
        <v>0.12410254450126945</v>
      </c>
      <c r="Q85" s="1286">
        <f t="shared" ref="Q85:Q91" si="34">P85/3</f>
        <v>4.1367514833756482E-2</v>
      </c>
      <c r="R85" s="870">
        <f>1-X58/M58</f>
        <v>0.28807759206748607</v>
      </c>
      <c r="S85" s="872">
        <f t="shared" ref="S85:S91" si="35">R85/10</f>
        <v>2.8807759206748607E-2</v>
      </c>
      <c r="T85" s="885"/>
      <c r="U85" s="885"/>
      <c r="V85" s="885"/>
      <c r="W85" s="885"/>
      <c r="X85" s="887"/>
      <c r="Y85" s="892"/>
      <c r="AA85" s="765"/>
    </row>
    <row r="86" spans="1:73" x14ac:dyDescent="0.25">
      <c r="B86" s="854"/>
      <c r="C86" s="765"/>
      <c r="D86" s="765"/>
      <c r="J86" s="884"/>
      <c r="K86" s="859"/>
      <c r="L86" s="859"/>
      <c r="M86" s="867" t="s">
        <v>612</v>
      </c>
      <c r="N86" s="870">
        <f>1-M60/J60</f>
        <v>0.12499751095909073</v>
      </c>
      <c r="O86" s="871">
        <f t="shared" si="33"/>
        <v>4.1665836986363579E-2</v>
      </c>
      <c r="P86" s="1285">
        <f>1-N60/J60</f>
        <v>0.12499751095909073</v>
      </c>
      <c r="Q86" s="1286">
        <f t="shared" si="34"/>
        <v>4.1665836986363579E-2</v>
      </c>
      <c r="R86" s="870">
        <f>1-X60/M60</f>
        <v>0.29053209238107625</v>
      </c>
      <c r="S86" s="872">
        <f t="shared" si="35"/>
        <v>2.9053209238107624E-2</v>
      </c>
      <c r="T86" s="885"/>
      <c r="U86" s="885"/>
      <c r="V86" s="885"/>
      <c r="W86" s="885"/>
      <c r="X86" s="887"/>
      <c r="Y86" s="892"/>
      <c r="AA86" s="765"/>
    </row>
    <row r="87" spans="1:73" x14ac:dyDescent="0.25">
      <c r="B87" s="855"/>
      <c r="C87" s="765"/>
      <c r="D87" s="765"/>
      <c r="J87" s="884"/>
      <c r="K87" s="859"/>
      <c r="L87" s="859"/>
      <c r="M87" s="873" t="s">
        <v>96</v>
      </c>
      <c r="N87" s="870">
        <f>1-M61/J61</f>
        <v>7.946579999999992E-2</v>
      </c>
      <c r="O87" s="871">
        <f t="shared" si="33"/>
        <v>2.6488599999999973E-2</v>
      </c>
      <c r="P87" s="1285">
        <f>1-N61/J61</f>
        <v>-0.12971511812606451</v>
      </c>
      <c r="Q87" s="1286">
        <f t="shared" si="34"/>
        <v>-4.3238372708688168E-2</v>
      </c>
      <c r="R87" s="870">
        <f>1-X61/N61</f>
        <v>0.15807234638613066</v>
      </c>
      <c r="S87" s="872">
        <f t="shared" si="35"/>
        <v>1.5807234638613065E-2</v>
      </c>
      <c r="T87" s="885"/>
      <c r="U87" s="885"/>
      <c r="V87" s="885"/>
      <c r="W87" s="885"/>
      <c r="X87" s="887"/>
      <c r="Y87" s="892"/>
      <c r="AA87" s="1217"/>
      <c r="AB87" s="1216"/>
    </row>
    <row r="88" spans="1:73" x14ac:dyDescent="0.25">
      <c r="B88" s="855"/>
      <c r="C88" s="765"/>
      <c r="D88" s="765"/>
      <c r="J88" s="884"/>
      <c r="K88" s="859"/>
      <c r="L88" s="859"/>
      <c r="M88" s="874" t="s">
        <v>2</v>
      </c>
      <c r="N88" s="870">
        <f>1-M64/J64</f>
        <v>0</v>
      </c>
      <c r="O88" s="875">
        <f t="shared" si="33"/>
        <v>0</v>
      </c>
      <c r="P88" s="1285">
        <f>1-N64/J64</f>
        <v>0.40286283172660908</v>
      </c>
      <c r="Q88" s="1287">
        <f t="shared" si="34"/>
        <v>0.13428761057553637</v>
      </c>
      <c r="R88" s="870">
        <f>1-X64/N64</f>
        <v>0</v>
      </c>
      <c r="S88" s="871">
        <f t="shared" si="35"/>
        <v>0</v>
      </c>
      <c r="T88" s="885"/>
      <c r="U88" s="885"/>
      <c r="V88" s="885"/>
      <c r="W88" s="885"/>
      <c r="X88" s="887"/>
      <c r="Y88" s="892"/>
    </row>
    <row r="89" spans="1:73" x14ac:dyDescent="0.25">
      <c r="B89" s="855"/>
      <c r="C89" s="765"/>
      <c r="D89" s="765"/>
      <c r="J89" s="884"/>
      <c r="K89" s="859"/>
      <c r="L89" s="859"/>
      <c r="M89" s="876" t="s">
        <v>63</v>
      </c>
      <c r="N89" s="870">
        <f>1-M65/J65</f>
        <v>0.14544187819215704</v>
      </c>
      <c r="O89" s="872">
        <f t="shared" si="33"/>
        <v>4.8480626064052346E-2</v>
      </c>
      <c r="P89" s="1285">
        <f>1-N65/J65</f>
        <v>0.17924447987431191</v>
      </c>
      <c r="Q89" s="1288">
        <f t="shared" si="34"/>
        <v>5.9748159958103973E-2</v>
      </c>
      <c r="R89" s="870">
        <f>1-X65/N65</f>
        <v>0.35427922033252823</v>
      </c>
      <c r="S89" s="872">
        <f t="shared" si="35"/>
        <v>3.5427922033252825E-2</v>
      </c>
      <c r="T89" s="885"/>
      <c r="U89" s="885"/>
      <c r="V89" s="885"/>
      <c r="W89" s="885"/>
      <c r="X89" s="887"/>
      <c r="Y89" s="892"/>
    </row>
    <row r="90" spans="1:73" x14ac:dyDescent="0.25">
      <c r="B90" s="856"/>
      <c r="C90" s="765"/>
      <c r="D90" s="765"/>
      <c r="J90" s="884"/>
      <c r="K90" s="859"/>
      <c r="L90" s="859"/>
      <c r="M90" s="877" t="s">
        <v>179</v>
      </c>
      <c r="N90" s="878">
        <f>1-M68/J68</f>
        <v>0.13701154653674552</v>
      </c>
      <c r="O90" s="879">
        <f t="shared" si="33"/>
        <v>4.5670515512248509E-2</v>
      </c>
      <c r="P90" s="1289">
        <f>1-N68/J68</f>
        <v>0.19220619966082819</v>
      </c>
      <c r="Q90" s="1290">
        <f t="shared" si="34"/>
        <v>6.4068733220276064E-2</v>
      </c>
      <c r="R90" s="878">
        <f>1-X68/N68</f>
        <v>0.33909912653770768</v>
      </c>
      <c r="S90" s="879">
        <f t="shared" si="35"/>
        <v>3.3909912653770767E-2</v>
      </c>
      <c r="T90" s="885"/>
      <c r="U90" s="885"/>
      <c r="V90" s="885"/>
      <c r="W90" s="885"/>
      <c r="X90" s="887"/>
      <c r="Y90" s="892"/>
    </row>
    <row r="91" spans="1:73" ht="15.75" thickBot="1" x14ac:dyDescent="0.3">
      <c r="B91" s="765"/>
      <c r="C91" s="765"/>
      <c r="D91" s="765"/>
      <c r="J91" s="889"/>
      <c r="K91" s="880"/>
      <c r="L91" s="880"/>
      <c r="M91" s="881" t="s">
        <v>428</v>
      </c>
      <c r="N91" s="882">
        <f>1-M69/J69</f>
        <v>0.1370113412697741</v>
      </c>
      <c r="O91" s="883">
        <f t="shared" si="33"/>
        <v>4.5670447089924703E-2</v>
      </c>
      <c r="P91" s="1291">
        <f>1-N69/J69</f>
        <v>0.1486311062247303</v>
      </c>
      <c r="Q91" s="1292">
        <f t="shared" si="34"/>
        <v>4.9543702074910101E-2</v>
      </c>
      <c r="R91" s="882">
        <f>1-X69/N69</f>
        <v>0.33901072325481119</v>
      </c>
      <c r="S91" s="883">
        <f t="shared" si="35"/>
        <v>3.3901072325481119E-2</v>
      </c>
      <c r="T91" s="890"/>
      <c r="U91" s="890"/>
      <c r="V91" s="890"/>
      <c r="W91" s="890"/>
      <c r="X91" s="891"/>
      <c r="Y91" s="892"/>
    </row>
    <row r="93" spans="1:73" s="795" customFormat="1" x14ac:dyDescent="0.25">
      <c r="A93" s="785"/>
    </row>
    <row r="94" spans="1:73" s="173" customFormat="1" ht="12" thickBot="1" x14ac:dyDescent="0.25">
      <c r="A94" s="797"/>
      <c r="B94" s="1030" t="s">
        <v>206</v>
      </c>
      <c r="O94" s="859"/>
      <c r="P94" s="859"/>
      <c r="Q94" s="859"/>
      <c r="R94" s="859"/>
      <c r="S94" s="859"/>
      <c r="T94" s="859"/>
      <c r="Y94" s="948"/>
    </row>
    <row r="95" spans="1:73" s="1031" customFormat="1" ht="11.25" x14ac:dyDescent="0.2">
      <c r="B95" s="1157"/>
      <c r="C95" s="1032"/>
      <c r="D95" s="1032"/>
      <c r="E95" s="1032"/>
      <c r="F95" s="1032"/>
      <c r="G95" s="1032"/>
      <c r="H95" s="1032"/>
      <c r="I95" s="1033"/>
      <c r="J95" s="1033"/>
      <c r="K95" s="1033"/>
      <c r="L95" s="1033"/>
      <c r="M95" s="1033"/>
      <c r="N95" s="1033"/>
      <c r="O95" s="1034"/>
      <c r="P95" s="1035"/>
      <c r="Q95" s="1035"/>
      <c r="R95" s="1035"/>
      <c r="S95" s="1035"/>
      <c r="T95" s="1035"/>
      <c r="U95" s="1035"/>
      <c r="V95" s="1035"/>
      <c r="W95" s="1035"/>
      <c r="X95" s="1035"/>
      <c r="Y95" s="1035"/>
      <c r="Z95" s="1035"/>
      <c r="AA95" s="1035"/>
      <c r="AB95" s="1035"/>
      <c r="AC95" s="1035"/>
      <c r="AD95" s="1036"/>
      <c r="AE95" s="1037" t="s">
        <v>204</v>
      </c>
      <c r="AF95" s="1038">
        <v>1</v>
      </c>
      <c r="AG95" s="1036"/>
      <c r="AH95" s="1036" t="s">
        <v>205</v>
      </c>
      <c r="AI95" s="1039">
        <v>0.05</v>
      </c>
      <c r="AJ95" s="1036"/>
      <c r="AK95" s="1036"/>
      <c r="AL95" s="1036"/>
      <c r="AM95" s="1036"/>
      <c r="AN95" s="1036"/>
      <c r="AO95" s="1036"/>
      <c r="AP95" s="1036"/>
      <c r="AQ95" s="1036"/>
      <c r="AR95" s="1036"/>
      <c r="AS95" s="1036"/>
      <c r="AT95" s="1036"/>
      <c r="AU95" s="1036"/>
      <c r="AV95" s="1036"/>
      <c r="AZ95" s="1036"/>
      <c r="BU95" s="1040">
        <v>0.16</v>
      </c>
    </row>
    <row r="96" spans="1:73" s="1031" customFormat="1" ht="11.25" x14ac:dyDescent="0.2">
      <c r="B96" s="1041"/>
      <c r="C96" s="920"/>
      <c r="D96" s="920"/>
      <c r="E96" s="920"/>
      <c r="F96" s="920"/>
      <c r="G96" s="920"/>
      <c r="H96" s="920"/>
      <c r="I96" s="865"/>
      <c r="J96" s="865"/>
      <c r="K96" s="865"/>
      <c r="L96" s="865"/>
      <c r="M96" s="865"/>
      <c r="N96" s="865"/>
      <c r="O96" s="865"/>
      <c r="P96" s="1035"/>
      <c r="Q96" s="1035"/>
      <c r="R96" s="1035"/>
      <c r="S96" s="1035"/>
      <c r="T96" s="1035"/>
      <c r="U96" s="1035"/>
      <c r="V96" s="1035"/>
      <c r="W96" s="1035"/>
      <c r="X96" s="1035"/>
      <c r="Y96" s="1035"/>
      <c r="Z96" s="1035"/>
      <c r="AA96" s="1035"/>
      <c r="AB96" s="1035"/>
      <c r="AC96" s="1035"/>
      <c r="AD96" s="1036"/>
      <c r="AE96" s="1036"/>
      <c r="AF96" s="1036"/>
      <c r="AG96" s="1036"/>
      <c r="AH96" s="1036"/>
      <c r="AJ96" s="1036"/>
      <c r="AK96" s="1036"/>
      <c r="AL96" s="1036"/>
      <c r="AM96" s="1036"/>
      <c r="AN96" s="1036"/>
      <c r="AO96" s="1036"/>
      <c r="AP96" s="1036"/>
      <c r="AQ96" s="1036"/>
      <c r="AR96" s="1036"/>
      <c r="AS96" s="1036"/>
      <c r="AT96" s="1036"/>
      <c r="AU96" s="1036"/>
      <c r="AV96" s="1036"/>
      <c r="AZ96" s="1036"/>
      <c r="BU96" s="1040">
        <v>0.17</v>
      </c>
    </row>
    <row r="97" spans="2:73" s="1031" customFormat="1" ht="11.25" x14ac:dyDescent="0.2">
      <c r="B97" s="1042" t="s">
        <v>206</v>
      </c>
      <c r="C97" s="953"/>
      <c r="D97" s="953"/>
      <c r="E97" s="953"/>
      <c r="F97" s="953"/>
      <c r="G97" s="953"/>
      <c r="H97" s="953"/>
      <c r="I97" s="1043">
        <v>2016</v>
      </c>
      <c r="J97" s="1043">
        <v>2017</v>
      </c>
      <c r="K97" s="1043">
        <v>2018</v>
      </c>
      <c r="L97" s="1043">
        <v>2019</v>
      </c>
      <c r="M97" s="1043">
        <v>2020</v>
      </c>
      <c r="N97" s="1043">
        <v>2020</v>
      </c>
      <c r="O97" s="1043">
        <v>2021</v>
      </c>
      <c r="P97" s="1043">
        <v>2022</v>
      </c>
      <c r="Q97" s="1043">
        <v>2023</v>
      </c>
      <c r="R97" s="1043">
        <v>2024</v>
      </c>
      <c r="S97" s="1043">
        <v>2025</v>
      </c>
      <c r="T97" s="1043">
        <v>2026</v>
      </c>
      <c r="U97" s="1043">
        <v>2027</v>
      </c>
      <c r="V97" s="1043">
        <v>2028</v>
      </c>
      <c r="W97" s="1043">
        <v>2029</v>
      </c>
      <c r="X97" s="1043">
        <v>2030</v>
      </c>
      <c r="Y97" s="1044"/>
      <c r="Z97" s="1044"/>
      <c r="AA97" s="1044"/>
      <c r="AB97" s="1035"/>
      <c r="AC97" s="1035"/>
      <c r="AD97" s="1036"/>
      <c r="AE97" s="1036"/>
      <c r="AF97" s="1036"/>
      <c r="AG97" s="1036"/>
      <c r="AH97" s="1036"/>
      <c r="AI97" s="1036"/>
      <c r="AJ97" s="1036"/>
      <c r="AK97" s="1036"/>
      <c r="AL97" s="1036"/>
      <c r="AM97" s="1036"/>
      <c r="AN97" s="1036"/>
      <c r="AO97" s="1036"/>
      <c r="AP97" s="1036"/>
      <c r="AQ97" s="1036"/>
      <c r="AR97" s="1036"/>
      <c r="AS97" s="1036"/>
      <c r="AT97" s="1036"/>
      <c r="AU97" s="1036"/>
      <c r="AV97" s="1036"/>
      <c r="BU97" s="1040">
        <v>0.18</v>
      </c>
    </row>
    <row r="98" spans="2:73" s="1031" customFormat="1" ht="11.25" x14ac:dyDescent="0.2">
      <c r="B98" s="1042" t="s">
        <v>510</v>
      </c>
      <c r="C98" s="953"/>
      <c r="D98" s="953"/>
      <c r="E98" s="953"/>
      <c r="F98" s="953"/>
      <c r="G98" s="953"/>
      <c r="H98" s="953"/>
      <c r="I98" s="1136"/>
      <c r="J98" s="1045">
        <f>'Carbon Price Forecast July 2017'!H13</f>
        <v>17.776544332575511</v>
      </c>
      <c r="K98" s="1046">
        <f>'Carbon Price Forecast July 2017'!I13</f>
        <v>18.260183300000001</v>
      </c>
      <c r="L98" s="1046">
        <f>'Carbon Price Forecast July 2017'!J13</f>
        <v>19.024845363512195</v>
      </c>
      <c r="M98" s="1046">
        <f>'Carbon Price Forecast July 2017'!K13</f>
        <v>19.823987288030477</v>
      </c>
      <c r="N98" s="1046">
        <f>'Carbon Price Forecast July 2017'!K13</f>
        <v>19.823987288030477</v>
      </c>
      <c r="O98" s="1047">
        <f>'Carbon Price Forecast July 2017'!L13</f>
        <v>20.914146793507996</v>
      </c>
      <c r="P98" s="1047">
        <f>'Carbon Price Forecast July 2017'!M13</f>
        <v>22.276871121840031</v>
      </c>
      <c r="Q98" s="1047">
        <f>'Carbon Price Forecast July 2017'!N13</f>
        <v>26.015425021990001</v>
      </c>
      <c r="R98" s="1047">
        <f>'Carbon Price Forecast July 2017'!O13</f>
        <v>33.122947588190712</v>
      </c>
      <c r="S98" s="1047">
        <f>'Carbon Price Forecast July 2017'!P13</f>
        <v>39.254679818464147</v>
      </c>
      <c r="T98" s="1047">
        <f>'Carbon Price Forecast July 2017'!Q13</f>
        <v>46.231770390260444</v>
      </c>
      <c r="U98" s="1047">
        <f>'Carbon Price Forecast July 2017'!R13</f>
        <v>54.142767837477656</v>
      </c>
      <c r="V98" s="1047">
        <f>'Carbon Price Forecast July 2017'!S13</f>
        <v>58.615223418346439</v>
      </c>
      <c r="W98" s="1047">
        <f>'Carbon Price Forecast July 2017'!T13</f>
        <v>63.049506895243077</v>
      </c>
      <c r="X98" s="1047">
        <f>'Carbon Price Forecast July 2017'!U13</f>
        <v>67.604570726888241</v>
      </c>
      <c r="Y98" s="1048"/>
      <c r="Z98" s="1048"/>
      <c r="AA98" s="1048"/>
      <c r="AB98" s="1035"/>
      <c r="AC98" s="1035"/>
      <c r="AD98" s="1036"/>
      <c r="AE98" s="1036" t="s">
        <v>208</v>
      </c>
      <c r="AF98" s="1036"/>
      <c r="AG98" s="1038">
        <v>1</v>
      </c>
      <c r="AH98" s="1036"/>
      <c r="AI98" s="1049">
        <v>0</v>
      </c>
      <c r="AJ98" s="1036"/>
      <c r="AK98" s="1036"/>
      <c r="AL98" s="1036"/>
      <c r="AN98" s="1036"/>
      <c r="AO98" s="1036"/>
      <c r="AP98" s="1036"/>
      <c r="AQ98" s="1036"/>
      <c r="AR98" s="1036"/>
      <c r="AS98" s="1036"/>
      <c r="AT98" s="1036"/>
      <c r="AU98" s="1036"/>
      <c r="AV98" s="1036"/>
      <c r="BU98" s="1040">
        <v>0.19</v>
      </c>
    </row>
    <row r="99" spans="2:73" s="1031" customFormat="1" ht="16.149999999999999" customHeight="1" x14ac:dyDescent="0.2">
      <c r="B99" s="1042" t="s">
        <v>209</v>
      </c>
      <c r="C99" s="953"/>
      <c r="D99" s="953"/>
      <c r="E99" s="953"/>
      <c r="F99" s="953"/>
      <c r="G99" s="953"/>
      <c r="H99" s="953"/>
      <c r="I99" s="1137"/>
      <c r="J99" s="1051">
        <f>J58</f>
        <v>142.33169192075729</v>
      </c>
      <c r="K99" s="1051">
        <f t="shared" ref="K99:X99" si="36">K58</f>
        <v>136.44378354391171</v>
      </c>
      <c r="L99" s="1051">
        <f t="shared" si="36"/>
        <v>130.55587516706612</v>
      </c>
      <c r="M99" s="1051">
        <v>124.66796679022053</v>
      </c>
      <c r="N99" s="1051">
        <f t="shared" si="36"/>
        <v>124.66796679022053</v>
      </c>
      <c r="O99" s="1052">
        <f t="shared" si="36"/>
        <v>121.08549271004843</v>
      </c>
      <c r="P99" s="1052">
        <f t="shared" si="36"/>
        <v>117.49309564330355</v>
      </c>
      <c r="Q99" s="1052">
        <f t="shared" si="36"/>
        <v>113.90069857655867</v>
      </c>
      <c r="R99" s="1052">
        <f t="shared" si="36"/>
        <v>110.30830150981379</v>
      </c>
      <c r="S99" s="1052">
        <f t="shared" si="36"/>
        <v>106.71590444306891</v>
      </c>
      <c r="T99" s="1052">
        <f t="shared" si="36"/>
        <v>103.12350737632403</v>
      </c>
      <c r="U99" s="1052">
        <f t="shared" si="36"/>
        <v>99.531110309579148</v>
      </c>
      <c r="V99" s="1052">
        <f t="shared" si="36"/>
        <v>95.938713242834268</v>
      </c>
      <c r="W99" s="1052">
        <f t="shared" si="36"/>
        <v>92.346316176089388</v>
      </c>
      <c r="X99" s="1052">
        <f t="shared" si="36"/>
        <v>88.75391910934448</v>
      </c>
      <c r="Y99" s="1053"/>
      <c r="Z99" s="1053"/>
      <c r="AA99" s="1053"/>
      <c r="AB99" s="1035"/>
      <c r="AC99" s="1035"/>
      <c r="AD99" s="1036"/>
      <c r="AE99" s="1036"/>
      <c r="AF99" s="1036"/>
      <c r="AG99" s="1036"/>
      <c r="AH99" s="1036"/>
      <c r="AI99" s="1049">
        <v>1</v>
      </c>
      <c r="AJ99" s="1036"/>
      <c r="AK99" s="1036"/>
      <c r="AL99" s="1036"/>
      <c r="AN99" s="1036"/>
      <c r="AO99" s="1036"/>
      <c r="AP99" s="1036"/>
      <c r="AQ99" s="1036"/>
      <c r="AR99" s="1036"/>
      <c r="AS99" s="1036"/>
      <c r="AT99" s="1036"/>
      <c r="AU99" s="1036"/>
      <c r="AV99" s="1036"/>
      <c r="BU99" s="1040">
        <v>0.2</v>
      </c>
    </row>
    <row r="100" spans="2:73" s="1031" customFormat="1" ht="11.25" x14ac:dyDescent="0.2">
      <c r="B100" s="1054" t="s">
        <v>511</v>
      </c>
      <c r="C100" s="1055"/>
      <c r="D100" s="1055"/>
      <c r="E100" s="1055"/>
      <c r="F100" s="1055"/>
      <c r="G100" s="1055"/>
      <c r="H100" s="1055"/>
      <c r="I100" s="1138"/>
      <c r="J100" s="1057">
        <f>J99*0.05</f>
        <v>7.1165845960378649</v>
      </c>
      <c r="K100" s="1057">
        <f>K99*0.05</f>
        <v>6.822189177195586</v>
      </c>
      <c r="L100" s="1057">
        <f>L99*0.05</f>
        <v>6.5277937583533063</v>
      </c>
      <c r="M100" s="1057">
        <v>0</v>
      </c>
      <c r="N100" s="1057">
        <f>AE104*0.05</f>
        <v>6.2333983395110266</v>
      </c>
      <c r="O100" s="1058">
        <f>AF104*0.05</f>
        <v>6.0542746355024217</v>
      </c>
      <c r="P100" s="1058">
        <f>P99*0.05</f>
        <v>5.8746547821651776</v>
      </c>
      <c r="Q100" s="1058">
        <f>Q99*0.05</f>
        <v>5.6950349288279334</v>
      </c>
      <c r="R100" s="1058">
        <f>R99*0.05</f>
        <v>5.5154150754906901</v>
      </c>
      <c r="S100" s="1058">
        <f>AJ104*0.05</f>
        <v>5.3357952221534459</v>
      </c>
      <c r="T100" s="1058">
        <f>AK104*0.05</f>
        <v>5.1561753688162018</v>
      </c>
      <c r="U100" s="1058">
        <f>U99*0.05</f>
        <v>4.9765555154789576</v>
      </c>
      <c r="V100" s="1058">
        <f>V99*0.05</f>
        <v>4.7969356621417134</v>
      </c>
      <c r="W100" s="1058">
        <f>W99*0.05</f>
        <v>4.6173158088044692</v>
      </c>
      <c r="X100" s="1058">
        <f>AO104*0.05</f>
        <v>4.4376959554672242</v>
      </c>
      <c r="Y100" s="1059"/>
      <c r="Z100" s="1059"/>
      <c r="AA100" s="1059"/>
      <c r="AB100" s="1035"/>
      <c r="AC100" s="1035"/>
      <c r="AD100" s="1036"/>
      <c r="AE100" s="1060" t="s">
        <v>211</v>
      </c>
      <c r="AF100" s="1061">
        <v>124.66770740616697</v>
      </c>
      <c r="AG100" s="1036"/>
      <c r="AH100" s="1036"/>
      <c r="AI100" s="1036"/>
      <c r="AJ100" s="1036"/>
      <c r="AK100" s="1036"/>
      <c r="AL100" s="1036"/>
      <c r="AM100" s="1036"/>
      <c r="AN100" s="1036"/>
      <c r="AO100" s="1036"/>
      <c r="AP100" s="1036"/>
      <c r="AQ100" s="1036"/>
      <c r="AR100" s="1036"/>
      <c r="AS100" s="1036"/>
      <c r="AT100" s="1036"/>
      <c r="AU100" s="1036"/>
      <c r="AV100" s="1036"/>
    </row>
    <row r="101" spans="2:73" s="1031" customFormat="1" ht="22.5" x14ac:dyDescent="0.2">
      <c r="B101" s="1062" t="s">
        <v>512</v>
      </c>
      <c r="C101" s="1063"/>
      <c r="D101" s="1063"/>
      <c r="E101" s="1063"/>
      <c r="F101" s="1063"/>
      <c r="G101" s="1063"/>
      <c r="H101" s="1063"/>
      <c r="I101" s="1138"/>
      <c r="J101" s="1064">
        <v>32.636369999999999</v>
      </c>
      <c r="K101" s="1064">
        <v>32.220582690494403</v>
      </c>
      <c r="L101" s="1064">
        <v>31.824955134482078</v>
      </c>
      <c r="M101" s="1064">
        <v>30.558808345894324</v>
      </c>
      <c r="N101" s="1064">
        <v>30.558808345894324</v>
      </c>
      <c r="O101" s="1065">
        <v>29.177485569186121</v>
      </c>
      <c r="P101" s="1139"/>
      <c r="Q101" s="1139"/>
      <c r="R101" s="1139"/>
      <c r="S101" s="1139"/>
      <c r="T101" s="1139"/>
      <c r="U101" s="1139"/>
      <c r="V101" s="1139"/>
      <c r="W101" s="1139"/>
      <c r="X101" s="1139"/>
      <c r="Y101" s="1066"/>
      <c r="Z101" s="1066"/>
      <c r="AA101" s="1066"/>
      <c r="AB101" s="1035"/>
      <c r="AC101" s="1035"/>
      <c r="AD101" s="1036"/>
      <c r="AE101" s="1036"/>
      <c r="AF101" s="1036"/>
      <c r="AG101" s="1036"/>
      <c r="AH101" s="1036"/>
      <c r="AI101" s="1036"/>
      <c r="AJ101" s="1036"/>
      <c r="AK101" s="1036"/>
      <c r="AL101" s="1036"/>
      <c r="AM101" s="1036"/>
      <c r="AN101" s="1036"/>
      <c r="AO101" s="1036"/>
      <c r="AP101" s="1036"/>
      <c r="AQ101" s="1036"/>
      <c r="AR101" s="1036"/>
      <c r="AS101" s="1036"/>
      <c r="AT101" s="1036"/>
      <c r="AU101" s="1036"/>
      <c r="AV101" s="1036"/>
    </row>
    <row r="102" spans="2:73" s="1031" customFormat="1" ht="22.5" x14ac:dyDescent="0.2">
      <c r="B102" s="1062" t="s">
        <v>513</v>
      </c>
      <c r="C102" s="1063"/>
      <c r="D102" s="1063"/>
      <c r="E102" s="1063"/>
      <c r="F102" s="1063"/>
      <c r="G102" s="1063"/>
      <c r="H102" s="1063"/>
      <c r="I102" s="1138"/>
      <c r="J102" s="1064">
        <v>4.8301060254408619E-2</v>
      </c>
      <c r="K102" s="1064">
        <v>4.6093701800782143E-2</v>
      </c>
      <c r="L102" s="1064">
        <v>4.3886343347155674E-2</v>
      </c>
      <c r="M102" s="1064">
        <v>4.1678984893529204E-2</v>
      </c>
      <c r="N102" s="1064">
        <v>4.1678984893529204E-2</v>
      </c>
      <c r="O102" s="1065">
        <v>3.9471626439902728E-2</v>
      </c>
      <c r="P102" s="1139"/>
      <c r="Q102" s="1139"/>
      <c r="R102" s="1139"/>
      <c r="S102" s="1139"/>
      <c r="T102" s="1139"/>
      <c r="U102" s="1139"/>
      <c r="V102" s="1139"/>
      <c r="W102" s="1139"/>
      <c r="X102" s="1139"/>
      <c r="Y102" s="1066"/>
      <c r="Z102" s="1066"/>
      <c r="AA102" s="1066"/>
      <c r="AB102" s="1035"/>
      <c r="AC102" s="1035"/>
      <c r="AD102" s="1036"/>
      <c r="AE102" s="1036"/>
      <c r="AF102" s="1036"/>
      <c r="AG102" s="1036"/>
      <c r="AH102" s="1036"/>
      <c r="AI102" s="1036"/>
      <c r="AJ102" s="1036"/>
      <c r="AK102" s="1036"/>
      <c r="AL102" s="1036"/>
      <c r="AM102" s="1036"/>
      <c r="AN102" s="1036"/>
      <c r="AO102" s="1036"/>
      <c r="AP102" s="1036"/>
      <c r="AQ102" s="1036"/>
      <c r="AR102" s="1036"/>
      <c r="AS102" s="1036"/>
      <c r="AT102" s="1036"/>
      <c r="AU102" s="1036"/>
      <c r="AV102" s="1036"/>
    </row>
    <row r="103" spans="2:73" s="1031" customFormat="1" ht="22.5" x14ac:dyDescent="0.2">
      <c r="B103" s="1062" t="s">
        <v>514</v>
      </c>
      <c r="C103" s="1063"/>
      <c r="D103" s="1063"/>
      <c r="E103" s="1063"/>
      <c r="F103" s="1063"/>
      <c r="G103" s="1063"/>
      <c r="H103" s="1063"/>
      <c r="I103" s="1138"/>
      <c r="J103" s="1064">
        <v>1.2399020000000001</v>
      </c>
      <c r="K103" s="1064">
        <v>1.0093417931126489</v>
      </c>
      <c r="L103" s="1064">
        <v>0.96888749981997291</v>
      </c>
      <c r="M103" s="1064">
        <v>0.92872219191778393</v>
      </c>
      <c r="N103" s="1064">
        <v>0.92872219191778393</v>
      </c>
      <c r="O103" s="1065">
        <v>0.9577379061017518</v>
      </c>
      <c r="P103" s="1139"/>
      <c r="Q103" s="1139"/>
      <c r="R103" s="1139"/>
      <c r="S103" s="1139"/>
      <c r="T103" s="1139"/>
      <c r="U103" s="1139"/>
      <c r="V103" s="1139"/>
      <c r="W103" s="1139"/>
      <c r="X103" s="1139"/>
      <c r="Y103" s="1066"/>
      <c r="Z103" s="1066"/>
      <c r="AA103" s="1066"/>
      <c r="AB103" s="1035"/>
      <c r="AC103" s="1035"/>
      <c r="AD103" s="1036"/>
      <c r="AE103" s="1043">
        <v>2020</v>
      </c>
      <c r="AF103" s="1043">
        <v>2021</v>
      </c>
      <c r="AG103" s="1043">
        <v>2022</v>
      </c>
      <c r="AH103" s="1043">
        <v>2023</v>
      </c>
      <c r="AI103" s="1043">
        <v>2024</v>
      </c>
      <c r="AJ103" s="1043">
        <v>2025</v>
      </c>
      <c r="AK103" s="1043">
        <v>2026</v>
      </c>
      <c r="AL103" s="1043">
        <v>2027</v>
      </c>
      <c r="AM103" s="1043">
        <v>2028</v>
      </c>
      <c r="AN103" s="1043">
        <v>2029</v>
      </c>
      <c r="AO103" s="1043">
        <v>2030</v>
      </c>
      <c r="AP103" s="1043">
        <v>2031</v>
      </c>
      <c r="AQ103" s="1036"/>
      <c r="AR103" s="1036"/>
      <c r="AS103" s="1036"/>
      <c r="AT103" s="1036"/>
      <c r="AU103" s="1036"/>
      <c r="AV103" s="1036"/>
    </row>
    <row r="104" spans="2:73" s="1031" customFormat="1" ht="11.25" x14ac:dyDescent="0.2">
      <c r="B104" s="1067" t="s">
        <v>504</v>
      </c>
      <c r="C104" s="922"/>
      <c r="D104" s="922"/>
      <c r="E104" s="922"/>
      <c r="F104" s="922"/>
      <c r="G104" s="922"/>
      <c r="H104" s="922"/>
      <c r="I104" s="1137"/>
      <c r="J104" s="1051">
        <f>'Allocation_Khalid Aug 2017'!C10</f>
        <v>34.030001883274657</v>
      </c>
      <c r="K104" s="1051">
        <f>'Allocation_Khalid Aug 2017'!D10</f>
        <v>34.178548597014363</v>
      </c>
      <c r="L104" s="1051">
        <f>'Allocation_Khalid Aug 2017'!E10</f>
        <v>33.744511848297059</v>
      </c>
      <c r="M104" s="1051">
        <f>'Allocation_Khalid Aug 2017'!F10</f>
        <v>33.329251359625466</v>
      </c>
      <c r="N104" s="1051">
        <f>'Allocation_Khalid Aug 2017'!F10</f>
        <v>33.329251359625466</v>
      </c>
      <c r="O104" s="1052">
        <f>'Allocation_Khalid Aug 2017'!G10</f>
        <v>33.203826240544402</v>
      </c>
      <c r="P104" s="1052">
        <f>'Allocation_Khalid Aug 2017'!H10</f>
        <v>33.076346485908516</v>
      </c>
      <c r="Q104" s="1052">
        <f>'Allocation_Khalid Aug 2017'!I10</f>
        <v>32.946294009790115</v>
      </c>
      <c r="R104" s="1052">
        <f>'Allocation_Khalid Aug 2017'!J10</f>
        <v>32.813103286067957</v>
      </c>
      <c r="S104" s="1052">
        <f>'Allocation_Khalid Aug 2017'!K10</f>
        <v>32.088195036760077</v>
      </c>
      <c r="T104" s="1052">
        <f>'Allocation_Khalid Aug 2017'!L10</f>
        <v>32.676155972758117</v>
      </c>
      <c r="U104" s="1052">
        <f>'Allocation_Khalid Aug 2017'!M10</f>
        <v>31.496211511754229</v>
      </c>
      <c r="V104" s="1052">
        <f>'Allocation_Khalid Aug 2017'!N10</f>
        <v>30.900240941553523</v>
      </c>
      <c r="W104" s="1052">
        <f>'Allocation_Khalid Aug 2017'!O10</f>
        <v>30.300319780071241</v>
      </c>
      <c r="X104" s="1052">
        <f>'Allocation_Khalid Aug 2017'!P10</f>
        <v>29.878360175054532</v>
      </c>
      <c r="Y104" s="1068"/>
      <c r="Z104" s="1068"/>
      <c r="AA104" s="1068"/>
      <c r="AB104" s="1035"/>
      <c r="AC104" s="1035"/>
      <c r="AD104" s="1036"/>
      <c r="AE104" s="1069">
        <f>N99</f>
        <v>124.66796679022053</v>
      </c>
      <c r="AF104" s="1069">
        <f t="shared" ref="AF104:AO104" si="37">O99</f>
        <v>121.08549271004843</v>
      </c>
      <c r="AG104" s="1069">
        <f t="shared" si="37"/>
        <v>117.49309564330355</v>
      </c>
      <c r="AH104" s="1069">
        <f t="shared" si="37"/>
        <v>113.90069857655867</v>
      </c>
      <c r="AI104" s="1069">
        <f t="shared" si="37"/>
        <v>110.30830150981379</v>
      </c>
      <c r="AJ104" s="1069">
        <f t="shared" si="37"/>
        <v>106.71590444306891</v>
      </c>
      <c r="AK104" s="1069">
        <f t="shared" si="37"/>
        <v>103.12350737632403</v>
      </c>
      <c r="AL104" s="1069">
        <f t="shared" si="37"/>
        <v>99.531110309579148</v>
      </c>
      <c r="AM104" s="1069">
        <f t="shared" si="37"/>
        <v>95.938713242834268</v>
      </c>
      <c r="AN104" s="1069">
        <f t="shared" si="37"/>
        <v>92.346316176089388</v>
      </c>
      <c r="AO104" s="1069">
        <f t="shared" si="37"/>
        <v>88.75391910934448</v>
      </c>
      <c r="AP104" s="1070">
        <f>AO104</f>
        <v>88.75391910934448</v>
      </c>
      <c r="AQ104" s="1036"/>
      <c r="AR104" s="1036"/>
      <c r="AS104" s="1036"/>
      <c r="AT104" s="1036"/>
      <c r="AU104" s="1036"/>
      <c r="AV104" s="1036"/>
    </row>
    <row r="105" spans="2:73" s="1031" customFormat="1" ht="11.25" x14ac:dyDescent="0.2">
      <c r="B105" s="1054"/>
      <c r="C105" s="1055"/>
      <c r="D105" s="1055"/>
      <c r="E105" s="1055"/>
      <c r="F105" s="1055"/>
      <c r="G105" s="1055"/>
      <c r="H105" s="1055"/>
      <c r="I105" s="1138"/>
      <c r="J105" s="1057"/>
      <c r="K105" s="1057"/>
      <c r="L105" s="1057"/>
      <c r="M105" s="1057"/>
      <c r="N105" s="1057"/>
      <c r="O105" s="1058"/>
      <c r="P105" s="1140"/>
      <c r="Q105" s="1140"/>
      <c r="R105" s="1140"/>
      <c r="S105" s="1140"/>
      <c r="T105" s="1140"/>
      <c r="U105" s="1140"/>
      <c r="V105" s="1140"/>
      <c r="W105" s="1140"/>
      <c r="X105" s="1140"/>
      <c r="Y105" s="1035"/>
      <c r="Z105" s="1035"/>
      <c r="AA105" s="1035"/>
      <c r="AB105" s="1035"/>
      <c r="AC105" s="1035"/>
      <c r="AD105" s="1036"/>
      <c r="AE105" s="1036"/>
      <c r="AF105" s="1036"/>
      <c r="AG105" s="1036"/>
      <c r="AH105" s="1036"/>
      <c r="AI105" s="1036"/>
      <c r="AJ105" s="1036"/>
      <c r="AK105" s="1036"/>
      <c r="AL105" s="1036"/>
      <c r="AM105" s="1036"/>
      <c r="AN105" s="1036"/>
      <c r="AO105" s="1036"/>
      <c r="AP105" s="1036"/>
      <c r="AQ105" s="1036"/>
      <c r="AR105" s="1036"/>
      <c r="AS105" s="1036"/>
      <c r="AT105" s="1036"/>
      <c r="AU105" s="1036"/>
      <c r="AV105" s="1036"/>
    </row>
    <row r="106" spans="2:73" s="1031" customFormat="1" ht="11.25" x14ac:dyDescent="0.2">
      <c r="B106" s="1072" t="s">
        <v>215</v>
      </c>
      <c r="C106" s="1073"/>
      <c r="D106" s="1073"/>
      <c r="E106" s="1073"/>
      <c r="F106" s="1073"/>
      <c r="G106" s="1073"/>
      <c r="H106" s="1073"/>
      <c r="I106" s="1141"/>
      <c r="J106" s="1074">
        <f>IF($AG$98=0,0,AE104*0.1)</f>
        <v>12.466796679022053</v>
      </c>
      <c r="K106" s="1074">
        <f>IF($AG$98=0,0,AF104*0.1)</f>
        <v>12.108549271004843</v>
      </c>
      <c r="L106" s="1074">
        <f>IF($AG$98=0,0,AG104*0.1)</f>
        <v>11.749309564330355</v>
      </c>
      <c r="M106" s="1074">
        <v>12.05384209101863</v>
      </c>
      <c r="N106" s="1074">
        <f t="shared" ref="N106:X106" si="38">IF($AG$98=0,0,AH104*0.1)</f>
        <v>11.390069857655867</v>
      </c>
      <c r="O106" s="1075">
        <f t="shared" si="38"/>
        <v>11.03083015098138</v>
      </c>
      <c r="P106" s="1075">
        <f t="shared" si="38"/>
        <v>10.671590444306892</v>
      </c>
      <c r="Q106" s="1075">
        <f t="shared" si="38"/>
        <v>10.312350737632404</v>
      </c>
      <c r="R106" s="1075">
        <f t="shared" si="38"/>
        <v>9.9531110309579152</v>
      </c>
      <c r="S106" s="1075">
        <f t="shared" si="38"/>
        <v>9.5938713242834268</v>
      </c>
      <c r="T106" s="1075">
        <f t="shared" si="38"/>
        <v>9.2346316176089385</v>
      </c>
      <c r="U106" s="1075">
        <f t="shared" si="38"/>
        <v>8.8753919109344483</v>
      </c>
      <c r="V106" s="1075">
        <f t="shared" si="38"/>
        <v>8.8753919109344483</v>
      </c>
      <c r="W106" s="1075">
        <f t="shared" si="38"/>
        <v>0</v>
      </c>
      <c r="X106" s="1075">
        <f t="shared" si="38"/>
        <v>0</v>
      </c>
      <c r="Y106" s="1035"/>
      <c r="Z106" s="1035"/>
      <c r="AA106" s="1035"/>
      <c r="AB106" s="1035"/>
      <c r="AC106" s="1035"/>
      <c r="AD106" s="1036"/>
      <c r="AE106" s="1043">
        <v>2020</v>
      </c>
      <c r="AF106" s="1043">
        <v>2021</v>
      </c>
      <c r="AG106" s="1043">
        <v>2022</v>
      </c>
      <c r="AH106" s="1043">
        <v>2023</v>
      </c>
      <c r="AI106" s="1043">
        <v>2024</v>
      </c>
      <c r="AJ106" s="1043">
        <v>2025</v>
      </c>
      <c r="AK106" s="1043">
        <v>2026</v>
      </c>
      <c r="AL106" s="1043">
        <v>2027</v>
      </c>
      <c r="AM106" s="1043">
        <v>2028</v>
      </c>
      <c r="AN106" s="1043">
        <v>2029</v>
      </c>
      <c r="AO106" s="1043">
        <v>2030</v>
      </c>
      <c r="AP106" s="1043">
        <v>2031</v>
      </c>
      <c r="AQ106" s="1036"/>
      <c r="AR106" s="1036"/>
      <c r="AS106" s="1036"/>
      <c r="AT106" s="1036"/>
      <c r="AU106" s="1036"/>
      <c r="AV106" s="1036"/>
    </row>
    <row r="107" spans="2:73" s="1031" customFormat="1" ht="11.25" x14ac:dyDescent="0.2">
      <c r="B107" s="1076"/>
      <c r="C107" s="1055"/>
      <c r="D107" s="1055"/>
      <c r="E107" s="1055"/>
      <c r="F107" s="1055"/>
      <c r="G107" s="1055"/>
      <c r="H107" s="1055"/>
      <c r="I107" s="1142"/>
      <c r="J107" s="1077">
        <f>J104/(J99+J106)</f>
        <v>0.21983419987553524</v>
      </c>
      <c r="K107" s="1077">
        <f t="shared" ref="K107:X107" si="39">K104/(K99+K106)</f>
        <v>0.23007749490947341</v>
      </c>
      <c r="L107" s="1077">
        <f t="shared" si="39"/>
        <v>0.23712777515443598</v>
      </c>
      <c r="M107" s="1077">
        <v>0.23060848726842764</v>
      </c>
      <c r="N107" s="1077">
        <f t="shared" si="39"/>
        <v>0.24496348896965853</v>
      </c>
      <c r="O107" s="1078">
        <f t="shared" si="39"/>
        <v>0.25132266416066362</v>
      </c>
      <c r="P107" s="1078">
        <f t="shared" si="39"/>
        <v>0.25807691256933507</v>
      </c>
      <c r="Q107" s="1078">
        <f t="shared" si="39"/>
        <v>0.2652401997350054</v>
      </c>
      <c r="R107" s="1078">
        <f t="shared" si="39"/>
        <v>0.27284814466106055</v>
      </c>
      <c r="S107" s="1078">
        <f t="shared" si="39"/>
        <v>0.27588562375826625</v>
      </c>
      <c r="T107" s="1078">
        <f t="shared" si="39"/>
        <v>0.29082144173394098</v>
      </c>
      <c r="U107" s="1078">
        <f t="shared" si="39"/>
        <v>0.29053802923819683</v>
      </c>
      <c r="V107" s="1078">
        <f t="shared" si="39"/>
        <v>0.29480994849138836</v>
      </c>
      <c r="W107" s="1078">
        <f t="shared" si="39"/>
        <v>0.3281161721956885</v>
      </c>
      <c r="X107" s="1078">
        <f t="shared" si="39"/>
        <v>0.33664271363887049</v>
      </c>
      <c r="Y107" s="1035"/>
      <c r="Z107" s="1035"/>
      <c r="AA107" s="1035"/>
      <c r="AB107" s="1035"/>
      <c r="AC107" s="1035"/>
      <c r="AD107" s="1036"/>
      <c r="AE107" s="1079">
        <f>N98</f>
        <v>19.823987288030477</v>
      </c>
      <c r="AF107" s="1079">
        <f t="shared" ref="AF107:AO107" si="40">O98</f>
        <v>20.914146793507996</v>
      </c>
      <c r="AG107" s="1079">
        <f t="shared" si="40"/>
        <v>22.276871121840031</v>
      </c>
      <c r="AH107" s="1079">
        <f t="shared" si="40"/>
        <v>26.015425021990001</v>
      </c>
      <c r="AI107" s="1079">
        <f t="shared" si="40"/>
        <v>33.122947588190712</v>
      </c>
      <c r="AJ107" s="1079">
        <f t="shared" si="40"/>
        <v>39.254679818464147</v>
      </c>
      <c r="AK107" s="1079">
        <f t="shared" si="40"/>
        <v>46.231770390260444</v>
      </c>
      <c r="AL107" s="1079">
        <f t="shared" si="40"/>
        <v>54.142767837477656</v>
      </c>
      <c r="AM107" s="1079">
        <f t="shared" si="40"/>
        <v>58.615223418346439</v>
      </c>
      <c r="AN107" s="1079">
        <f t="shared" si="40"/>
        <v>63.049506895243077</v>
      </c>
      <c r="AO107" s="1079">
        <f t="shared" si="40"/>
        <v>67.604570726888241</v>
      </c>
      <c r="AP107" s="1080">
        <f>AO107</f>
        <v>67.604570726888241</v>
      </c>
      <c r="AQ107" s="1036"/>
      <c r="AR107" s="1036"/>
      <c r="AS107" s="1036"/>
      <c r="AT107" s="1036"/>
      <c r="AU107" s="1036"/>
      <c r="AV107" s="1036"/>
    </row>
    <row r="108" spans="2:73" s="1031" customFormat="1" ht="11.25" x14ac:dyDescent="0.2">
      <c r="B108" s="1076" t="s">
        <v>505</v>
      </c>
      <c r="C108" s="1055"/>
      <c r="D108" s="1055"/>
      <c r="E108" s="1055"/>
      <c r="F108" s="1055"/>
      <c r="G108" s="1055"/>
      <c r="H108" s="1055"/>
      <c r="I108" s="1142"/>
      <c r="J108" s="1142">
        <f>J106*J98</f>
        <v>221.6165638498407</v>
      </c>
      <c r="K108" s="1142">
        <f t="shared" ref="K108:X108" si="41">K106*K98</f>
        <v>221.10432918562984</v>
      </c>
      <c r="L108" s="1142">
        <f t="shared" si="41"/>
        <v>223.52879758941984</v>
      </c>
      <c r="M108" s="1142">
        <v>229.32248181782393</v>
      </c>
      <c r="N108" s="1142">
        <f t="shared" si="41"/>
        <v>225.79660006794902</v>
      </c>
      <c r="O108" s="1143">
        <f t="shared" si="41"/>
        <v>230.70040103187856</v>
      </c>
      <c r="P108" s="1143">
        <f t="shared" si="41"/>
        <v>237.72964499288423</v>
      </c>
      <c r="Q108" s="1143">
        <f t="shared" si="41"/>
        <v>268.28018741533907</v>
      </c>
      <c r="R108" s="1143">
        <f t="shared" si="41"/>
        <v>329.67637501786186</v>
      </c>
      <c r="S108" s="1143">
        <f t="shared" si="41"/>
        <v>376.60434705429054</v>
      </c>
      <c r="T108" s="1143">
        <f t="shared" si="41"/>
        <v>426.93336858393582</v>
      </c>
      <c r="U108" s="1143">
        <f t="shared" si="41"/>
        <v>480.53828370035103</v>
      </c>
      <c r="V108" s="1143">
        <f t="shared" si="41"/>
        <v>520.23307978480739</v>
      </c>
      <c r="W108" s="1143">
        <f t="shared" si="41"/>
        <v>0</v>
      </c>
      <c r="X108" s="1143">
        <f t="shared" si="41"/>
        <v>0</v>
      </c>
      <c r="Y108" s="1035"/>
      <c r="Z108" s="1035"/>
      <c r="AA108" s="1035"/>
      <c r="AB108" s="1035"/>
      <c r="AC108" s="1035"/>
      <c r="AD108" s="1036"/>
      <c r="AE108" s="1079"/>
      <c r="AF108" s="1081"/>
      <c r="AG108" s="1082"/>
      <c r="AH108" s="1082"/>
      <c r="AI108" s="1082"/>
      <c r="AJ108" s="1036"/>
      <c r="AK108" s="1036"/>
      <c r="AL108" s="1036"/>
      <c r="AM108" s="1036"/>
      <c r="AN108" s="1036"/>
      <c r="AO108" s="1036"/>
      <c r="AP108" s="1036"/>
      <c r="AQ108" s="1036"/>
      <c r="AR108" s="1036"/>
      <c r="AS108" s="1036"/>
      <c r="AT108" s="1036"/>
      <c r="AU108" s="1036"/>
      <c r="AV108" s="1036"/>
    </row>
    <row r="109" spans="2:73" s="1031" customFormat="1" ht="11.25" x14ac:dyDescent="0.2">
      <c r="B109" s="1083" t="s">
        <v>506</v>
      </c>
      <c r="C109" s="1084"/>
      <c r="D109" s="1084"/>
      <c r="E109" s="1084"/>
      <c r="F109" s="1084"/>
      <c r="G109" s="1084"/>
      <c r="H109" s="1084"/>
      <c r="I109" s="1144">
        <f>J108/4</f>
        <v>55.404140962460176</v>
      </c>
      <c r="J109" s="1144">
        <f>J108*0.75+K108*0.25</f>
        <v>221.48850518378796</v>
      </c>
      <c r="K109" s="1144">
        <f t="shared" ref="K109:X109" si="42">K108*0.75+L108*0.25</f>
        <v>221.71044628657734</v>
      </c>
      <c r="L109" s="1144">
        <f>L108*0.75+N108*0.25</f>
        <v>224.09574820905215</v>
      </c>
      <c r="M109" s="1144">
        <v>229.88798925702667</v>
      </c>
      <c r="N109" s="1144">
        <f t="shared" si="42"/>
        <v>227.02255030893139</v>
      </c>
      <c r="O109" s="1145">
        <f t="shared" si="42"/>
        <v>232.45771202212998</v>
      </c>
      <c r="P109" s="1145">
        <f t="shared" si="42"/>
        <v>245.36728059849793</v>
      </c>
      <c r="Q109" s="1145">
        <f t="shared" si="42"/>
        <v>283.62923431596977</v>
      </c>
      <c r="R109" s="1145">
        <f t="shared" si="42"/>
        <v>341.40836802696901</v>
      </c>
      <c r="S109" s="1145">
        <f t="shared" si="42"/>
        <v>389.18660243670189</v>
      </c>
      <c r="T109" s="1145">
        <f t="shared" si="42"/>
        <v>440.33459736303962</v>
      </c>
      <c r="U109" s="1145">
        <f t="shared" si="42"/>
        <v>490.46198272146512</v>
      </c>
      <c r="V109" s="1145">
        <f t="shared" si="42"/>
        <v>390.17480983860554</v>
      </c>
      <c r="W109" s="1145">
        <f t="shared" si="42"/>
        <v>0</v>
      </c>
      <c r="X109" s="1145">
        <f t="shared" si="42"/>
        <v>0</v>
      </c>
      <c r="Y109" s="1035"/>
      <c r="Z109" s="1035"/>
      <c r="AA109" s="1035"/>
      <c r="AB109" s="1035"/>
      <c r="AC109" s="1035"/>
      <c r="AD109" s="1036"/>
      <c r="AE109" s="1079"/>
      <c r="AF109" s="1081"/>
      <c r="AG109" s="1082"/>
      <c r="AH109" s="1082"/>
      <c r="AI109" s="1082"/>
      <c r="AJ109" s="1036"/>
      <c r="AK109" s="1036"/>
      <c r="AL109" s="1036"/>
      <c r="AM109" s="1036"/>
      <c r="AN109" s="1036"/>
      <c r="AO109" s="1036"/>
      <c r="AP109" s="1036"/>
      <c r="AQ109" s="1036"/>
      <c r="AR109" s="1036"/>
      <c r="AS109" s="1036"/>
      <c r="AT109" s="1036"/>
      <c r="AU109" s="1036"/>
      <c r="AV109" s="1036"/>
    </row>
    <row r="110" spans="2:73" s="1031" customFormat="1" ht="11.25" x14ac:dyDescent="0.2">
      <c r="B110" s="1083"/>
      <c r="C110" s="1084"/>
      <c r="D110" s="1084"/>
      <c r="E110" s="1084"/>
      <c r="F110" s="1084"/>
      <c r="G110" s="1084"/>
      <c r="H110" s="1084"/>
      <c r="I110" s="1085"/>
      <c r="J110" s="1085"/>
      <c r="K110" s="1085"/>
      <c r="L110" s="1085"/>
      <c r="M110" s="1085"/>
      <c r="N110" s="1085"/>
      <c r="O110" s="1086"/>
      <c r="P110" s="1087"/>
      <c r="Q110" s="1071"/>
      <c r="R110" s="1071"/>
      <c r="S110" s="1071"/>
      <c r="T110" s="1071"/>
      <c r="U110" s="1071"/>
      <c r="V110" s="1071"/>
      <c r="W110" s="1071"/>
      <c r="X110" s="1071"/>
      <c r="Y110" s="1035"/>
      <c r="Z110" s="1035"/>
      <c r="AA110" s="1035"/>
      <c r="AB110" s="1035"/>
      <c r="AC110" s="1035"/>
      <c r="AD110" s="1036"/>
      <c r="AE110" s="1079"/>
      <c r="AF110" s="1081"/>
      <c r="AG110" s="1082"/>
      <c r="AH110" s="1082"/>
      <c r="AI110" s="1082"/>
      <c r="AJ110" s="1036"/>
      <c r="AK110" s="1036"/>
      <c r="AL110" s="1036"/>
      <c r="AM110" s="1036"/>
      <c r="AN110" s="1036"/>
      <c r="AO110" s="1036"/>
      <c r="AP110" s="1036"/>
      <c r="AQ110" s="1036"/>
      <c r="AR110" s="1036"/>
      <c r="AS110" s="1036"/>
      <c r="AT110" s="1036"/>
      <c r="AU110" s="1036"/>
      <c r="AV110" s="1036"/>
    </row>
    <row r="111" spans="2:73" s="1031" customFormat="1" ht="11.25" x14ac:dyDescent="0.2">
      <c r="B111" s="1088" t="s">
        <v>515</v>
      </c>
      <c r="C111" s="953"/>
      <c r="D111" s="953"/>
      <c r="E111" s="953"/>
      <c r="F111" s="953"/>
      <c r="G111" s="953"/>
      <c r="H111" s="953"/>
      <c r="I111" s="1050"/>
      <c r="J111" s="1051">
        <f>J99-J104+J106</f>
        <v>120.7684867165047</v>
      </c>
      <c r="K111" s="1051">
        <f t="shared" ref="K111:X111" si="43">K99-K104+K106</f>
        <v>114.3737842179022</v>
      </c>
      <c r="L111" s="1051">
        <f t="shared" si="43"/>
        <v>108.56067288309941</v>
      </c>
      <c r="M111" s="1051">
        <v>105.19259935853353</v>
      </c>
      <c r="N111" s="1051">
        <f t="shared" si="43"/>
        <v>102.72878528825095</v>
      </c>
      <c r="O111" s="1052">
        <f t="shared" si="43"/>
        <v>98.912496620485399</v>
      </c>
      <c r="P111" s="1052">
        <f t="shared" si="43"/>
        <v>95.088339601701918</v>
      </c>
      <c r="Q111" s="1052">
        <f t="shared" si="43"/>
        <v>91.266755304400945</v>
      </c>
      <c r="R111" s="1052">
        <f t="shared" si="43"/>
        <v>87.448309254703744</v>
      </c>
      <c r="S111" s="1052">
        <f t="shared" si="43"/>
        <v>84.221580730592265</v>
      </c>
      <c r="T111" s="1052">
        <f t="shared" si="43"/>
        <v>79.681983021174844</v>
      </c>
      <c r="U111" s="1052">
        <f t="shared" si="43"/>
        <v>76.910290708759376</v>
      </c>
      <c r="V111" s="1052">
        <f t="shared" si="43"/>
        <v>73.913864212215202</v>
      </c>
      <c r="W111" s="1052">
        <f t="shared" si="43"/>
        <v>62.045996396018147</v>
      </c>
      <c r="X111" s="1052">
        <f t="shared" si="43"/>
        <v>58.875558934289948</v>
      </c>
      <c r="Y111" s="1035"/>
      <c r="Z111" s="1035"/>
      <c r="AA111" s="1035"/>
      <c r="AB111" s="1035"/>
      <c r="AC111" s="1035"/>
      <c r="AD111" s="1036"/>
      <c r="AE111" s="1036"/>
      <c r="AF111" s="1036"/>
      <c r="AG111" s="1036"/>
      <c r="AH111" s="1036"/>
      <c r="AI111" s="1036"/>
      <c r="AJ111" s="1036"/>
      <c r="AK111" s="1036"/>
      <c r="AL111" s="1036"/>
      <c r="AM111" s="1036"/>
      <c r="AN111" s="1036"/>
      <c r="AO111" s="1036"/>
      <c r="AP111" s="1036"/>
      <c r="AQ111" s="1036"/>
      <c r="AR111" s="1036"/>
      <c r="AS111" s="1036"/>
      <c r="AT111" s="1036"/>
      <c r="AU111" s="1036"/>
      <c r="AV111" s="1036"/>
    </row>
    <row r="112" spans="2:73" s="1031" customFormat="1" ht="11.25" x14ac:dyDescent="0.2">
      <c r="B112" s="1089" t="s">
        <v>516</v>
      </c>
      <c r="C112" s="1055"/>
      <c r="D112" s="1055"/>
      <c r="E112" s="1055"/>
      <c r="F112" s="1055"/>
      <c r="G112" s="1055"/>
      <c r="H112" s="1055"/>
      <c r="I112" s="1050"/>
      <c r="J112" s="1057">
        <v>7.5</v>
      </c>
      <c r="K112" s="1057">
        <v>7.5</v>
      </c>
      <c r="L112" s="1057">
        <v>7.5</v>
      </c>
      <c r="M112" s="1057">
        <v>7.5</v>
      </c>
      <c r="N112" s="1057">
        <v>7.5</v>
      </c>
      <c r="O112" s="1058">
        <v>7.5</v>
      </c>
      <c r="P112" s="1071"/>
      <c r="Q112" s="1071"/>
      <c r="R112" s="1071"/>
      <c r="S112" s="1071"/>
      <c r="T112" s="1071"/>
      <c r="U112" s="1071"/>
      <c r="V112" s="1071"/>
      <c r="W112" s="1071"/>
      <c r="X112" s="1071"/>
      <c r="Y112" s="1035"/>
      <c r="Z112" s="1035"/>
      <c r="AA112" s="1035"/>
      <c r="AB112" s="1035"/>
      <c r="AC112" s="1090"/>
      <c r="AD112" s="1036"/>
      <c r="AE112" s="1036"/>
      <c r="AF112" s="1036"/>
      <c r="AG112" s="1036"/>
      <c r="AH112" s="1036"/>
      <c r="AI112" s="1036"/>
      <c r="AJ112" s="1036"/>
      <c r="AK112" s="1036"/>
      <c r="AL112" s="1036"/>
      <c r="AM112" s="1036"/>
      <c r="AN112" s="1036"/>
      <c r="AO112" s="1036"/>
      <c r="AP112" s="1036"/>
      <c r="AQ112" s="1036"/>
      <c r="AR112" s="1036"/>
      <c r="AS112" s="1036"/>
      <c r="AT112" s="1036"/>
      <c r="AU112" s="1036"/>
      <c r="AV112" s="1036"/>
    </row>
    <row r="113" spans="2:51" s="1031" customFormat="1" ht="11.25" x14ac:dyDescent="0.2">
      <c r="B113" s="1089" t="s">
        <v>517</v>
      </c>
      <c r="C113" s="1055"/>
      <c r="D113" s="1055"/>
      <c r="E113" s="1055"/>
      <c r="F113" s="1055"/>
      <c r="G113" s="1055"/>
      <c r="H113" s="1055"/>
      <c r="I113" s="1050"/>
      <c r="J113" s="1057">
        <f>J111-J112</f>
        <v>113.2684867165047</v>
      </c>
      <c r="K113" s="1057">
        <f>K111-K112</f>
        <v>106.8737842179022</v>
      </c>
      <c r="L113" s="1057">
        <f>L111-L112</f>
        <v>101.06067288309941</v>
      </c>
      <c r="M113" s="1057">
        <v>97.692599358533528</v>
      </c>
      <c r="N113" s="1057">
        <f>N111-N112</f>
        <v>95.228785288250947</v>
      </c>
      <c r="O113" s="1058">
        <f>O111-O112</f>
        <v>91.412496620485399</v>
      </c>
      <c r="P113" s="1071"/>
      <c r="Q113" s="1071"/>
      <c r="R113" s="1071"/>
      <c r="S113" s="1071"/>
      <c r="T113" s="1071"/>
      <c r="U113" s="1071"/>
      <c r="V113" s="1071"/>
      <c r="W113" s="1071"/>
      <c r="X113" s="1071"/>
      <c r="Y113" s="1035"/>
      <c r="Z113" s="1035"/>
      <c r="AA113" s="1035"/>
      <c r="AB113" s="1035"/>
      <c r="AC113" s="1091"/>
      <c r="AD113" s="1036"/>
      <c r="AG113" s="1036"/>
      <c r="AH113" s="1036"/>
      <c r="AI113" s="1036"/>
      <c r="AJ113" s="1036"/>
      <c r="AK113" s="1036"/>
      <c r="AL113" s="1036"/>
      <c r="AM113" s="1036"/>
      <c r="AN113" s="1036"/>
      <c r="AO113" s="1036"/>
      <c r="AP113" s="1036"/>
      <c r="AQ113" s="1036"/>
      <c r="AR113" s="1036"/>
      <c r="AS113" s="1036"/>
      <c r="AT113" s="1036"/>
      <c r="AU113" s="1036"/>
      <c r="AV113" s="1036"/>
    </row>
    <row r="114" spans="2:51" s="1031" customFormat="1" ht="11.25" x14ac:dyDescent="0.2">
      <c r="B114" s="1092" t="s">
        <v>508</v>
      </c>
      <c r="C114" s="920"/>
      <c r="D114" s="920"/>
      <c r="E114" s="920"/>
      <c r="F114" s="920"/>
      <c r="G114" s="920"/>
      <c r="H114" s="920"/>
      <c r="I114" s="1134">
        <v>0</v>
      </c>
      <c r="J114" s="1134">
        <f>J111*J98</f>
        <v>2146.8463580940024</v>
      </c>
      <c r="K114" s="1134">
        <f>K111*K98</f>
        <v>2088.4862645335415</v>
      </c>
      <c r="L114" s="1134">
        <f>L111*L98</f>
        <v>2065.3500141597979</v>
      </c>
      <c r="M114" s="1134">
        <v>2001.2729361819925</v>
      </c>
      <c r="N114" s="1134">
        <f>N111*N98</f>
        <v>2036.494133669099</v>
      </c>
      <c r="O114" s="1135">
        <f>O111*O98</f>
        <v>2068.6704740331952</v>
      </c>
      <c r="P114" s="1135">
        <f t="shared" ref="P114:X114" si="44">P111*P98</f>
        <v>2118.2706864968713</v>
      </c>
      <c r="Q114" s="1135">
        <f t="shared" si="44"/>
        <v>2374.3434296219511</v>
      </c>
      <c r="R114" s="1135">
        <f t="shared" si="44"/>
        <v>2896.5457641194448</v>
      </c>
      <c r="S114" s="1135">
        <f t="shared" si="44"/>
        <v>3306.091185384329</v>
      </c>
      <c r="T114" s="1135">
        <f t="shared" si="44"/>
        <v>3683.8391432755866</v>
      </c>
      <c r="U114" s="1135">
        <f t="shared" si="44"/>
        <v>4164.1360141572741</v>
      </c>
      <c r="V114" s="1135">
        <f t="shared" si="44"/>
        <v>4332.4776645123156</v>
      </c>
      <c r="W114" s="1135">
        <f t="shared" si="44"/>
        <v>3911.9694775929734</v>
      </c>
      <c r="X114" s="1135">
        <f t="shared" si="44"/>
        <v>3980.2568880582817</v>
      </c>
      <c r="Y114" s="1035"/>
      <c r="Z114" s="1035"/>
      <c r="AA114" s="1035"/>
      <c r="AB114" s="1035"/>
      <c r="AC114" s="1035"/>
      <c r="AD114" s="1036"/>
      <c r="AE114" s="1036"/>
      <c r="AF114" s="1036"/>
      <c r="AG114" s="1036"/>
      <c r="AH114" s="1036"/>
      <c r="AI114" s="1036"/>
      <c r="AJ114" s="1036"/>
      <c r="AK114" s="1036"/>
      <c r="AL114" s="1036"/>
      <c r="AM114" s="1036"/>
      <c r="AN114" s="1036"/>
      <c r="AO114" s="1036"/>
      <c r="AP114" s="1036"/>
      <c r="AQ114" s="1036"/>
      <c r="AR114" s="1036"/>
      <c r="AS114" s="1036"/>
      <c r="AT114" s="1036"/>
      <c r="AU114" s="1036"/>
      <c r="AV114" s="1036"/>
      <c r="AW114" s="1036"/>
      <c r="AX114" s="1036"/>
      <c r="AY114" s="1036"/>
    </row>
    <row r="115" spans="2:51" s="1098" customFormat="1" ht="11.25" x14ac:dyDescent="0.2">
      <c r="B115" s="1093" t="s">
        <v>220</v>
      </c>
      <c r="C115" s="1094"/>
      <c r="D115" s="1094"/>
      <c r="E115" s="1094"/>
      <c r="F115" s="1094"/>
      <c r="G115" s="1094"/>
      <c r="H115" s="1094"/>
      <c r="I115" s="1095">
        <f t="shared" ref="I115:N115" si="45">I114/4</f>
        <v>0</v>
      </c>
      <c r="J115" s="1095">
        <f t="shared" si="45"/>
        <v>536.71158952350061</v>
      </c>
      <c r="K115" s="1095">
        <f t="shared" si="45"/>
        <v>522.12156613338539</v>
      </c>
      <c r="L115" s="1095">
        <f t="shared" si="45"/>
        <v>516.33750353994947</v>
      </c>
      <c r="M115" s="1095">
        <v>500.31823404549812</v>
      </c>
      <c r="N115" s="1095">
        <f t="shared" si="45"/>
        <v>509.12353341727476</v>
      </c>
      <c r="O115" s="1096">
        <f>O114/4</f>
        <v>517.1676185082988</v>
      </c>
      <c r="P115" s="1096">
        <f t="shared" ref="P115:X115" si="46">P114/4</f>
        <v>529.56767162421784</v>
      </c>
      <c r="Q115" s="1096">
        <f t="shared" si="46"/>
        <v>593.58585740548779</v>
      </c>
      <c r="R115" s="1096">
        <f t="shared" si="46"/>
        <v>724.1364410298612</v>
      </c>
      <c r="S115" s="1096">
        <f t="shared" si="46"/>
        <v>826.52279634608226</v>
      </c>
      <c r="T115" s="1096">
        <f t="shared" si="46"/>
        <v>920.95978581889665</v>
      </c>
      <c r="U115" s="1096">
        <f t="shared" si="46"/>
        <v>1041.0340035393185</v>
      </c>
      <c r="V115" s="1096">
        <f t="shared" si="46"/>
        <v>1083.1194161280789</v>
      </c>
      <c r="W115" s="1096">
        <f t="shared" si="46"/>
        <v>977.99236939824334</v>
      </c>
      <c r="X115" s="1096">
        <f t="shared" si="46"/>
        <v>995.06422201457042</v>
      </c>
      <c r="Y115" s="1097"/>
      <c r="Z115" s="1097"/>
      <c r="AA115" s="1097"/>
      <c r="AB115" s="1097"/>
      <c r="AC115" s="1097"/>
      <c r="AD115" s="1049"/>
      <c r="AE115" s="1049"/>
      <c r="AF115" s="1049"/>
      <c r="AG115" s="1049"/>
      <c r="AH115" s="1049"/>
      <c r="AI115" s="1049"/>
      <c r="AJ115" s="1049"/>
      <c r="AK115" s="1049"/>
      <c r="AL115" s="1049"/>
      <c r="AM115" s="1049"/>
      <c r="AN115" s="1049"/>
      <c r="AO115" s="1049"/>
      <c r="AP115" s="1049"/>
      <c r="AQ115" s="1049"/>
      <c r="AR115" s="1049"/>
      <c r="AS115" s="1049"/>
      <c r="AT115" s="1049"/>
      <c r="AU115" s="1049"/>
      <c r="AV115" s="1049"/>
      <c r="AW115" s="1049"/>
      <c r="AX115" s="1049"/>
      <c r="AY115" s="1049"/>
    </row>
    <row r="116" spans="2:51" s="1031" customFormat="1" ht="11.25" x14ac:dyDescent="0.2">
      <c r="B116" s="1041"/>
      <c r="C116" s="920"/>
      <c r="D116" s="920"/>
      <c r="E116" s="920"/>
      <c r="F116" s="920"/>
      <c r="G116" s="920"/>
      <c r="H116" s="920"/>
      <c r="I116" s="1056"/>
      <c r="J116" s="1056"/>
      <c r="K116" s="1056"/>
      <c r="L116" s="1056"/>
      <c r="M116" s="1056"/>
      <c r="N116" s="1056"/>
      <c r="O116" s="1099"/>
      <c r="P116" s="1071"/>
      <c r="Q116" s="1071"/>
      <c r="R116" s="1071"/>
      <c r="S116" s="1071"/>
      <c r="T116" s="1071"/>
      <c r="U116" s="1071"/>
      <c r="V116" s="1071"/>
      <c r="W116" s="1071"/>
      <c r="X116" s="1071"/>
      <c r="Y116" s="1035"/>
      <c r="Z116" s="1035"/>
      <c r="AA116" s="1035"/>
      <c r="AB116" s="1035"/>
      <c r="AC116" s="1035"/>
      <c r="AD116" s="1036"/>
      <c r="AE116" s="1036"/>
      <c r="AF116" s="1036"/>
      <c r="AG116" s="1036"/>
      <c r="AH116" s="1036"/>
      <c r="AI116" s="1036"/>
      <c r="AJ116" s="1036"/>
      <c r="AK116" s="1036"/>
      <c r="AL116" s="1036"/>
      <c r="AM116" s="1036"/>
      <c r="AN116" s="1036"/>
      <c r="AO116" s="1036"/>
      <c r="AP116" s="1036"/>
      <c r="AQ116" s="1036"/>
      <c r="AR116" s="1036"/>
      <c r="AS116" s="1036"/>
      <c r="AT116" s="1036"/>
      <c r="AU116" s="1036"/>
      <c r="AV116" s="1036"/>
    </row>
    <row r="117" spans="2:51" s="1031" customFormat="1" ht="11.25" x14ac:dyDescent="0.2">
      <c r="B117" s="1100" t="s">
        <v>221</v>
      </c>
      <c r="C117" s="920"/>
      <c r="D117" s="920"/>
      <c r="E117" s="920"/>
      <c r="F117" s="920"/>
      <c r="G117" s="920"/>
      <c r="H117" s="920"/>
      <c r="I117" s="1101" t="s">
        <v>222</v>
      </c>
      <c r="J117" s="1101" t="s">
        <v>223</v>
      </c>
      <c r="K117" s="1101" t="s">
        <v>224</v>
      </c>
      <c r="L117" s="1101" t="s">
        <v>225</v>
      </c>
      <c r="M117" s="1101" t="s">
        <v>226</v>
      </c>
      <c r="N117" s="1101" t="s">
        <v>226</v>
      </c>
      <c r="O117" s="1102" t="s">
        <v>281</v>
      </c>
      <c r="P117" s="1102" t="s">
        <v>282</v>
      </c>
      <c r="Q117" s="1102" t="s">
        <v>283</v>
      </c>
      <c r="R117" s="1102" t="s">
        <v>284</v>
      </c>
      <c r="S117" s="1102" t="s">
        <v>285</v>
      </c>
      <c r="T117" s="1102" t="s">
        <v>286</v>
      </c>
      <c r="U117" s="1102" t="s">
        <v>287</v>
      </c>
      <c r="V117" s="1102" t="s">
        <v>288</v>
      </c>
      <c r="W117" s="1102" t="s">
        <v>289</v>
      </c>
      <c r="X117" s="1102" t="s">
        <v>507</v>
      </c>
      <c r="Y117" s="1035"/>
      <c r="Z117" s="1035"/>
      <c r="AA117" s="1035"/>
      <c r="AB117" s="1035"/>
      <c r="AC117" s="1035"/>
      <c r="AD117" s="1036"/>
      <c r="AE117" s="1036"/>
      <c r="AF117" s="1036"/>
      <c r="AG117" s="1036"/>
      <c r="AH117" s="1036"/>
      <c r="AI117" s="1036"/>
      <c r="AJ117" s="1036"/>
      <c r="AK117" s="1036"/>
      <c r="AL117" s="1036"/>
      <c r="AM117" s="1036"/>
      <c r="AN117" s="1036"/>
      <c r="AO117" s="1036"/>
      <c r="AP117" s="1036"/>
      <c r="AQ117" s="1036"/>
      <c r="AR117" s="1036"/>
      <c r="AS117" s="1036"/>
      <c r="AT117" s="1036"/>
      <c r="AU117" s="1036"/>
      <c r="AV117" s="1036"/>
    </row>
    <row r="118" spans="2:51" s="1031" customFormat="1" ht="11.25" x14ac:dyDescent="0.2">
      <c r="B118" s="1103" t="s">
        <v>518</v>
      </c>
      <c r="C118" s="920"/>
      <c r="D118" s="920"/>
      <c r="E118" s="920"/>
      <c r="F118" s="920"/>
      <c r="G118" s="920"/>
      <c r="H118" s="920"/>
      <c r="I118" s="1133">
        <f>J114/4</f>
        <v>536.71158952350061</v>
      </c>
      <c r="J118" s="1134">
        <f>J114*0.75+K114/4</f>
        <v>2132.2563347038872</v>
      </c>
      <c r="K118" s="1134">
        <f t="shared" ref="K118:X118" si="47">K114*0.75+L114/4</f>
        <v>2082.7022019401056</v>
      </c>
      <c r="L118" s="1134">
        <f>L114*0.75+N114/4</f>
        <v>2058.1360440371232</v>
      </c>
      <c r="M118" s="1134">
        <v>2020.4462150536958</v>
      </c>
      <c r="N118" s="1134">
        <f t="shared" si="47"/>
        <v>2044.5382187601231</v>
      </c>
      <c r="O118" s="1135">
        <f t="shared" si="47"/>
        <v>2081.0705271491142</v>
      </c>
      <c r="P118" s="1135">
        <f t="shared" si="47"/>
        <v>2182.2888722781413</v>
      </c>
      <c r="Q118" s="1135">
        <f t="shared" si="47"/>
        <v>2504.8940132463244</v>
      </c>
      <c r="R118" s="1135">
        <f t="shared" si="47"/>
        <v>2998.9321194356662</v>
      </c>
      <c r="S118" s="1135">
        <f t="shared" si="47"/>
        <v>3400.5281748571438</v>
      </c>
      <c r="T118" s="1135">
        <f t="shared" si="47"/>
        <v>3803.9133609960081</v>
      </c>
      <c r="U118" s="1135">
        <f t="shared" si="47"/>
        <v>4206.2214267460349</v>
      </c>
      <c r="V118" s="1135">
        <f t="shared" si="47"/>
        <v>4227.3506177824802</v>
      </c>
      <c r="W118" s="1135">
        <f t="shared" si="47"/>
        <v>3929.0413302093007</v>
      </c>
      <c r="X118" s="1135">
        <f t="shared" si="47"/>
        <v>2985.1926660437111</v>
      </c>
      <c r="Y118" s="1035"/>
      <c r="Z118" s="1035"/>
      <c r="AA118" s="1035"/>
      <c r="AB118" s="1035"/>
      <c r="AC118" s="1035"/>
      <c r="AD118" s="1036"/>
      <c r="AE118" s="1036"/>
      <c r="AF118" s="1036"/>
      <c r="AG118" s="1036"/>
      <c r="AH118" s="1036"/>
      <c r="AI118" s="1036"/>
      <c r="AJ118" s="1036"/>
      <c r="AK118" s="1036"/>
      <c r="AL118" s="1036"/>
      <c r="AM118" s="1036"/>
      <c r="AN118" s="1036"/>
      <c r="AO118" s="1036"/>
      <c r="AP118" s="1036"/>
      <c r="AQ118" s="1036"/>
      <c r="AR118" s="1036"/>
      <c r="AS118" s="1036"/>
      <c r="AT118" s="1036"/>
      <c r="AU118" s="1036"/>
      <c r="AV118" s="1036"/>
    </row>
    <row r="119" spans="2:51" s="1031" customFormat="1" ht="12" thickBot="1" x14ac:dyDescent="0.25">
      <c r="B119" s="1104" t="s">
        <v>228</v>
      </c>
      <c r="C119" s="1105"/>
      <c r="D119" s="1105"/>
      <c r="E119" s="1105"/>
      <c r="F119" s="1105"/>
      <c r="G119" s="1105"/>
      <c r="H119" s="1105"/>
      <c r="I119" s="1106"/>
      <c r="J119" s="1106">
        <f>J118*0.85</f>
        <v>1812.4178844983041</v>
      </c>
      <c r="K119" s="1106">
        <f>K118*0.85</f>
        <v>1770.2968716490898</v>
      </c>
      <c r="L119" s="1106">
        <f>L118*0.85</f>
        <v>1749.4156374315546</v>
      </c>
      <c r="M119" s="1106">
        <v>1717.3792827956413</v>
      </c>
      <c r="N119" s="1106">
        <f>N118*0.85</f>
        <v>1737.8574859461046</v>
      </c>
      <c r="O119" s="1107">
        <f t="shared" ref="O119:X119" si="48">O118*0.85</f>
        <v>1768.909948076747</v>
      </c>
      <c r="P119" s="1107">
        <f t="shared" si="48"/>
        <v>1854.9455414364199</v>
      </c>
      <c r="Q119" s="1107">
        <f t="shared" si="48"/>
        <v>2129.1599112593758</v>
      </c>
      <c r="R119" s="1107">
        <f t="shared" si="48"/>
        <v>2549.0923015203161</v>
      </c>
      <c r="S119" s="1107">
        <f t="shared" si="48"/>
        <v>2890.448948628572</v>
      </c>
      <c r="T119" s="1107">
        <f t="shared" si="48"/>
        <v>3233.3263568466068</v>
      </c>
      <c r="U119" s="1107">
        <f t="shared" si="48"/>
        <v>3575.2882127341295</v>
      </c>
      <c r="V119" s="1107">
        <f t="shared" si="48"/>
        <v>3593.2480251151082</v>
      </c>
      <c r="W119" s="1107">
        <f t="shared" si="48"/>
        <v>3339.6851306779054</v>
      </c>
      <c r="X119" s="1107">
        <f t="shared" si="48"/>
        <v>2537.4137661371542</v>
      </c>
      <c r="Y119" s="1035"/>
      <c r="Z119" s="1035"/>
      <c r="AA119" s="1035"/>
      <c r="AB119" s="1035"/>
      <c r="AC119" s="1035"/>
      <c r="AD119" s="1036"/>
      <c r="AE119" s="1036"/>
      <c r="AF119" s="1036"/>
      <c r="AG119" s="1036"/>
      <c r="AH119" s="1036"/>
      <c r="AI119" s="1036"/>
      <c r="AJ119" s="1036"/>
      <c r="AK119" s="1036"/>
      <c r="AL119" s="1036"/>
      <c r="AM119" s="1036"/>
      <c r="AN119" s="1036"/>
      <c r="AO119" s="1036"/>
      <c r="AP119" s="1036"/>
      <c r="AQ119" s="1036"/>
      <c r="AR119" s="1036"/>
      <c r="AS119" s="1036"/>
      <c r="AT119" s="1036"/>
      <c r="AU119" s="1036"/>
      <c r="AV119" s="1036"/>
    </row>
    <row r="120" spans="2:51" s="1036" customFormat="1" ht="12" thickBot="1" x14ac:dyDescent="0.25">
      <c r="B120" s="1152" t="s">
        <v>519</v>
      </c>
      <c r="C120" s="1108"/>
      <c r="D120" s="1108"/>
      <c r="E120" s="1108"/>
      <c r="F120" s="1108"/>
      <c r="G120" s="1108"/>
      <c r="H120" s="1108"/>
      <c r="I120" s="1109"/>
      <c r="J120" s="1146">
        <f>J114/4+J118</f>
        <v>2668.9679242273878</v>
      </c>
      <c r="K120" s="1109"/>
      <c r="L120" s="1109"/>
      <c r="M120" s="1109"/>
      <c r="N120" s="1109"/>
      <c r="O120" s="1110"/>
      <c r="P120" s="1110"/>
      <c r="Q120" s="1110"/>
      <c r="R120" s="1110"/>
      <c r="S120" s="1110"/>
      <c r="T120" s="1110"/>
      <c r="U120" s="1110"/>
      <c r="V120" s="1110"/>
      <c r="W120" s="1110"/>
      <c r="X120" s="1110"/>
      <c r="Y120" s="1035"/>
      <c r="Z120" s="1035"/>
      <c r="AA120" s="1035"/>
      <c r="AB120" s="1035"/>
      <c r="AC120" s="1035"/>
      <c r="AE120" s="1036" t="s">
        <v>229</v>
      </c>
      <c r="AX120" s="1031"/>
    </row>
    <row r="121" spans="2:51" s="1036" customFormat="1" ht="11.25" x14ac:dyDescent="0.2">
      <c r="B121" s="1111" t="s">
        <v>509</v>
      </c>
      <c r="C121" s="1112"/>
      <c r="D121" s="1112"/>
      <c r="E121" s="1112"/>
      <c r="F121" s="1112"/>
      <c r="G121" s="1112"/>
      <c r="H121" s="1112"/>
      <c r="I121" s="1130"/>
      <c r="J121" s="1131">
        <f>J104*J98</f>
        <v>604.93583711566009</v>
      </c>
      <c r="K121" s="1131">
        <f>K104*K98</f>
        <v>624.10656230944016</v>
      </c>
      <c r="L121" s="1131">
        <f>L104*L98</f>
        <v>641.98411978105662</v>
      </c>
      <c r="M121" s="1131">
        <v>599.83833560325093</v>
      </c>
      <c r="N121" s="1131">
        <f>N104*N98</f>
        <v>660.71865527278771</v>
      </c>
      <c r="O121" s="1132">
        <f t="shared" ref="O121:X121" si="49">O104*O98</f>
        <v>694.42969610087835</v>
      </c>
      <c r="P121" s="1132">
        <f t="shared" si="49"/>
        <v>736.83750784791039</v>
      </c>
      <c r="Q121" s="1132">
        <f t="shared" si="49"/>
        <v>857.1118415641331</v>
      </c>
      <c r="R121" s="1132">
        <f t="shared" si="49"/>
        <v>1086.8667003503174</v>
      </c>
      <c r="S121" s="1132">
        <f t="shared" si="49"/>
        <v>1259.6118221204472</v>
      </c>
      <c r="T121" s="1132">
        <f t="shared" si="49"/>
        <v>1510.6765401688906</v>
      </c>
      <c r="U121" s="1132">
        <f t="shared" si="49"/>
        <v>1705.2920676410004</v>
      </c>
      <c r="V121" s="1132">
        <f t="shared" si="49"/>
        <v>1811.2245264698954</v>
      </c>
      <c r="W121" s="1132">
        <f t="shared" si="49"/>
        <v>1910.4202209016719</v>
      </c>
      <c r="X121" s="1132">
        <f t="shared" si="49"/>
        <v>2019.913713657915</v>
      </c>
      <c r="Y121" s="1113"/>
      <c r="Z121" s="1113"/>
      <c r="AA121" s="1113"/>
      <c r="AB121" s="1113"/>
      <c r="AC121" s="1113"/>
      <c r="AD121" s="1113"/>
      <c r="AE121" s="1114"/>
      <c r="AF121" s="1115"/>
      <c r="AG121" s="1115"/>
      <c r="AH121" s="1115"/>
      <c r="AI121" s="1115"/>
      <c r="AJ121" s="1115"/>
    </row>
    <row r="122" spans="2:51" s="1049" customFormat="1" ht="11.25" x14ac:dyDescent="0.2">
      <c r="B122" s="1093" t="s">
        <v>232</v>
      </c>
      <c r="C122" s="1094"/>
      <c r="D122" s="1094"/>
      <c r="E122" s="1094"/>
      <c r="F122" s="1094"/>
      <c r="G122" s="1094"/>
      <c r="H122" s="1094"/>
      <c r="I122" s="1147"/>
      <c r="J122" s="1148">
        <f t="shared" ref="J122:X122" si="50">J121/4</f>
        <v>151.23395927891502</v>
      </c>
      <c r="K122" s="1148">
        <f t="shared" si="50"/>
        <v>156.02664057736004</v>
      </c>
      <c r="L122" s="1148">
        <f t="shared" si="50"/>
        <v>160.49602994526416</v>
      </c>
      <c r="M122" s="1148">
        <v>149.95958390081273</v>
      </c>
      <c r="N122" s="1148">
        <f t="shared" si="50"/>
        <v>165.17966381819693</v>
      </c>
      <c r="O122" s="1149">
        <f t="shared" si="50"/>
        <v>173.60742402521959</v>
      </c>
      <c r="P122" s="1149">
        <f t="shared" si="50"/>
        <v>184.2093769619776</v>
      </c>
      <c r="Q122" s="1149">
        <f t="shared" si="50"/>
        <v>214.27796039103328</v>
      </c>
      <c r="R122" s="1149">
        <f t="shared" si="50"/>
        <v>271.71667508757935</v>
      </c>
      <c r="S122" s="1149">
        <f t="shared" si="50"/>
        <v>314.9029555301118</v>
      </c>
      <c r="T122" s="1149">
        <f t="shared" si="50"/>
        <v>377.66913504222265</v>
      </c>
      <c r="U122" s="1149">
        <f t="shared" si="50"/>
        <v>426.32301691025009</v>
      </c>
      <c r="V122" s="1149">
        <f t="shared" si="50"/>
        <v>452.80613161747385</v>
      </c>
      <c r="W122" s="1149">
        <f t="shared" si="50"/>
        <v>477.60505522541797</v>
      </c>
      <c r="X122" s="1149">
        <f t="shared" si="50"/>
        <v>504.97842841447874</v>
      </c>
      <c r="Y122" s="1150"/>
      <c r="Z122" s="1150"/>
      <c r="AA122" s="1150"/>
      <c r="AB122" s="1150"/>
      <c r="AC122" s="1150"/>
      <c r="AD122" s="1150"/>
      <c r="AE122" s="1151"/>
    </row>
    <row r="123" spans="2:51" s="1036" customFormat="1" ht="11.25" x14ac:dyDescent="0.2">
      <c r="B123" s="1041"/>
      <c r="C123" s="920"/>
      <c r="D123" s="920"/>
      <c r="E123" s="920"/>
      <c r="F123" s="920"/>
      <c r="G123" s="920"/>
      <c r="H123" s="920"/>
      <c r="I123" s="1116">
        <f>I122/4</f>
        <v>0</v>
      </c>
      <c r="J123" s="1117"/>
      <c r="K123" s="1117"/>
      <c r="L123" s="1117"/>
      <c r="M123" s="1117"/>
      <c r="N123" s="1117"/>
      <c r="O123" s="1118"/>
      <c r="P123" s="1118"/>
      <c r="Q123" s="1118"/>
      <c r="R123" s="1118"/>
      <c r="S123" s="1118"/>
      <c r="T123" s="1118"/>
      <c r="U123" s="1118"/>
      <c r="V123" s="1118"/>
      <c r="W123" s="1118"/>
      <c r="X123" s="1118"/>
      <c r="Y123" s="1113"/>
      <c r="Z123" s="1113"/>
      <c r="AA123" s="1113"/>
      <c r="AB123" s="1113"/>
      <c r="AC123" s="1113"/>
      <c r="AD123" s="1113"/>
      <c r="AE123" s="1114"/>
      <c r="AF123" s="1115"/>
      <c r="AG123" s="1115"/>
      <c r="AH123" s="1115"/>
      <c r="AI123" s="1115"/>
      <c r="AJ123" s="1115"/>
    </row>
    <row r="124" spans="2:51" s="1124" customFormat="1" ht="11.25" x14ac:dyDescent="0.2">
      <c r="B124" s="1042" t="s">
        <v>221</v>
      </c>
      <c r="C124" s="953"/>
      <c r="D124" s="953"/>
      <c r="E124" s="953"/>
      <c r="F124" s="953"/>
      <c r="G124" s="953"/>
      <c r="H124" s="953"/>
      <c r="I124" s="1119" t="s">
        <v>222</v>
      </c>
      <c r="J124" s="1119" t="s">
        <v>223</v>
      </c>
      <c r="K124" s="1119" t="s">
        <v>224</v>
      </c>
      <c r="L124" s="1119" t="s">
        <v>225</v>
      </c>
      <c r="M124" s="1119" t="s">
        <v>226</v>
      </c>
      <c r="N124" s="1119" t="s">
        <v>226</v>
      </c>
      <c r="O124" s="1120" t="s">
        <v>281</v>
      </c>
      <c r="P124" s="1120" t="s">
        <v>282</v>
      </c>
      <c r="Q124" s="1120" t="s">
        <v>283</v>
      </c>
      <c r="R124" s="1120" t="s">
        <v>284</v>
      </c>
      <c r="S124" s="1120" t="s">
        <v>285</v>
      </c>
      <c r="T124" s="1120" t="s">
        <v>286</v>
      </c>
      <c r="U124" s="1120" t="s">
        <v>287</v>
      </c>
      <c r="V124" s="1120" t="s">
        <v>288</v>
      </c>
      <c r="W124" s="1120" t="s">
        <v>289</v>
      </c>
      <c r="X124" s="1120" t="s">
        <v>507</v>
      </c>
      <c r="Y124" s="1121"/>
      <c r="Z124" s="1121"/>
      <c r="AA124" s="1121"/>
      <c r="AB124" s="1121"/>
      <c r="AC124" s="1121"/>
      <c r="AD124" s="1121"/>
      <c r="AE124" s="1122"/>
      <c r="AF124" s="1123"/>
      <c r="AG124" s="1123"/>
      <c r="AH124" s="1123"/>
      <c r="AI124" s="1123"/>
      <c r="AJ124" s="1123"/>
    </row>
    <row r="125" spans="2:51" s="1036" customFormat="1" ht="12" thickBot="1" x14ac:dyDescent="0.25">
      <c r="B125" s="1125" t="s">
        <v>227</v>
      </c>
      <c r="C125" s="1126"/>
      <c r="D125" s="1126"/>
      <c r="E125" s="1126"/>
      <c r="F125" s="1126"/>
      <c r="G125" s="1126"/>
      <c r="H125" s="1126"/>
      <c r="I125" s="1128">
        <f>(I122*3)+(J122*1)</f>
        <v>151.23395927891502</v>
      </c>
      <c r="J125" s="1128">
        <f>(J122*3)+(K122*1)</f>
        <v>609.72851841410511</v>
      </c>
      <c r="K125" s="1128">
        <f>(K122*3)+(L122*1)</f>
        <v>628.57595167734428</v>
      </c>
      <c r="L125" s="1128">
        <f>(L122*3)+(N122*1)</f>
        <v>646.66775365398939</v>
      </c>
      <c r="M125" s="1128">
        <v>606.1374138973797</v>
      </c>
      <c r="N125" s="1128">
        <f>(N122*3)+(O122*1)</f>
        <v>669.14641547981046</v>
      </c>
      <c r="O125" s="1129">
        <f t="shared" ref="O125:X125" si="51">(O122*3)+(P122*1)</f>
        <v>705.03164903763627</v>
      </c>
      <c r="P125" s="1129">
        <f t="shared" si="51"/>
        <v>766.90609127696609</v>
      </c>
      <c r="Q125" s="1129">
        <f t="shared" si="51"/>
        <v>914.55055626067917</v>
      </c>
      <c r="R125" s="1129">
        <f t="shared" si="51"/>
        <v>1130.0529807928499</v>
      </c>
      <c r="S125" s="1129">
        <f t="shared" si="51"/>
        <v>1322.3780016325582</v>
      </c>
      <c r="T125" s="1129">
        <f t="shared" si="51"/>
        <v>1559.330422036918</v>
      </c>
      <c r="U125" s="1129">
        <f t="shared" si="51"/>
        <v>1731.775182348224</v>
      </c>
      <c r="V125" s="1129">
        <f t="shared" si="51"/>
        <v>1836.0234500778395</v>
      </c>
      <c r="W125" s="1129">
        <f t="shared" si="51"/>
        <v>1937.7935940907325</v>
      </c>
      <c r="X125" s="1129">
        <f t="shared" si="51"/>
        <v>1514.9352852434363</v>
      </c>
      <c r="Y125" s="1127"/>
      <c r="Z125" s="1127"/>
      <c r="AA125" s="1127"/>
      <c r="AB125" s="1113"/>
      <c r="AC125" s="1113"/>
      <c r="AD125" s="1113"/>
      <c r="AE125" s="1113"/>
      <c r="AF125" s="1113"/>
      <c r="AG125" s="1114"/>
      <c r="AH125" s="1115"/>
      <c r="AI125" s="1115"/>
      <c r="AJ125" s="1115"/>
      <c r="AK125" s="1115"/>
      <c r="AL125" s="1115"/>
    </row>
    <row r="126" spans="2:51" s="371" customFormat="1" ht="12" x14ac:dyDescent="0.2">
      <c r="B126" s="1153" t="s">
        <v>520</v>
      </c>
      <c r="C126" s="469"/>
      <c r="D126" s="469"/>
      <c r="E126" s="469"/>
      <c r="F126" s="469"/>
      <c r="G126" s="469"/>
      <c r="H126" s="461"/>
      <c r="I126" s="381"/>
      <c r="J126" s="512">
        <f>J121/4+J125</f>
        <v>760.96247769302011</v>
      </c>
      <c r="K126" s="457"/>
      <c r="L126" s="458"/>
      <c r="M126" s="458"/>
      <c r="N126" s="458"/>
      <c r="O126" s="458"/>
      <c r="P126" s="458"/>
      <c r="Q126" s="458"/>
      <c r="R126" s="457"/>
      <c r="S126" s="457"/>
      <c r="T126" s="457"/>
      <c r="U126" s="460"/>
      <c r="V126" s="460"/>
      <c r="W126" s="460"/>
      <c r="X126" s="460"/>
      <c r="Y126" s="460"/>
      <c r="Z126" s="460"/>
      <c r="AA126" s="460"/>
      <c r="AB126" s="460"/>
      <c r="AC126" s="460"/>
      <c r="AD126" s="460"/>
      <c r="AE126" s="460"/>
      <c r="AF126" s="460"/>
    </row>
    <row r="127" spans="2:51" s="371" customFormat="1" ht="12" x14ac:dyDescent="0.2">
      <c r="B127" s="477"/>
      <c r="C127" s="478"/>
      <c r="D127" s="478"/>
      <c r="E127" s="478"/>
      <c r="F127" s="478"/>
      <c r="G127" s="478"/>
      <c r="H127" s="477"/>
      <c r="I127" s="381"/>
      <c r="K127" s="381"/>
      <c r="L127" s="381"/>
      <c r="M127" s="381"/>
      <c r="N127" s="381"/>
      <c r="O127" s="381"/>
      <c r="P127" s="381"/>
      <c r="Q127" s="381"/>
      <c r="R127" s="381"/>
      <c r="S127" s="381"/>
      <c r="T127" s="381"/>
    </row>
    <row r="128" spans="2:51" s="371" customFormat="1" ht="12" x14ac:dyDescent="0.2">
      <c r="B128" s="477"/>
      <c r="C128" s="478"/>
      <c r="D128" s="478"/>
      <c r="E128" s="478"/>
      <c r="F128" s="478"/>
      <c r="G128" s="478"/>
      <c r="H128" s="477"/>
      <c r="I128" s="381"/>
      <c r="K128" s="381"/>
      <c r="L128" s="381"/>
      <c r="M128" s="381"/>
      <c r="N128" s="381"/>
      <c r="O128" s="381"/>
      <c r="P128" s="381"/>
      <c r="Q128" s="381"/>
      <c r="R128" s="381"/>
      <c r="S128" s="381"/>
      <c r="T128" s="381"/>
    </row>
    <row r="129" spans="2:20" s="371" customFormat="1" ht="12" x14ac:dyDescent="0.2">
      <c r="B129" s="477"/>
      <c r="C129" s="478"/>
      <c r="D129" s="478"/>
      <c r="E129" s="478"/>
      <c r="F129" s="478"/>
      <c r="G129" s="478"/>
      <c r="H129" s="477"/>
      <c r="I129" s="381"/>
      <c r="K129" s="381"/>
      <c r="L129" s="381"/>
      <c r="M129" s="381"/>
      <c r="N129" s="381"/>
      <c r="O129" s="381"/>
      <c r="P129" s="381"/>
      <c r="Q129" s="381"/>
      <c r="R129" s="381"/>
      <c r="S129" s="381"/>
      <c r="T129" s="381"/>
    </row>
    <row r="130" spans="2:20" s="371" customFormat="1" ht="12" x14ac:dyDescent="0.2">
      <c r="B130" s="477"/>
      <c r="C130" s="478"/>
      <c r="D130" s="478"/>
      <c r="E130" s="478"/>
      <c r="F130" s="478"/>
      <c r="G130" s="478"/>
      <c r="H130" s="477"/>
      <c r="I130" s="381"/>
      <c r="K130" s="381"/>
      <c r="L130" s="381"/>
      <c r="M130" s="381"/>
      <c r="N130" s="381"/>
      <c r="O130" s="381"/>
      <c r="P130" s="381"/>
    </row>
    <row r="131" spans="2:20" s="371" customFormat="1" ht="12" x14ac:dyDescent="0.2">
      <c r="B131" s="477"/>
      <c r="C131" s="478"/>
      <c r="D131" s="478"/>
      <c r="E131" s="478"/>
      <c r="F131" s="478"/>
      <c r="G131" s="478"/>
      <c r="H131" s="477"/>
      <c r="I131" s="381"/>
      <c r="K131" s="381"/>
      <c r="L131" s="381"/>
      <c r="M131" s="381"/>
      <c r="N131" s="381"/>
      <c r="O131" s="381"/>
      <c r="P131" s="381"/>
    </row>
    <row r="132" spans="2:20" s="371" customFormat="1" ht="12" x14ac:dyDescent="0.2">
      <c r="B132" s="477"/>
      <c r="C132" s="478"/>
      <c r="D132" s="478"/>
      <c r="E132" s="478"/>
      <c r="F132" s="478"/>
      <c r="G132" s="478"/>
      <c r="H132" s="477"/>
      <c r="I132" s="381"/>
      <c r="K132" s="381"/>
      <c r="L132" s="381"/>
      <c r="M132" s="381"/>
      <c r="N132" s="381"/>
      <c r="O132" s="381"/>
      <c r="P132" s="381"/>
    </row>
    <row r="133" spans="2:20" s="371" customFormat="1" ht="12" x14ac:dyDescent="0.2">
      <c r="B133" s="477"/>
      <c r="C133" s="478"/>
      <c r="D133" s="478"/>
      <c r="E133" s="478"/>
      <c r="F133" s="478"/>
      <c r="G133" s="478"/>
      <c r="H133" s="477"/>
      <c r="I133" s="381"/>
      <c r="K133" s="381"/>
      <c r="L133" s="381"/>
      <c r="M133" s="381"/>
      <c r="N133" s="381"/>
      <c r="O133" s="381"/>
      <c r="P133" s="381"/>
    </row>
    <row r="134" spans="2:20" s="371" customFormat="1" ht="12" x14ac:dyDescent="0.2">
      <c r="B134" s="477"/>
      <c r="C134" s="478"/>
      <c r="D134" s="478"/>
      <c r="E134" s="478"/>
      <c r="F134" s="478"/>
      <c r="G134" s="478"/>
      <c r="H134" s="477"/>
      <c r="I134" s="381"/>
      <c r="K134" s="381"/>
      <c r="L134" s="381"/>
      <c r="M134" s="381"/>
      <c r="N134" s="381"/>
      <c r="O134" s="381"/>
      <c r="P134" s="381"/>
    </row>
    <row r="135" spans="2:20" s="371" customFormat="1" ht="12" x14ac:dyDescent="0.2">
      <c r="B135" s="477"/>
      <c r="C135" s="478"/>
      <c r="D135" s="478"/>
      <c r="E135" s="478"/>
      <c r="F135" s="478"/>
      <c r="G135" s="478"/>
      <c r="H135" s="477"/>
      <c r="I135" s="381"/>
      <c r="K135" s="381"/>
      <c r="L135" s="381"/>
      <c r="M135" s="381"/>
      <c r="N135" s="381"/>
      <c r="O135" s="381"/>
      <c r="P135" s="381"/>
    </row>
    <row r="136" spans="2:20" s="371" customFormat="1" ht="12" x14ac:dyDescent="0.2">
      <c r="B136" s="477"/>
      <c r="C136" s="478"/>
      <c r="D136" s="478"/>
      <c r="E136" s="478"/>
      <c r="F136" s="478"/>
      <c r="G136" s="478"/>
      <c r="H136" s="477"/>
      <c r="I136" s="381"/>
      <c r="K136" s="381"/>
      <c r="L136" s="381"/>
      <c r="M136" s="381"/>
      <c r="N136" s="381"/>
      <c r="O136" s="381"/>
      <c r="P136" s="381"/>
    </row>
    <row r="137" spans="2:20" s="371" customFormat="1" ht="12" x14ac:dyDescent="0.2">
      <c r="B137" s="477"/>
      <c r="C137" s="478"/>
      <c r="D137" s="478"/>
      <c r="E137" s="478"/>
      <c r="F137" s="478"/>
      <c r="G137" s="478"/>
      <c r="H137" s="477"/>
      <c r="I137" s="381"/>
      <c r="K137" s="381"/>
      <c r="L137" s="381"/>
      <c r="M137" s="381"/>
      <c r="N137" s="381"/>
      <c r="O137" s="381"/>
      <c r="P137" s="381"/>
    </row>
    <row r="138" spans="2:20" s="371" customFormat="1" ht="12" x14ac:dyDescent="0.2">
      <c r="B138" s="477"/>
      <c r="C138" s="478"/>
      <c r="D138" s="478"/>
      <c r="E138" s="478"/>
      <c r="F138" s="478"/>
      <c r="G138" s="478"/>
      <c r="H138" s="477"/>
      <c r="I138" s="381"/>
      <c r="K138" s="381"/>
      <c r="L138" s="381"/>
      <c r="M138" s="381"/>
      <c r="N138" s="381"/>
      <c r="O138" s="381"/>
      <c r="P138" s="381"/>
    </row>
    <row r="139" spans="2:20" s="371" customFormat="1" ht="12" x14ac:dyDescent="0.2">
      <c r="B139" s="477"/>
      <c r="C139" s="478"/>
      <c r="D139" s="478"/>
      <c r="E139" s="478"/>
      <c r="F139" s="478"/>
      <c r="G139" s="478"/>
      <c r="H139" s="477"/>
      <c r="I139" s="381"/>
      <c r="K139" s="381"/>
      <c r="L139" s="381"/>
      <c r="M139" s="381"/>
      <c r="N139" s="381"/>
      <c r="O139" s="381"/>
      <c r="P139" s="381"/>
    </row>
    <row r="140" spans="2:20" s="371" customFormat="1" ht="12" x14ac:dyDescent="0.2">
      <c r="B140" s="477"/>
      <c r="C140" s="478"/>
      <c r="D140" s="478"/>
      <c r="E140" s="478"/>
      <c r="F140" s="478"/>
      <c r="G140" s="478"/>
      <c r="H140" s="477"/>
      <c r="I140" s="381"/>
      <c r="K140" s="381"/>
      <c r="L140" s="381"/>
      <c r="M140" s="381"/>
      <c r="N140" s="381"/>
      <c r="O140" s="381"/>
      <c r="P140" s="381"/>
    </row>
    <row r="141" spans="2:20" s="371" customFormat="1" ht="12" x14ac:dyDescent="0.2">
      <c r="B141" s="477"/>
      <c r="C141" s="478"/>
      <c r="D141" s="478"/>
      <c r="E141" s="478"/>
      <c r="F141" s="478"/>
      <c r="G141" s="478"/>
      <c r="H141" s="477"/>
      <c r="I141" s="381"/>
      <c r="K141" s="381"/>
      <c r="L141" s="381"/>
      <c r="M141" s="381"/>
      <c r="N141" s="381"/>
      <c r="O141" s="381"/>
      <c r="P141" s="381"/>
    </row>
    <row r="142" spans="2:20" s="371" customFormat="1" ht="12" x14ac:dyDescent="0.2">
      <c r="B142" s="477"/>
      <c r="C142" s="478"/>
      <c r="D142" s="478"/>
      <c r="E142" s="478"/>
      <c r="F142" s="478"/>
      <c r="G142" s="478"/>
      <c r="H142" s="477"/>
      <c r="I142" s="381"/>
      <c r="K142" s="381"/>
      <c r="L142" s="381"/>
      <c r="M142" s="381"/>
      <c r="N142" s="381"/>
      <c r="O142" s="381"/>
      <c r="P142" s="381"/>
    </row>
    <row r="143" spans="2:20" s="371" customFormat="1" ht="12" x14ac:dyDescent="0.2">
      <c r="B143" s="477"/>
      <c r="C143" s="478"/>
      <c r="D143" s="478"/>
      <c r="E143" s="478"/>
      <c r="F143" s="478"/>
      <c r="G143" s="478"/>
      <c r="H143" s="477"/>
      <c r="I143" s="381"/>
      <c r="K143" s="381"/>
      <c r="L143" s="381"/>
      <c r="M143" s="381"/>
      <c r="N143" s="381"/>
      <c r="O143" s="381"/>
      <c r="P143" s="381"/>
    </row>
    <row r="144" spans="2:20" s="371" customFormat="1" ht="12" x14ac:dyDescent="0.2">
      <c r="B144" s="477"/>
      <c r="C144" s="478"/>
      <c r="D144" s="478"/>
      <c r="E144" s="478"/>
      <c r="F144" s="478"/>
      <c r="G144" s="478"/>
      <c r="H144" s="477"/>
      <c r="I144" s="381"/>
      <c r="K144" s="381"/>
      <c r="L144" s="381"/>
      <c r="M144" s="381"/>
      <c r="N144" s="381"/>
      <c r="O144" s="381"/>
      <c r="P144" s="381"/>
    </row>
    <row r="145" spans="2:16" s="371" customFormat="1" ht="12" x14ac:dyDescent="0.2">
      <c r="B145" s="477"/>
      <c r="C145" s="478"/>
      <c r="D145" s="478"/>
      <c r="E145" s="478"/>
      <c r="F145" s="478"/>
      <c r="G145" s="478"/>
      <c r="H145" s="477"/>
      <c r="I145" s="381"/>
      <c r="K145" s="381"/>
      <c r="L145" s="381"/>
      <c r="M145" s="381"/>
      <c r="N145" s="381"/>
      <c r="O145" s="381"/>
      <c r="P145" s="381"/>
    </row>
    <row r="146" spans="2:16" s="371" customFormat="1" ht="12" x14ac:dyDescent="0.2">
      <c r="B146" s="477"/>
      <c r="C146" s="478"/>
      <c r="D146" s="478"/>
      <c r="E146" s="478"/>
      <c r="F146" s="478"/>
      <c r="G146" s="478"/>
      <c r="H146" s="477"/>
      <c r="I146" s="381"/>
      <c r="K146" s="381"/>
      <c r="L146" s="381"/>
      <c r="M146" s="381"/>
      <c r="N146" s="381"/>
      <c r="O146" s="381"/>
      <c r="P146" s="381"/>
    </row>
    <row r="147" spans="2:16" s="371" customFormat="1" ht="12" x14ac:dyDescent="0.2">
      <c r="B147" s="477"/>
      <c r="C147" s="478"/>
      <c r="D147" s="478"/>
      <c r="E147" s="478"/>
      <c r="F147" s="478"/>
      <c r="G147" s="478"/>
      <c r="H147" s="477"/>
      <c r="I147" s="381"/>
      <c r="K147" s="381"/>
      <c r="L147" s="381"/>
      <c r="M147" s="381"/>
      <c r="N147" s="381"/>
      <c r="O147" s="381"/>
      <c r="P147" s="381"/>
    </row>
    <row r="148" spans="2:16" s="371" customFormat="1" ht="12" x14ac:dyDescent="0.2">
      <c r="B148" s="477"/>
      <c r="C148" s="478"/>
      <c r="D148" s="478"/>
      <c r="E148" s="478"/>
      <c r="F148" s="478"/>
      <c r="G148" s="478"/>
      <c r="H148" s="477"/>
      <c r="I148" s="381"/>
      <c r="K148" s="381"/>
      <c r="L148" s="381"/>
      <c r="M148" s="381"/>
      <c r="N148" s="381"/>
      <c r="O148" s="381"/>
      <c r="P148" s="381"/>
    </row>
    <row r="149" spans="2:16" s="371" customFormat="1" ht="12" x14ac:dyDescent="0.2">
      <c r="B149" s="477"/>
      <c r="C149" s="478"/>
      <c r="D149" s="478"/>
      <c r="E149" s="478"/>
      <c r="F149" s="478"/>
      <c r="G149" s="478"/>
      <c r="H149" s="477"/>
      <c r="I149" s="381"/>
      <c r="K149" s="381"/>
      <c r="L149" s="381"/>
      <c r="M149" s="381"/>
      <c r="N149" s="381"/>
      <c r="O149" s="381"/>
      <c r="P149" s="381"/>
    </row>
    <row r="150" spans="2:16" s="371" customFormat="1" ht="12" x14ac:dyDescent="0.2">
      <c r="B150" s="477"/>
      <c r="C150" s="478"/>
      <c r="D150" s="478"/>
      <c r="E150" s="478"/>
      <c r="F150" s="478"/>
      <c r="G150" s="478"/>
      <c r="H150" s="477"/>
      <c r="I150" s="381"/>
      <c r="K150" s="381"/>
      <c r="L150" s="381"/>
      <c r="M150" s="381"/>
      <c r="N150" s="381"/>
      <c r="O150" s="381"/>
      <c r="P150" s="381"/>
    </row>
    <row r="151" spans="2:16" s="371" customFormat="1" ht="12" x14ac:dyDescent="0.2">
      <c r="B151" s="477"/>
      <c r="C151" s="478"/>
      <c r="D151" s="478"/>
      <c r="E151" s="478"/>
      <c r="F151" s="478"/>
      <c r="G151" s="478"/>
      <c r="H151" s="477"/>
      <c r="I151" s="381"/>
      <c r="K151" s="381"/>
      <c r="L151" s="381"/>
      <c r="M151" s="381"/>
      <c r="N151" s="381"/>
      <c r="O151" s="381"/>
      <c r="P151" s="381"/>
    </row>
    <row r="152" spans="2:16" s="371" customFormat="1" ht="12" x14ac:dyDescent="0.2">
      <c r="B152" s="477"/>
      <c r="C152" s="478"/>
      <c r="D152" s="478"/>
      <c r="E152" s="478"/>
      <c r="F152" s="478"/>
      <c r="G152" s="478"/>
      <c r="H152" s="477"/>
      <c r="I152" s="381"/>
      <c r="K152" s="381"/>
      <c r="L152" s="381"/>
      <c r="M152" s="381"/>
      <c r="N152" s="381"/>
      <c r="O152" s="381"/>
      <c r="P152" s="381"/>
    </row>
    <row r="153" spans="2:16" s="371" customFormat="1" ht="12" x14ac:dyDescent="0.2">
      <c r="B153" s="477"/>
      <c r="C153" s="478"/>
      <c r="D153" s="478"/>
      <c r="E153" s="478"/>
      <c r="F153" s="478"/>
      <c r="G153" s="478"/>
      <c r="H153" s="477"/>
      <c r="I153" s="381"/>
      <c r="K153" s="381"/>
      <c r="L153" s="381"/>
      <c r="M153" s="381"/>
      <c r="N153" s="381"/>
      <c r="O153" s="381"/>
      <c r="P153" s="381"/>
    </row>
    <row r="154" spans="2:16" s="371" customFormat="1" ht="12" x14ac:dyDescent="0.2">
      <c r="B154" s="477"/>
      <c r="C154" s="478"/>
      <c r="D154" s="478"/>
      <c r="E154" s="478"/>
      <c r="F154" s="478"/>
      <c r="G154" s="478"/>
      <c r="H154" s="477"/>
      <c r="I154" s="381"/>
      <c r="K154" s="381"/>
      <c r="L154" s="381"/>
      <c r="M154" s="381"/>
      <c r="N154" s="381"/>
      <c r="O154" s="381"/>
      <c r="P154" s="381"/>
    </row>
    <row r="155" spans="2:16" s="371" customFormat="1" ht="12" x14ac:dyDescent="0.2">
      <c r="B155" s="477"/>
      <c r="C155" s="478"/>
      <c r="D155" s="478"/>
      <c r="E155" s="478"/>
      <c r="F155" s="478"/>
      <c r="G155" s="478"/>
      <c r="H155" s="477"/>
      <c r="I155" s="381"/>
      <c r="K155" s="381"/>
      <c r="L155" s="381"/>
      <c r="M155" s="381"/>
      <c r="N155" s="381"/>
      <c r="O155" s="381"/>
      <c r="P155" s="381"/>
    </row>
    <row r="156" spans="2:16" s="371" customFormat="1" ht="12" x14ac:dyDescent="0.2">
      <c r="B156" s="477"/>
      <c r="C156" s="478"/>
      <c r="D156" s="478"/>
      <c r="E156" s="478"/>
      <c r="F156" s="478"/>
      <c r="G156" s="478"/>
      <c r="H156" s="477"/>
      <c r="I156" s="381"/>
      <c r="K156" s="381"/>
      <c r="L156" s="381"/>
      <c r="M156" s="381"/>
      <c r="N156" s="381"/>
      <c r="O156" s="381"/>
      <c r="P156" s="381"/>
    </row>
    <row r="157" spans="2:16" s="371" customFormat="1" ht="12" x14ac:dyDescent="0.2">
      <c r="B157" s="477"/>
      <c r="C157" s="478"/>
      <c r="D157" s="478"/>
      <c r="E157" s="478"/>
      <c r="F157" s="478"/>
      <c r="G157" s="478"/>
      <c r="H157" s="477"/>
      <c r="I157" s="381"/>
      <c r="K157" s="381"/>
      <c r="L157" s="381"/>
      <c r="M157" s="381"/>
      <c r="N157" s="381"/>
      <c r="O157" s="381"/>
      <c r="P157" s="381"/>
    </row>
    <row r="158" spans="2:16" s="371" customFormat="1" ht="12" x14ac:dyDescent="0.2">
      <c r="B158" s="477"/>
      <c r="C158" s="478"/>
      <c r="D158" s="478"/>
      <c r="E158" s="478"/>
      <c r="F158" s="478"/>
      <c r="G158" s="478"/>
      <c r="H158" s="477"/>
      <c r="I158" s="381"/>
      <c r="K158" s="381"/>
      <c r="L158" s="381"/>
      <c r="M158" s="381"/>
      <c r="N158" s="381"/>
      <c r="O158" s="381"/>
      <c r="P158" s="381"/>
    </row>
    <row r="159" spans="2:16" s="371" customFormat="1" ht="12" x14ac:dyDescent="0.2">
      <c r="B159" s="477"/>
      <c r="C159" s="478"/>
      <c r="D159" s="478"/>
      <c r="E159" s="478"/>
      <c r="F159" s="478"/>
      <c r="G159" s="478"/>
      <c r="H159" s="477"/>
      <c r="I159" s="381"/>
      <c r="K159" s="381"/>
      <c r="L159" s="381"/>
      <c r="M159" s="381"/>
      <c r="N159" s="381"/>
      <c r="O159" s="381"/>
      <c r="P159" s="381"/>
    </row>
    <row r="160" spans="2:16" s="371" customFormat="1" ht="12" x14ac:dyDescent="0.2">
      <c r="B160" s="477"/>
      <c r="C160" s="478"/>
      <c r="D160" s="478"/>
      <c r="E160" s="478"/>
      <c r="F160" s="478"/>
      <c r="G160" s="478"/>
      <c r="H160" s="477"/>
      <c r="I160" s="381"/>
      <c r="K160" s="381"/>
      <c r="L160" s="381"/>
      <c r="M160" s="381"/>
      <c r="N160" s="381"/>
      <c r="O160" s="381"/>
      <c r="P160" s="381"/>
    </row>
    <row r="161" spans="2:16" s="371" customFormat="1" ht="12" x14ac:dyDescent="0.2">
      <c r="B161" s="477"/>
      <c r="C161" s="478"/>
      <c r="D161" s="478"/>
      <c r="E161" s="478"/>
      <c r="F161" s="478"/>
      <c r="G161" s="478"/>
      <c r="H161" s="477"/>
      <c r="I161" s="381"/>
      <c r="K161" s="381"/>
      <c r="L161" s="381"/>
      <c r="M161" s="381"/>
      <c r="N161" s="381"/>
      <c r="O161" s="381"/>
      <c r="P161" s="381"/>
    </row>
    <row r="162" spans="2:16" s="371" customFormat="1" ht="12" x14ac:dyDescent="0.2">
      <c r="B162" s="477"/>
      <c r="C162" s="478"/>
      <c r="D162" s="478"/>
      <c r="E162" s="478"/>
      <c r="F162" s="478"/>
      <c r="G162" s="478"/>
      <c r="H162" s="477"/>
      <c r="I162" s="381"/>
      <c r="K162" s="381"/>
      <c r="L162" s="381"/>
      <c r="M162" s="381"/>
      <c r="N162" s="381"/>
      <c r="O162" s="381"/>
      <c r="P162" s="381"/>
    </row>
    <row r="163" spans="2:16" s="371" customFormat="1" ht="12" x14ac:dyDescent="0.2">
      <c r="B163" s="477"/>
      <c r="C163" s="478"/>
      <c r="D163" s="478"/>
      <c r="E163" s="478"/>
      <c r="F163" s="478"/>
      <c r="G163" s="478"/>
      <c r="H163" s="477"/>
      <c r="I163" s="381"/>
      <c r="K163" s="381"/>
      <c r="L163" s="381"/>
      <c r="M163" s="381"/>
      <c r="N163" s="381"/>
      <c r="O163" s="381"/>
      <c r="P163" s="381"/>
    </row>
    <row r="164" spans="2:16" s="371" customFormat="1" ht="12" x14ac:dyDescent="0.2">
      <c r="B164" s="477"/>
      <c r="C164" s="478"/>
      <c r="D164" s="478"/>
      <c r="E164" s="478"/>
      <c r="F164" s="478"/>
      <c r="G164" s="478"/>
      <c r="H164" s="477"/>
      <c r="I164" s="381"/>
      <c r="K164" s="381"/>
      <c r="L164" s="381"/>
      <c r="M164" s="381"/>
      <c r="N164" s="381"/>
      <c r="O164" s="381"/>
      <c r="P164" s="381"/>
    </row>
    <row r="165" spans="2:16" s="371" customFormat="1" ht="12" x14ac:dyDescent="0.2">
      <c r="B165" s="477"/>
      <c r="C165" s="478"/>
      <c r="D165" s="478"/>
      <c r="E165" s="478"/>
      <c r="F165" s="478"/>
      <c r="G165" s="478"/>
      <c r="H165" s="477"/>
      <c r="I165" s="381"/>
      <c r="K165" s="381"/>
      <c r="L165" s="381"/>
      <c r="M165" s="381"/>
      <c r="N165" s="381"/>
      <c r="O165" s="381"/>
      <c r="P165" s="381"/>
    </row>
    <row r="166" spans="2:16" s="371" customFormat="1" ht="12" x14ac:dyDescent="0.2">
      <c r="B166" s="477"/>
      <c r="C166" s="478"/>
      <c r="D166" s="478"/>
      <c r="E166" s="478"/>
      <c r="F166" s="478"/>
      <c r="G166" s="478"/>
      <c r="H166" s="477"/>
      <c r="I166" s="381"/>
      <c r="K166" s="381"/>
      <c r="L166" s="381"/>
      <c r="M166" s="381"/>
      <c r="N166" s="381"/>
      <c r="O166" s="381"/>
      <c r="P166" s="381"/>
    </row>
    <row r="167" spans="2:16" s="371" customFormat="1" ht="12" x14ac:dyDescent="0.2">
      <c r="B167" s="477"/>
      <c r="C167" s="478"/>
      <c r="D167" s="478"/>
      <c r="E167" s="478"/>
      <c r="F167" s="478"/>
      <c r="G167" s="478"/>
      <c r="H167" s="477"/>
      <c r="I167" s="381"/>
      <c r="K167" s="381"/>
      <c r="L167" s="381"/>
      <c r="M167" s="381"/>
      <c r="N167" s="381"/>
      <c r="O167" s="381"/>
      <c r="P167" s="381"/>
    </row>
    <row r="168" spans="2:16" s="371" customFormat="1" ht="12" x14ac:dyDescent="0.2">
      <c r="B168" s="477"/>
      <c r="C168" s="478"/>
      <c r="D168" s="478"/>
      <c r="E168" s="478"/>
      <c r="F168" s="478"/>
      <c r="G168" s="478"/>
      <c r="H168" s="477"/>
      <c r="I168" s="381"/>
      <c r="K168" s="381"/>
      <c r="L168" s="381"/>
      <c r="M168" s="381"/>
      <c r="N168" s="381"/>
      <c r="O168" s="381"/>
      <c r="P168" s="381"/>
    </row>
    <row r="169" spans="2:16" s="371" customFormat="1" ht="12" x14ac:dyDescent="0.2">
      <c r="B169" s="477"/>
      <c r="C169" s="478"/>
      <c r="D169" s="478"/>
      <c r="E169" s="478"/>
      <c r="F169" s="478"/>
      <c r="G169" s="478"/>
      <c r="H169" s="477"/>
      <c r="I169" s="381"/>
      <c r="K169" s="381"/>
      <c r="L169" s="381"/>
      <c r="M169" s="381"/>
      <c r="N169" s="381"/>
      <c r="O169" s="381"/>
      <c r="P169" s="381"/>
    </row>
    <row r="170" spans="2:16" s="371" customFormat="1" ht="12" x14ac:dyDescent="0.2">
      <c r="B170" s="477"/>
      <c r="C170" s="478"/>
      <c r="D170" s="478"/>
      <c r="E170" s="478"/>
      <c r="F170" s="478"/>
      <c r="G170" s="478"/>
      <c r="H170" s="477"/>
      <c r="I170" s="381"/>
      <c r="K170" s="381"/>
      <c r="L170" s="381"/>
      <c r="M170" s="381"/>
      <c r="N170" s="381"/>
      <c r="O170" s="381"/>
      <c r="P170" s="381"/>
    </row>
    <row r="171" spans="2:16" s="371" customFormat="1" ht="12" x14ac:dyDescent="0.2">
      <c r="B171" s="477"/>
      <c r="C171" s="478"/>
      <c r="D171" s="478"/>
      <c r="E171" s="478"/>
      <c r="F171" s="478"/>
      <c r="G171" s="478"/>
      <c r="H171" s="477"/>
      <c r="I171" s="381"/>
      <c r="K171" s="381"/>
      <c r="L171" s="381"/>
      <c r="M171" s="381"/>
      <c r="N171" s="381"/>
      <c r="O171" s="381"/>
      <c r="P171" s="381"/>
    </row>
    <row r="172" spans="2:16" s="371" customFormat="1" ht="12" x14ac:dyDescent="0.2">
      <c r="B172" s="477"/>
      <c r="C172" s="478"/>
      <c r="D172" s="478"/>
      <c r="E172" s="478"/>
      <c r="F172" s="478"/>
      <c r="G172" s="478"/>
      <c r="H172" s="477"/>
      <c r="I172" s="381"/>
      <c r="K172" s="381"/>
      <c r="L172" s="381"/>
      <c r="M172" s="381"/>
      <c r="N172" s="381"/>
      <c r="O172" s="381"/>
      <c r="P172" s="381"/>
    </row>
    <row r="173" spans="2:16" s="371" customFormat="1" ht="12" x14ac:dyDescent="0.2">
      <c r="B173" s="477"/>
      <c r="C173" s="478"/>
      <c r="D173" s="478"/>
      <c r="E173" s="478"/>
      <c r="F173" s="478"/>
      <c r="G173" s="478"/>
      <c r="H173" s="477"/>
      <c r="I173" s="381"/>
      <c r="K173" s="381"/>
      <c r="L173" s="381"/>
      <c r="M173" s="381"/>
      <c r="N173" s="381"/>
      <c r="O173" s="381"/>
      <c r="P173" s="381"/>
    </row>
    <row r="174" spans="2:16" s="371" customFormat="1" ht="12" x14ac:dyDescent="0.2">
      <c r="B174" s="477"/>
      <c r="C174" s="478"/>
      <c r="D174" s="478"/>
      <c r="E174" s="478"/>
      <c r="F174" s="478"/>
      <c r="G174" s="478"/>
      <c r="H174" s="477"/>
      <c r="I174" s="381"/>
      <c r="K174" s="381"/>
      <c r="L174" s="381"/>
      <c r="M174" s="381"/>
      <c r="N174" s="381"/>
      <c r="O174" s="381"/>
      <c r="P174" s="381"/>
    </row>
    <row r="175" spans="2:16" s="371" customFormat="1" ht="12" x14ac:dyDescent="0.2">
      <c r="B175" s="477"/>
      <c r="C175" s="478"/>
      <c r="D175" s="478"/>
      <c r="E175" s="478"/>
      <c r="F175" s="478"/>
      <c r="G175" s="478"/>
      <c r="H175" s="477"/>
      <c r="I175" s="381"/>
      <c r="K175" s="381"/>
      <c r="L175" s="381"/>
      <c r="M175" s="381"/>
      <c r="N175" s="381"/>
      <c r="O175" s="381"/>
      <c r="P175" s="381"/>
    </row>
    <row r="177" spans="2:73" s="1249" customFormat="1" x14ac:dyDescent="0.25"/>
    <row r="179" spans="2:73" x14ac:dyDescent="0.25">
      <c r="B179" s="765"/>
      <c r="C179" s="765"/>
      <c r="D179" s="765"/>
      <c r="E179" s="765"/>
      <c r="F179" s="765"/>
      <c r="G179" s="765"/>
      <c r="H179" s="765"/>
      <c r="I179" s="765"/>
      <c r="J179" s="765"/>
      <c r="K179" s="765"/>
      <c r="L179" s="765"/>
      <c r="M179" s="765"/>
      <c r="N179" s="765"/>
      <c r="O179" s="765"/>
      <c r="P179" s="765"/>
      <c r="Q179" s="765"/>
      <c r="R179" s="765"/>
      <c r="S179" s="765"/>
      <c r="T179" s="765"/>
      <c r="U179" s="765"/>
      <c r="V179" s="765"/>
      <c r="W179" s="765"/>
      <c r="X179" s="765"/>
      <c r="Y179" s="856"/>
      <c r="Z179" s="765"/>
    </row>
    <row r="180" spans="2:73" x14ac:dyDescent="0.25">
      <c r="B180" s="765"/>
      <c r="C180" s="765"/>
      <c r="D180" s="765"/>
      <c r="E180" s="765"/>
      <c r="F180" s="765"/>
      <c r="G180" s="765"/>
      <c r="H180" s="765"/>
      <c r="I180" s="765"/>
      <c r="J180" s="765"/>
      <c r="K180" s="765"/>
      <c r="L180" s="765"/>
      <c r="M180" s="765"/>
      <c r="N180" s="765"/>
      <c r="O180" s="765"/>
      <c r="P180" s="765"/>
      <c r="Q180" s="765"/>
      <c r="R180" s="765"/>
      <c r="S180" s="765"/>
      <c r="T180" s="765"/>
      <c r="U180" s="765"/>
      <c r="V180" s="765"/>
      <c r="W180" s="765"/>
      <c r="X180" s="765"/>
      <c r="Y180" s="856"/>
      <c r="Z180" s="765"/>
    </row>
    <row r="181" spans="2:73" s="1031" customFormat="1" ht="11.25" x14ac:dyDescent="0.2">
      <c r="B181" s="953"/>
      <c r="C181" s="953"/>
      <c r="D181" s="953"/>
      <c r="E181" s="953"/>
      <c r="F181" s="953"/>
      <c r="G181" s="953"/>
      <c r="H181" s="953"/>
      <c r="I181" s="1250">
        <v>2016</v>
      </c>
      <c r="J181" s="1250">
        <v>2017</v>
      </c>
      <c r="K181" s="1250">
        <v>2018</v>
      </c>
      <c r="L181" s="1250">
        <v>2019</v>
      </c>
      <c r="M181" s="1250">
        <v>2020</v>
      </c>
      <c r="N181" s="1250">
        <v>2020</v>
      </c>
      <c r="O181" s="1250">
        <v>2021</v>
      </c>
      <c r="P181" s="1250">
        <v>2022</v>
      </c>
      <c r="Q181" s="1250">
        <v>2023</v>
      </c>
      <c r="R181" s="1250">
        <v>2024</v>
      </c>
      <c r="S181" s="1250">
        <v>2025</v>
      </c>
      <c r="T181" s="1250">
        <v>2026</v>
      </c>
      <c r="U181" s="1250">
        <v>2027</v>
      </c>
      <c r="V181" s="1250">
        <v>2028</v>
      </c>
      <c r="W181" s="1250">
        <v>2029</v>
      </c>
      <c r="X181" s="1250">
        <v>2030</v>
      </c>
      <c r="Y181" s="1044"/>
      <c r="Z181" s="1044"/>
      <c r="AA181" s="1044"/>
      <c r="AB181" s="1035"/>
      <c r="AC181" s="1035"/>
      <c r="AD181" s="1036"/>
      <c r="AE181" s="1036"/>
      <c r="AF181" s="1036"/>
      <c r="AG181" s="1036"/>
      <c r="AH181" s="1036"/>
      <c r="AI181" s="1036"/>
      <c r="AJ181" s="1036"/>
      <c r="AK181" s="1036"/>
      <c r="AL181" s="1036"/>
      <c r="AM181" s="1036"/>
      <c r="AN181" s="1036"/>
      <c r="AO181" s="1036"/>
      <c r="AP181" s="1036"/>
      <c r="AQ181" s="1036"/>
      <c r="AR181" s="1036"/>
      <c r="AS181" s="1036"/>
      <c r="AT181" s="1036"/>
      <c r="AU181" s="1036"/>
      <c r="AV181" s="1036"/>
      <c r="BU181" s="1040">
        <v>0.18</v>
      </c>
    </row>
    <row r="182" spans="2:73" x14ac:dyDescent="0.25">
      <c r="B182" s="859" t="s">
        <v>479</v>
      </c>
      <c r="C182" s="859"/>
      <c r="D182" s="859"/>
      <c r="E182" s="859"/>
      <c r="F182" s="859"/>
      <c r="G182" s="859"/>
      <c r="H182" s="859"/>
      <c r="I182" s="859"/>
      <c r="J182" s="1251">
        <f>J58</f>
        <v>142.33169192075729</v>
      </c>
      <c r="K182" s="1251">
        <f t="shared" ref="K182:X182" si="52">K58</f>
        <v>136.44378354391171</v>
      </c>
      <c r="L182" s="1251">
        <f t="shared" si="52"/>
        <v>130.55587516706612</v>
      </c>
      <c r="M182" s="1251">
        <v>124.66796679022053</v>
      </c>
      <c r="N182" s="1251">
        <f t="shared" si="52"/>
        <v>124.66796679022053</v>
      </c>
      <c r="O182" s="1251">
        <f t="shared" si="52"/>
        <v>121.08549271004843</v>
      </c>
      <c r="P182" s="1251">
        <f t="shared" si="52"/>
        <v>117.49309564330355</v>
      </c>
      <c r="Q182" s="1251">
        <f t="shared" si="52"/>
        <v>113.90069857655867</v>
      </c>
      <c r="R182" s="1251">
        <f t="shared" si="52"/>
        <v>110.30830150981379</v>
      </c>
      <c r="S182" s="1251">
        <f t="shared" si="52"/>
        <v>106.71590444306891</v>
      </c>
      <c r="T182" s="1251">
        <f t="shared" si="52"/>
        <v>103.12350737632403</v>
      </c>
      <c r="U182" s="1251">
        <f t="shared" si="52"/>
        <v>99.531110309579148</v>
      </c>
      <c r="V182" s="1251">
        <f t="shared" si="52"/>
        <v>95.938713242834268</v>
      </c>
      <c r="W182" s="1251">
        <f t="shared" si="52"/>
        <v>92.346316176089388</v>
      </c>
      <c r="X182" s="1251">
        <f t="shared" si="52"/>
        <v>88.75391910934448</v>
      </c>
      <c r="Y182" s="856"/>
      <c r="Z182" s="765"/>
    </row>
    <row r="183" spans="2:73" hidden="1" x14ac:dyDescent="0.25">
      <c r="B183" s="173" t="s">
        <v>480</v>
      </c>
      <c r="C183" s="173"/>
      <c r="D183" s="173"/>
      <c r="E183" s="173"/>
      <c r="F183" s="173"/>
      <c r="G183" s="173"/>
      <c r="H183" s="173"/>
      <c r="I183" s="173"/>
      <c r="J183" s="1251">
        <f t="shared" ref="J183:X186" si="53">J60</f>
        <v>141.31261490733007</v>
      </c>
      <c r="K183" s="1251">
        <f t="shared" si="53"/>
        <v>135.42470653048449</v>
      </c>
      <c r="L183" s="1251">
        <f t="shared" si="53"/>
        <v>129.5367981536389</v>
      </c>
      <c r="M183" s="1251">
        <v>123.64888977679331</v>
      </c>
      <c r="N183" s="1251">
        <f t="shared" si="53"/>
        <v>123.64888977679331</v>
      </c>
      <c r="O183" s="1251">
        <f t="shared" si="53"/>
        <v>120.05649271004843</v>
      </c>
      <c r="P183" s="1251">
        <f t="shared" si="53"/>
        <v>116.46409564330355</v>
      </c>
      <c r="Q183" s="1251">
        <f t="shared" si="53"/>
        <v>112.87169857655867</v>
      </c>
      <c r="R183" s="1251">
        <f t="shared" si="53"/>
        <v>109.27930150981379</v>
      </c>
      <c r="S183" s="1251">
        <f t="shared" si="53"/>
        <v>105.68690444306891</v>
      </c>
      <c r="T183" s="1251">
        <f t="shared" si="53"/>
        <v>102.09450737632403</v>
      </c>
      <c r="U183" s="1251">
        <f t="shared" si="53"/>
        <v>98.502110309579152</v>
      </c>
      <c r="V183" s="1251">
        <f t="shared" si="53"/>
        <v>94.909713242834272</v>
      </c>
      <c r="W183" s="1251">
        <f t="shared" si="53"/>
        <v>91.317316176089392</v>
      </c>
      <c r="X183" s="1251">
        <f t="shared" si="53"/>
        <v>87.724919109344484</v>
      </c>
    </row>
    <row r="184" spans="2:73" hidden="1" x14ac:dyDescent="0.25">
      <c r="B184" s="1252" t="s">
        <v>96</v>
      </c>
      <c r="C184" s="173"/>
      <c r="D184" s="173"/>
      <c r="E184" s="173"/>
      <c r="F184" s="173"/>
      <c r="G184" s="173"/>
      <c r="H184" s="173"/>
      <c r="I184" s="173"/>
      <c r="J184" s="1251">
        <f t="shared" si="53"/>
        <v>29.502350481872782</v>
      </c>
      <c r="K184" s="1251">
        <f t="shared" si="53"/>
        <v>28.720874520898647</v>
      </c>
      <c r="L184" s="1251">
        <f t="shared" si="53"/>
        <v>27.939398559924513</v>
      </c>
      <c r="M184" s="1251">
        <v>27.157922598950378</v>
      </c>
      <c r="N184" s="1251">
        <f t="shared" si="53"/>
        <v>33.329251359625466</v>
      </c>
      <c r="O184" s="1251">
        <f t="shared" si="53"/>
        <v>32.902689700665817</v>
      </c>
      <c r="P184" s="1251">
        <f t="shared" si="53"/>
        <v>32.480561428953351</v>
      </c>
      <c r="Q184" s="1251">
        <f t="shared" si="53"/>
        <v>32.06295220343867</v>
      </c>
      <c r="R184" s="1251">
        <f t="shared" si="53"/>
        <v>31.649949467303962</v>
      </c>
      <c r="S184" s="1251">
        <f t="shared" si="53"/>
        <v>31.258383183111064</v>
      </c>
      <c r="T184" s="1251">
        <f t="shared" si="53"/>
        <v>30.583396462820389</v>
      </c>
      <c r="U184" s="1251">
        <f t="shared" si="53"/>
        <v>29.961266086558613</v>
      </c>
      <c r="V184" s="1251">
        <f t="shared" si="53"/>
        <v>29.325064810709215</v>
      </c>
      <c r="W184" s="1251">
        <f t="shared" si="53"/>
        <v>28.691569786042837</v>
      </c>
      <c r="X184" s="1251">
        <f t="shared" si="53"/>
        <v>28.060818393916335</v>
      </c>
    </row>
    <row r="185" spans="2:73" x14ac:dyDescent="0.25">
      <c r="B185" s="1253" t="s">
        <v>591</v>
      </c>
      <c r="C185" s="173"/>
      <c r="D185" s="173"/>
      <c r="E185" s="173"/>
      <c r="F185" s="173"/>
      <c r="G185" s="173"/>
      <c r="H185" s="173"/>
      <c r="I185" s="173"/>
      <c r="J185" s="1251">
        <f t="shared" si="53"/>
        <v>17.111363279486216</v>
      </c>
      <c r="K185" s="1251">
        <f t="shared" si="53"/>
        <v>16.329887318512082</v>
      </c>
      <c r="L185" s="1251">
        <f t="shared" si="53"/>
        <v>15.548411357537946</v>
      </c>
      <c r="M185" s="1251">
        <v>14.766935396563809</v>
      </c>
      <c r="N185" s="1251">
        <f t="shared" si="53"/>
        <v>19.440225145697063</v>
      </c>
      <c r="O185" s="1251">
        <f t="shared" si="53"/>
        <v>18.78197912226376</v>
      </c>
      <c r="P185" s="1251">
        <f t="shared" si="53"/>
        <v>18.123733098830456</v>
      </c>
      <c r="Q185" s="1251">
        <f t="shared" si="53"/>
        <v>17.465487075397157</v>
      </c>
      <c r="R185" s="1251">
        <f t="shared" si="53"/>
        <v>16.807241051963853</v>
      </c>
      <c r="S185" s="1251">
        <f t="shared" si="53"/>
        <v>16.14899502853055</v>
      </c>
      <c r="T185" s="1251">
        <f t="shared" si="53"/>
        <v>15.490749005097246</v>
      </c>
      <c r="U185" s="1251">
        <f t="shared" si="53"/>
        <v>14.832502981663945</v>
      </c>
      <c r="V185" s="1251">
        <f t="shared" si="53"/>
        <v>14.174256958230643</v>
      </c>
      <c r="W185" s="1251">
        <f t="shared" si="53"/>
        <v>13.51601093479734</v>
      </c>
      <c r="X185" s="1251">
        <f t="shared" si="53"/>
        <v>12.857764911364036</v>
      </c>
    </row>
    <row r="186" spans="2:73" x14ac:dyDescent="0.25">
      <c r="B186" s="1253" t="s">
        <v>592</v>
      </c>
      <c r="C186" s="173"/>
      <c r="D186" s="173"/>
      <c r="E186" s="173"/>
      <c r="F186" s="173"/>
      <c r="G186" s="173"/>
      <c r="H186" s="173"/>
      <c r="I186" s="173"/>
      <c r="J186" s="1251">
        <f t="shared" si="53"/>
        <v>12.390987202386567</v>
      </c>
      <c r="K186" s="1251">
        <f t="shared" si="53"/>
        <v>12.390987202386567</v>
      </c>
      <c r="L186" s="1251">
        <f t="shared" si="53"/>
        <v>12.390987202386567</v>
      </c>
      <c r="M186" s="1251">
        <v>12.390987202386567</v>
      </c>
      <c r="N186" s="1251">
        <f t="shared" si="53"/>
        <v>13.889026213928405</v>
      </c>
      <c r="O186" s="1251">
        <f t="shared" si="53"/>
        <v>14.120710578402061</v>
      </c>
      <c r="P186" s="1251">
        <f t="shared" si="53"/>
        <v>14.356828330122891</v>
      </c>
      <c r="Q186" s="1251">
        <f t="shared" si="53"/>
        <v>14.597465128041513</v>
      </c>
      <c r="R186" s="1251">
        <f t="shared" si="53"/>
        <v>14.842708415340109</v>
      </c>
      <c r="S186" s="1251">
        <f t="shared" si="53"/>
        <v>15.109388154580515</v>
      </c>
      <c r="T186" s="1251">
        <f t="shared" si="53"/>
        <v>15.092647457723142</v>
      </c>
      <c r="U186" s="1251">
        <f t="shared" si="53"/>
        <v>15.128763104894668</v>
      </c>
      <c r="V186" s="1251">
        <f t="shared" si="53"/>
        <v>15.150807852478572</v>
      </c>
      <c r="W186" s="1251">
        <f t="shared" si="53"/>
        <v>15.175558851245498</v>
      </c>
      <c r="X186" s="1251">
        <f t="shared" si="53"/>
        <v>15.203053482552299</v>
      </c>
    </row>
    <row r="187" spans="2:73" x14ac:dyDescent="0.25">
      <c r="B187" s="1252" t="s">
        <v>490</v>
      </c>
      <c r="C187" s="173"/>
      <c r="D187" s="173"/>
      <c r="E187" s="173"/>
      <c r="F187" s="173"/>
      <c r="G187" s="173"/>
      <c r="H187" s="173"/>
      <c r="I187" s="173"/>
      <c r="J187" s="1251">
        <f t="shared" ref="J187:X187" si="54">J59</f>
        <v>1.019077013427216</v>
      </c>
      <c r="K187" s="1251">
        <f t="shared" si="54"/>
        <v>1.019077013427216</v>
      </c>
      <c r="L187" s="1251">
        <f t="shared" si="54"/>
        <v>1.019077013427216</v>
      </c>
      <c r="M187" s="1251">
        <v>1.019077013427216</v>
      </c>
      <c r="N187" s="1251">
        <f t="shared" si="54"/>
        <v>1.019077013427216</v>
      </c>
      <c r="O187" s="1251">
        <f t="shared" si="54"/>
        <v>1.0289999999999999</v>
      </c>
      <c r="P187" s="1251">
        <f t="shared" si="54"/>
        <v>1.0289999999999999</v>
      </c>
      <c r="Q187" s="1251">
        <f t="shared" si="54"/>
        <v>1.0289999999999999</v>
      </c>
      <c r="R187" s="1251">
        <f t="shared" si="54"/>
        <v>1.0289999999999999</v>
      </c>
      <c r="S187" s="1251">
        <f t="shared" si="54"/>
        <v>1.0289999999999999</v>
      </c>
      <c r="T187" s="1251">
        <f t="shared" si="54"/>
        <v>1.0289999999999999</v>
      </c>
      <c r="U187" s="1251">
        <f t="shared" si="54"/>
        <v>1.0289999999999999</v>
      </c>
      <c r="V187" s="1251">
        <f t="shared" si="54"/>
        <v>1.0289999999999999</v>
      </c>
      <c r="W187" s="1251">
        <f t="shared" si="54"/>
        <v>1.0289999999999999</v>
      </c>
      <c r="X187" s="1251">
        <f t="shared" si="54"/>
        <v>1.0289999999999999</v>
      </c>
    </row>
    <row r="188" spans="2:73" x14ac:dyDescent="0.25">
      <c r="B188" s="1252" t="s">
        <v>2</v>
      </c>
      <c r="C188" s="173"/>
      <c r="D188" s="173"/>
      <c r="E188" s="173"/>
      <c r="F188" s="173"/>
      <c r="G188" s="173"/>
      <c r="H188" s="173"/>
      <c r="I188" s="173"/>
      <c r="J188" s="1251">
        <f t="shared" ref="J188:X189" si="55">J64</f>
        <v>6.480922986572784</v>
      </c>
      <c r="K188" s="1251">
        <f t="shared" si="55"/>
        <v>6.480922986572784</v>
      </c>
      <c r="L188" s="1251">
        <f t="shared" si="55"/>
        <v>6.480922986572784</v>
      </c>
      <c r="M188" s="1251">
        <v>6.480922986572784</v>
      </c>
      <c r="N188" s="1251">
        <f t="shared" si="55"/>
        <v>3.8699999999999997</v>
      </c>
      <c r="O188" s="1251">
        <f t="shared" si="55"/>
        <v>3.8699999999999997</v>
      </c>
      <c r="P188" s="1251">
        <f t="shared" si="55"/>
        <v>3.8699999999999997</v>
      </c>
      <c r="Q188" s="1251">
        <f t="shared" si="55"/>
        <v>3.8699999999999997</v>
      </c>
      <c r="R188" s="1251">
        <f t="shared" si="55"/>
        <v>3.8699999999999997</v>
      </c>
      <c r="S188" s="1251">
        <f t="shared" si="55"/>
        <v>3.8699999999999997</v>
      </c>
      <c r="T188" s="1251">
        <f t="shared" si="55"/>
        <v>3.8699999999999997</v>
      </c>
      <c r="U188" s="1251">
        <f t="shared" si="55"/>
        <v>3.8699999999999997</v>
      </c>
      <c r="V188" s="1251">
        <f t="shared" si="55"/>
        <v>3.8699999999999997</v>
      </c>
      <c r="W188" s="1251">
        <f t="shared" si="55"/>
        <v>3.8699999999999997</v>
      </c>
      <c r="X188" s="1251">
        <f t="shared" si="55"/>
        <v>3.8699999999999997</v>
      </c>
    </row>
    <row r="189" spans="2:73" x14ac:dyDescent="0.25">
      <c r="B189" s="1252" t="s">
        <v>63</v>
      </c>
      <c r="C189" s="173"/>
      <c r="D189" s="173"/>
      <c r="E189" s="173"/>
      <c r="F189" s="173"/>
      <c r="G189" s="173"/>
      <c r="H189" s="173"/>
      <c r="I189" s="173"/>
      <c r="J189" s="1251">
        <f t="shared" si="55"/>
        <v>105.32934143888451</v>
      </c>
      <c r="K189" s="1251">
        <f t="shared" si="55"/>
        <v>100.22290902301306</v>
      </c>
      <c r="L189" s="1251">
        <f t="shared" si="55"/>
        <v>95.116476607141607</v>
      </c>
      <c r="M189" s="1251">
        <v>90.010044191270154</v>
      </c>
      <c r="N189" s="1251">
        <f t="shared" si="55"/>
        <v>86.449638417167847</v>
      </c>
      <c r="O189" s="1251">
        <f t="shared" si="55"/>
        <v>83.38690736752153</v>
      </c>
      <c r="P189" s="1251">
        <f t="shared" si="55"/>
        <v>80.324176317875214</v>
      </c>
      <c r="Q189" s="1251">
        <f t="shared" si="55"/>
        <v>77.261445268228897</v>
      </c>
      <c r="R189" s="1251">
        <f t="shared" si="55"/>
        <v>74.19871421858258</v>
      </c>
      <c r="S189" s="1251">
        <f t="shared" si="55"/>
        <v>71.135983168936264</v>
      </c>
      <c r="T189" s="1251">
        <f t="shared" si="55"/>
        <v>68.073252119289947</v>
      </c>
      <c r="U189" s="1251">
        <f t="shared" si="55"/>
        <v>65.01052106964363</v>
      </c>
      <c r="V189" s="1251">
        <f t="shared" si="55"/>
        <v>61.947790019997313</v>
      </c>
      <c r="W189" s="1251">
        <f t="shared" si="55"/>
        <v>58.885058970350997</v>
      </c>
      <c r="X189" s="1251">
        <f t="shared" si="55"/>
        <v>55.822327920704645</v>
      </c>
    </row>
    <row r="222" spans="2:73" s="1031" customFormat="1" ht="11.25" x14ac:dyDescent="0.2">
      <c r="B222" s="953"/>
      <c r="C222" s="953"/>
      <c r="D222" s="953"/>
      <c r="E222" s="953"/>
      <c r="F222" s="953"/>
      <c r="G222" s="953"/>
      <c r="H222" s="953"/>
      <c r="I222" s="1250">
        <v>2016</v>
      </c>
      <c r="J222" s="1250">
        <v>2017</v>
      </c>
      <c r="K222" s="1250">
        <v>2018</v>
      </c>
      <c r="L222" s="1250">
        <v>2019</v>
      </c>
      <c r="M222" s="1250">
        <v>2020</v>
      </c>
      <c r="N222" s="1250">
        <v>2020</v>
      </c>
      <c r="O222" s="1250">
        <v>2021</v>
      </c>
      <c r="P222" s="1250">
        <v>2022</v>
      </c>
      <c r="Q222" s="1250">
        <v>2023</v>
      </c>
      <c r="R222" s="1250">
        <v>2024</v>
      </c>
      <c r="S222" s="1250">
        <v>2025</v>
      </c>
      <c r="T222" s="1250">
        <v>2026</v>
      </c>
      <c r="U222" s="1250">
        <v>2027</v>
      </c>
      <c r="V222" s="1250">
        <v>2028</v>
      </c>
      <c r="W222" s="1250">
        <v>2029</v>
      </c>
      <c r="X222" s="1250">
        <v>2030</v>
      </c>
      <c r="Y222" s="1044"/>
      <c r="Z222" s="1044"/>
      <c r="AA222" s="1044"/>
      <c r="AB222" s="1035"/>
      <c r="AC222" s="1035"/>
      <c r="AD222" s="1036"/>
      <c r="AE222" s="1036"/>
      <c r="AF222" s="1036"/>
      <c r="AG222" s="1036"/>
      <c r="AH222" s="1036"/>
      <c r="AI222" s="1036"/>
      <c r="AJ222" s="1036"/>
      <c r="AK222" s="1036"/>
      <c r="AL222" s="1036"/>
      <c r="AM222" s="1036"/>
      <c r="AN222" s="1036"/>
      <c r="AO222" s="1036"/>
      <c r="AP222" s="1036"/>
      <c r="AQ222" s="1036"/>
      <c r="AR222" s="1036"/>
      <c r="AS222" s="1036"/>
      <c r="AT222" s="1036"/>
      <c r="AU222" s="1036"/>
      <c r="AV222" s="1036"/>
      <c r="BU222" s="1040">
        <v>0.18</v>
      </c>
    </row>
    <row r="223" spans="2:73" x14ac:dyDescent="0.25">
      <c r="B223" s="859" t="s">
        <v>456</v>
      </c>
      <c r="C223" s="859"/>
      <c r="D223" s="859"/>
      <c r="E223" s="859"/>
      <c r="F223" s="859"/>
      <c r="G223" s="859"/>
      <c r="H223" s="859"/>
      <c r="I223" s="859"/>
      <c r="J223" s="1251">
        <f>J100</f>
        <v>7.1165845960378649</v>
      </c>
      <c r="K223" s="1251">
        <f t="shared" ref="K223:X223" si="56">K100</f>
        <v>6.822189177195586</v>
      </c>
      <c r="L223" s="1251">
        <f t="shared" si="56"/>
        <v>6.5277937583533063</v>
      </c>
      <c r="M223" s="1251">
        <v>0</v>
      </c>
      <c r="N223" s="1251">
        <f t="shared" si="56"/>
        <v>6.2333983395110266</v>
      </c>
      <c r="O223" s="1251">
        <f t="shared" si="56"/>
        <v>6.0542746355024217</v>
      </c>
      <c r="P223" s="1251">
        <f t="shared" si="56"/>
        <v>5.8746547821651776</v>
      </c>
      <c r="Q223" s="1251">
        <f t="shared" si="56"/>
        <v>5.6950349288279334</v>
      </c>
      <c r="R223" s="1251">
        <f t="shared" si="56"/>
        <v>5.5154150754906901</v>
      </c>
      <c r="S223" s="1251">
        <f t="shared" si="56"/>
        <v>5.3357952221534459</v>
      </c>
      <c r="T223" s="1251">
        <f t="shared" si="56"/>
        <v>5.1561753688162018</v>
      </c>
      <c r="U223" s="1251">
        <f t="shared" si="56"/>
        <v>4.9765555154789576</v>
      </c>
      <c r="V223" s="1251">
        <f t="shared" si="56"/>
        <v>4.7969356621417134</v>
      </c>
      <c r="W223" s="1251">
        <f t="shared" si="56"/>
        <v>4.6173158088044692</v>
      </c>
      <c r="X223" s="1251">
        <f t="shared" si="56"/>
        <v>4.4376959554672242</v>
      </c>
      <c r="Y223" s="856"/>
      <c r="Z223" s="765"/>
    </row>
  </sheetData>
  <dataConsolidate/>
  <mergeCells count="10">
    <mergeCell ref="C29:F29"/>
    <mergeCell ref="G29:X29"/>
    <mergeCell ref="C33:X33"/>
    <mergeCell ref="O70:X70"/>
    <mergeCell ref="O71:X71"/>
    <mergeCell ref="P83:Q83"/>
    <mergeCell ref="R83:S83"/>
    <mergeCell ref="N83:O83"/>
    <mergeCell ref="O11:X11"/>
    <mergeCell ref="O27:X27"/>
  </mergeCells>
  <dataValidations disablePrompts="1" count="5">
    <dataValidation type="list" allowBlank="1" showInputMessage="1" showErrorMessage="1" sqref="AA59">
      <formula1>$AD$58:$AD$60</formula1>
    </dataValidation>
    <dataValidation type="list" allowBlank="1" showInputMessage="1" showErrorMessage="1" sqref="AA10">
      <formula1>$AD$9:$AD$11</formula1>
    </dataValidation>
    <dataValidation type="list" allowBlank="1" showInputMessage="1" showErrorMessage="1" sqref="AF95 AI95">
      <formula1>#REF!</formula1>
    </dataValidation>
    <dataValidation type="list" allowBlank="1" showInputMessage="1" showErrorMessage="1" sqref="AG98">
      <formula1>$AI$98:$AI$99</formula1>
    </dataValidation>
    <dataValidation type="list" allowBlank="1" showInputMessage="1" showErrorMessage="1" sqref="AA65">
      <formula1>$AD$69:$AD$70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6"/>
  <sheetViews>
    <sheetView workbookViewId="0">
      <selection activeCell="X35" sqref="X35"/>
    </sheetView>
  </sheetViews>
  <sheetFormatPr defaultColWidth="9" defaultRowHeight="12" x14ac:dyDescent="0.2"/>
  <cols>
    <col min="1" max="2" width="2.5703125" style="1010" customWidth="1"/>
    <col min="3" max="3" width="26.140625" style="1010" customWidth="1"/>
    <col min="4" max="7" width="0" style="1010" hidden="1" customWidth="1"/>
    <col min="8" max="12" width="8.85546875" style="1010" customWidth="1"/>
    <col min="13" max="21" width="8" style="1010" customWidth="1"/>
    <col min="22" max="16384" width="9" style="1010"/>
  </cols>
  <sheetData>
    <row r="3" spans="3:21" ht="36" x14ac:dyDescent="0.2">
      <c r="C3" s="1009" t="s">
        <v>495</v>
      </c>
    </row>
    <row r="4" spans="3:21" x14ac:dyDescent="0.2">
      <c r="C4" s="1011"/>
      <c r="D4" s="1012">
        <v>2013</v>
      </c>
      <c r="E4" s="1013">
        <v>2014</v>
      </c>
      <c r="F4" s="1013">
        <v>2015</v>
      </c>
      <c r="G4" s="1013">
        <v>2016</v>
      </c>
      <c r="H4" s="1013">
        <v>2017</v>
      </c>
      <c r="I4" s="1013">
        <v>2018</v>
      </c>
      <c r="J4" s="1013">
        <v>2019</v>
      </c>
      <c r="K4" s="1013">
        <v>2020</v>
      </c>
      <c r="L4" s="1013">
        <v>2021</v>
      </c>
      <c r="M4" s="1013">
        <v>2022</v>
      </c>
      <c r="N4" s="1013">
        <v>2023</v>
      </c>
      <c r="O4" s="1013">
        <v>2024</v>
      </c>
      <c r="P4" s="1013">
        <v>2025</v>
      </c>
      <c r="Q4" s="1013">
        <v>2026</v>
      </c>
      <c r="R4" s="1013">
        <v>2027</v>
      </c>
      <c r="S4" s="1013">
        <v>2028</v>
      </c>
      <c r="T4" s="1013">
        <v>2029</v>
      </c>
      <c r="U4" s="1013">
        <v>2030</v>
      </c>
    </row>
    <row r="5" spans="3:21" x14ac:dyDescent="0.2">
      <c r="C5" s="1014" t="s">
        <v>496</v>
      </c>
      <c r="D5" s="1015">
        <v>13.59</v>
      </c>
      <c r="E5" s="1015">
        <v>12.042625482625478</v>
      </c>
      <c r="F5" s="1015">
        <v>12.782972972972965</v>
      </c>
      <c r="G5" s="1015">
        <v>12.73</v>
      </c>
      <c r="H5" s="1015">
        <v>13.53199</v>
      </c>
      <c r="I5" s="1015">
        <v>14.506293280000001</v>
      </c>
      <c r="J5" s="1015">
        <v>15.550746396160003</v>
      </c>
      <c r="K5" s="1015">
        <v>16.639298643891205</v>
      </c>
      <c r="L5" s="1015">
        <v>17.80404954896359</v>
      </c>
      <c r="M5" s="1015">
        <v>19.050333017391043</v>
      </c>
      <c r="N5" s="1015">
        <v>28.09361703648305</v>
      </c>
      <c r="O5" s="1015">
        <v>39.402751196142326</v>
      </c>
      <c r="P5" s="1015">
        <v>51.648969050926098</v>
      </c>
      <c r="Q5" s="1015">
        <v>67.701262552567442</v>
      </c>
      <c r="R5" s="1015">
        <v>82.936957781184901</v>
      </c>
      <c r="S5" s="1015">
        <v>88.8</v>
      </c>
      <c r="T5" s="1015">
        <v>94.954522963678585</v>
      </c>
      <c r="U5" s="1015">
        <v>101.60133957113609</v>
      </c>
    </row>
    <row r="6" spans="3:21" x14ac:dyDescent="0.2">
      <c r="C6" s="1014" t="s">
        <v>497</v>
      </c>
      <c r="D6" s="1016">
        <v>10.71</v>
      </c>
      <c r="E6" s="1016">
        <v>11.34</v>
      </c>
      <c r="F6" s="1016">
        <v>12.1</v>
      </c>
      <c r="G6" s="1016">
        <v>12.73</v>
      </c>
      <c r="H6" s="1016">
        <v>13.53199</v>
      </c>
      <c r="I6" s="1016">
        <v>14.506293280000001</v>
      </c>
      <c r="J6" s="1016">
        <v>15.550746396160003</v>
      </c>
      <c r="K6" s="1016">
        <v>16.639298643891205</v>
      </c>
      <c r="L6" s="1016">
        <v>17.80404954896359</v>
      </c>
      <c r="M6" s="1016">
        <v>19.050333017391043</v>
      </c>
      <c r="N6" s="1016">
        <v>20.383856328608417</v>
      </c>
      <c r="O6" s="1016">
        <v>21.810726271611006</v>
      </c>
      <c r="P6" s="1016">
        <v>23.337477110623777</v>
      </c>
      <c r="Q6" s="1016">
        <v>24.971100508367442</v>
      </c>
      <c r="R6" s="1016">
        <v>26.719077543953166</v>
      </c>
      <c r="S6" s="1016">
        <v>28.589412972029887</v>
      </c>
      <c r="T6" s="1016">
        <v>30.59067188007198</v>
      </c>
      <c r="U6" s="1016">
        <v>32.732018911677024</v>
      </c>
    </row>
    <row r="7" spans="3:21" x14ac:dyDescent="0.2">
      <c r="C7" s="1014" t="s">
        <v>498</v>
      </c>
      <c r="D7" s="1017"/>
      <c r="E7" s="1017"/>
      <c r="F7" s="1017"/>
      <c r="G7" s="1017"/>
      <c r="H7" s="1018">
        <v>13.83</v>
      </c>
      <c r="I7" s="1018">
        <v>14.7</v>
      </c>
      <c r="J7" s="1018">
        <v>15.64</v>
      </c>
      <c r="K7" s="1018">
        <v>16.649999999999999</v>
      </c>
      <c r="L7" s="1018">
        <v>17.72</v>
      </c>
      <c r="M7" s="1018">
        <v>18.86</v>
      </c>
      <c r="N7" s="1018">
        <v>20.079999999999998</v>
      </c>
      <c r="O7" s="1018">
        <v>21.4</v>
      </c>
      <c r="P7" s="1018">
        <v>22.82</v>
      </c>
      <c r="Q7" s="1018">
        <v>24.42</v>
      </c>
      <c r="R7" s="1018">
        <v>30.48</v>
      </c>
      <c r="S7" s="1018">
        <v>34.21</v>
      </c>
      <c r="T7" s="1018">
        <v>37.54</v>
      </c>
      <c r="U7" s="1018">
        <v>40.75</v>
      </c>
    </row>
    <row r="8" spans="3:21" x14ac:dyDescent="0.2">
      <c r="C8" s="1014" t="s">
        <v>499</v>
      </c>
      <c r="D8" s="1017"/>
      <c r="E8" s="1017"/>
      <c r="F8" s="1017"/>
      <c r="G8" s="1017"/>
      <c r="H8" s="1018">
        <v>13.84</v>
      </c>
      <c r="I8" s="1018">
        <v>14.72</v>
      </c>
      <c r="J8" s="1018">
        <v>15.66</v>
      </c>
      <c r="K8" s="1018">
        <v>16.68</v>
      </c>
      <c r="L8" s="1018">
        <v>17.78</v>
      </c>
      <c r="M8" s="1018">
        <v>18.95</v>
      </c>
      <c r="N8" s="1018">
        <v>20.28</v>
      </c>
      <c r="O8" s="1018">
        <v>30.72</v>
      </c>
      <c r="P8" s="1018">
        <v>36.79</v>
      </c>
      <c r="Q8" s="1018">
        <v>41.76</v>
      </c>
      <c r="R8" s="1018">
        <v>46.31</v>
      </c>
      <c r="S8" s="1018">
        <v>50.67</v>
      </c>
      <c r="T8" s="1018">
        <v>54.94</v>
      </c>
      <c r="U8" s="1018">
        <v>59.18</v>
      </c>
    </row>
    <row r="9" spans="3:21" x14ac:dyDescent="0.2">
      <c r="C9" s="1019" t="s">
        <v>500</v>
      </c>
      <c r="D9" s="1020"/>
      <c r="E9" s="1020"/>
      <c r="F9" s="1020"/>
      <c r="G9" s="1020"/>
      <c r="H9" s="1021">
        <f t="shared" ref="H9:U9" si="0">AVERAGE(H5:H8)</f>
        <v>13.683495000000001</v>
      </c>
      <c r="I9" s="1021">
        <f t="shared" si="0"/>
        <v>14.608146640000001</v>
      </c>
      <c r="J9" s="1021">
        <f t="shared" si="0"/>
        <v>15.60037319808</v>
      </c>
      <c r="K9" s="1021">
        <f t="shared" si="0"/>
        <v>16.6521493219456</v>
      </c>
      <c r="L9" s="1021">
        <f t="shared" si="0"/>
        <v>17.777024774481795</v>
      </c>
      <c r="M9" s="1021">
        <f t="shared" si="0"/>
        <v>18.977666508695521</v>
      </c>
      <c r="N9" s="1021">
        <f t="shared" si="0"/>
        <v>22.209368341272867</v>
      </c>
      <c r="O9" s="1021">
        <f t="shared" si="0"/>
        <v>28.333369366938335</v>
      </c>
      <c r="P9" s="1021">
        <f t="shared" si="0"/>
        <v>33.649111540387466</v>
      </c>
      <c r="Q9" s="1021">
        <f t="shared" si="0"/>
        <v>39.713090765233723</v>
      </c>
      <c r="R9" s="1021">
        <f t="shared" si="0"/>
        <v>46.611508831284517</v>
      </c>
      <c r="S9" s="1021">
        <f t="shared" si="0"/>
        <v>50.567353243007474</v>
      </c>
      <c r="T9" s="1021">
        <f t="shared" si="0"/>
        <v>54.506298710937642</v>
      </c>
      <c r="U9" s="1021">
        <f t="shared" si="0"/>
        <v>58.565839620703279</v>
      </c>
    </row>
    <row r="11" spans="3:21" ht="15" x14ac:dyDescent="0.25">
      <c r="C11" s="1014" t="s">
        <v>501</v>
      </c>
      <c r="D11" s="1011"/>
      <c r="E11" s="1011"/>
      <c r="F11" s="1011"/>
      <c r="G11" s="1011"/>
      <c r="H11" s="261">
        <v>76.975000000000009</v>
      </c>
      <c r="I11" s="261">
        <v>80</v>
      </c>
      <c r="J11" s="261">
        <v>82</v>
      </c>
      <c r="K11" s="261">
        <v>84</v>
      </c>
      <c r="L11" s="261">
        <v>85</v>
      </c>
      <c r="M11" s="261">
        <v>85.19</v>
      </c>
      <c r="N11" s="261">
        <v>85.37</v>
      </c>
      <c r="O11" s="261">
        <v>85.54</v>
      </c>
      <c r="P11" s="261">
        <v>85.72</v>
      </c>
      <c r="Q11" s="261">
        <v>85.9</v>
      </c>
      <c r="R11" s="261">
        <v>86.09</v>
      </c>
      <c r="S11" s="261">
        <v>86.27</v>
      </c>
      <c r="T11" s="261">
        <v>86.45</v>
      </c>
      <c r="U11" s="261">
        <v>86.63</v>
      </c>
    </row>
    <row r="13" spans="3:21" x14ac:dyDescent="0.2">
      <c r="C13" s="1022" t="s">
        <v>502</v>
      </c>
      <c r="D13" s="1023"/>
      <c r="E13" s="1023"/>
      <c r="F13" s="1023"/>
      <c r="G13" s="1023"/>
      <c r="H13" s="1024">
        <f>H9/H11*100</f>
        <v>17.776544332575511</v>
      </c>
      <c r="I13" s="1024">
        <f t="shared" ref="I13:U13" si="1">I9/I11*100</f>
        <v>18.260183300000001</v>
      </c>
      <c r="J13" s="1024">
        <f t="shared" si="1"/>
        <v>19.024845363512195</v>
      </c>
      <c r="K13" s="1024">
        <f t="shared" si="1"/>
        <v>19.823987288030477</v>
      </c>
      <c r="L13" s="1024">
        <f t="shared" si="1"/>
        <v>20.914146793507996</v>
      </c>
      <c r="M13" s="1024">
        <f t="shared" si="1"/>
        <v>22.276871121840031</v>
      </c>
      <c r="N13" s="1024">
        <f t="shared" si="1"/>
        <v>26.015425021990001</v>
      </c>
      <c r="O13" s="1024">
        <f t="shared" si="1"/>
        <v>33.122947588190712</v>
      </c>
      <c r="P13" s="1024">
        <f t="shared" si="1"/>
        <v>39.254679818464147</v>
      </c>
      <c r="Q13" s="1024">
        <f t="shared" si="1"/>
        <v>46.231770390260444</v>
      </c>
      <c r="R13" s="1024">
        <f t="shared" si="1"/>
        <v>54.142767837477656</v>
      </c>
      <c r="S13" s="1024">
        <f t="shared" si="1"/>
        <v>58.615223418346439</v>
      </c>
      <c r="T13" s="1024">
        <f t="shared" si="1"/>
        <v>63.049506895243077</v>
      </c>
      <c r="U13" s="1024">
        <f t="shared" si="1"/>
        <v>67.604570726888241</v>
      </c>
    </row>
    <row r="15" spans="3:21" x14ac:dyDescent="0.2">
      <c r="L15" s="1025"/>
      <c r="M15" s="1025"/>
      <c r="N15" s="1025"/>
      <c r="O15" s="1025"/>
      <c r="P15" s="1025"/>
      <c r="Q15" s="1025"/>
      <c r="R15" s="1025"/>
      <c r="S15" s="1025"/>
      <c r="T15" s="1025"/>
      <c r="U15" s="1025"/>
    </row>
    <row r="18" spans="8:21" x14ac:dyDescent="0.2">
      <c r="H18" s="1026"/>
      <c r="I18" s="1026"/>
      <c r="J18" s="1026"/>
      <c r="K18" s="1026"/>
      <c r="L18" s="1026"/>
      <c r="M18" s="1026"/>
      <c r="N18" s="1026"/>
      <c r="O18" s="1026"/>
      <c r="P18" s="1026"/>
      <c r="Q18" s="1026"/>
      <c r="R18" s="1026"/>
      <c r="S18" s="1026"/>
      <c r="T18" s="1026"/>
      <c r="U18" s="1026"/>
    </row>
    <row r="19" spans="8:21" ht="15" x14ac:dyDescent="0.25">
      <c r="H19" s="1027"/>
      <c r="I19" s="1027"/>
      <c r="J19" s="1027"/>
      <c r="K19" s="1027"/>
      <c r="L19" s="1027"/>
      <c r="M19" s="1027"/>
      <c r="N19" s="1027"/>
      <c r="O19" s="1027"/>
      <c r="P19" s="1027"/>
      <c r="Q19" s="1027"/>
      <c r="R19" s="1027"/>
      <c r="S19" s="1027"/>
      <c r="T19" s="1027"/>
      <c r="U19" s="1027"/>
    </row>
    <row r="20" spans="8:21" ht="15" x14ac:dyDescent="0.25">
      <c r="H20" s="1028"/>
      <c r="I20" s="1027"/>
      <c r="J20" s="1027"/>
      <c r="K20" s="1027"/>
      <c r="L20" s="1027"/>
      <c r="M20" s="1027"/>
      <c r="N20" s="1027"/>
      <c r="O20" s="1027"/>
      <c r="P20" s="1027"/>
      <c r="Q20" s="1027"/>
      <c r="R20" s="1027"/>
      <c r="S20" s="1027"/>
      <c r="T20" s="1027"/>
      <c r="U20" s="1027"/>
    </row>
    <row r="21" spans="8:21" ht="15" x14ac:dyDescent="0.25">
      <c r="H21" s="1029"/>
      <c r="I21" s="1029"/>
      <c r="J21" s="1029"/>
      <c r="K21" s="1029"/>
      <c r="L21" s="1029"/>
      <c r="M21" s="1027"/>
      <c r="N21" s="1027"/>
      <c r="O21" s="1027"/>
      <c r="P21" s="1027"/>
      <c r="Q21" s="1027"/>
      <c r="R21" s="1027"/>
      <c r="S21" s="1027"/>
      <c r="T21" s="1027"/>
      <c r="U21" s="1027"/>
    </row>
    <row r="25" spans="8:21" x14ac:dyDescent="0.2">
      <c r="H25" s="1025"/>
      <c r="I25" s="1025"/>
      <c r="J25" s="1025"/>
      <c r="K25" s="1025"/>
    </row>
    <row r="26" spans="8:21" x14ac:dyDescent="0.2">
      <c r="H26" s="1025"/>
      <c r="I26" s="1025"/>
      <c r="J26" s="1025"/>
      <c r="K26" s="10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227"/>
  <sheetViews>
    <sheetView workbookViewId="0">
      <selection activeCell="A90" sqref="A90:A150"/>
    </sheetView>
  </sheetViews>
  <sheetFormatPr defaultRowHeight="15" outlineLevelRow="1" x14ac:dyDescent="0.25"/>
  <cols>
    <col min="1" max="1" width="27.28515625" customWidth="1"/>
    <col min="2" max="2" width="52.7109375" customWidth="1"/>
    <col min="3" max="4" width="9.140625" customWidth="1"/>
    <col min="5" max="7" width="11.5703125" customWidth="1"/>
    <col min="8" max="8" width="12" customWidth="1"/>
    <col min="9" max="9" width="11.5703125" customWidth="1"/>
    <col min="10" max="10" width="10.7109375" customWidth="1"/>
    <col min="11" max="14" width="11.5703125" customWidth="1"/>
    <col min="15" max="15" width="11.5703125" style="285" customWidth="1"/>
    <col min="16" max="23" width="11.5703125" customWidth="1"/>
    <col min="24" max="24" width="11.5703125" bestFit="1" customWidth="1"/>
    <col min="31" max="31" width="47.5703125" customWidth="1"/>
  </cols>
  <sheetData>
    <row r="1" spans="1:34" x14ac:dyDescent="0.25">
      <c r="A1" t="s">
        <v>450</v>
      </c>
    </row>
    <row r="2" spans="1:34" x14ac:dyDescent="0.25">
      <c r="A2" t="s">
        <v>616</v>
      </c>
    </row>
    <row r="3" spans="1:34" hidden="1" x14ac:dyDescent="0.25"/>
    <row r="4" spans="1:34" hidden="1" x14ac:dyDescent="0.25">
      <c r="A4" s="157" t="s">
        <v>429</v>
      </c>
      <c r="B4" s="1203"/>
      <c r="C4" s="1203"/>
      <c r="D4" s="1203"/>
      <c r="E4" s="1203"/>
      <c r="F4" s="1203"/>
      <c r="G4" s="1203"/>
      <c r="H4" s="1344">
        <v>42941</v>
      </c>
      <c r="I4" s="1262">
        <v>42921</v>
      </c>
      <c r="J4" s="1263" t="s">
        <v>615</v>
      </c>
    </row>
    <row r="5" spans="1:34" hidden="1" outlineLevel="1" x14ac:dyDescent="0.25">
      <c r="B5" s="1203"/>
      <c r="C5" s="1255"/>
      <c r="D5" s="1255">
        <v>2010</v>
      </c>
      <c r="E5" s="1255">
        <v>2015</v>
      </c>
      <c r="F5" s="1255">
        <v>2020</v>
      </c>
      <c r="G5" s="1255">
        <v>2025</v>
      </c>
      <c r="H5" s="1256">
        <v>2030</v>
      </c>
      <c r="I5" s="1264">
        <v>2030</v>
      </c>
      <c r="J5" s="1263">
        <v>2030</v>
      </c>
      <c r="L5" s="236" t="s">
        <v>451</v>
      </c>
      <c r="M5" s="236" t="s">
        <v>452</v>
      </c>
      <c r="N5" s="236" t="s">
        <v>453</v>
      </c>
      <c r="O5" s="1601" t="s">
        <v>454</v>
      </c>
      <c r="S5" t="s">
        <v>663</v>
      </c>
    </row>
    <row r="6" spans="1:34" hidden="1" outlineLevel="1" x14ac:dyDescent="0.25">
      <c r="B6" s="1203" t="s">
        <v>430</v>
      </c>
      <c r="C6" s="1255"/>
      <c r="D6" s="1255"/>
      <c r="E6" s="1255"/>
      <c r="F6" s="1255"/>
      <c r="G6" s="1255"/>
      <c r="H6" s="1256"/>
      <c r="I6" s="1264"/>
      <c r="J6" s="1263"/>
    </row>
    <row r="7" spans="1:34" hidden="1" outlineLevel="1" x14ac:dyDescent="0.25">
      <c r="B7" s="1257" t="s">
        <v>1</v>
      </c>
      <c r="C7" s="1255"/>
      <c r="D7" s="1255"/>
      <c r="E7" s="1255"/>
      <c r="F7" s="1255"/>
      <c r="G7" s="1255"/>
      <c r="H7" s="1256"/>
      <c r="I7" s="1264"/>
      <c r="J7" s="1263"/>
    </row>
    <row r="8" spans="1:34" hidden="1" outlineLevel="1" x14ac:dyDescent="0.25">
      <c r="B8" s="1258" t="s">
        <v>431</v>
      </c>
      <c r="C8" s="1255" t="s">
        <v>105</v>
      </c>
      <c r="D8" s="1259">
        <v>18.467643737792969</v>
      </c>
      <c r="E8" s="1259">
        <v>4.4027061462402344</v>
      </c>
      <c r="F8" s="1259">
        <v>3.1517248153686523</v>
      </c>
      <c r="G8" s="1259">
        <v>4.7462491989135742</v>
      </c>
      <c r="H8" s="1260">
        <v>3.8417727947235107</v>
      </c>
      <c r="I8" s="1265">
        <v>12.289605140686035</v>
      </c>
      <c r="J8" s="1266">
        <f>H8-I8</f>
        <v>-8.4478323459625244</v>
      </c>
      <c r="L8" s="283">
        <f t="shared" ref="L8:L15" si="0">EXP(LN(E8/D8)/5)-1</f>
        <v>-0.24930825113154109</v>
      </c>
      <c r="M8" s="283">
        <f t="shared" ref="M8:O23" si="1">EXP(LN(F8/E8)/5)-1</f>
        <v>-6.4668160720263379E-2</v>
      </c>
      <c r="N8" s="283">
        <f t="shared" si="1"/>
        <v>8.5326604939676809E-2</v>
      </c>
      <c r="O8" s="1602">
        <f t="shared" si="1"/>
        <v>-4.1402641349684632E-2</v>
      </c>
      <c r="P8" s="360"/>
      <c r="Q8" s="360"/>
      <c r="R8" s="360"/>
      <c r="S8" s="766">
        <v>18.467643737792969</v>
      </c>
      <c r="T8" s="766">
        <v>4.4027061462402344</v>
      </c>
      <c r="U8" s="766">
        <v>3.201416015625</v>
      </c>
      <c r="V8" s="766">
        <v>4.7422919273376465</v>
      </c>
      <c r="W8" s="766">
        <v>3.839127779006958</v>
      </c>
      <c r="Z8" s="261">
        <f t="shared" ref="Z8:Z42" si="2">D8-S8</f>
        <v>0</v>
      </c>
      <c r="AA8" s="261">
        <f t="shared" ref="AA8:AA42" si="3">E8-T8</f>
        <v>0</v>
      </c>
      <c r="AB8" s="261">
        <f t="shared" ref="AB8:AB42" si="4">F8-U8</f>
        <v>-4.9691200256347656E-2</v>
      </c>
      <c r="AC8" s="261">
        <f t="shared" ref="AC8:AC42" si="5">G8-V8</f>
        <v>3.9572715759277344E-3</v>
      </c>
      <c r="AD8" s="261">
        <f t="shared" ref="AD8:AD23" si="6">H8-W8</f>
        <v>2.6450157165527344E-3</v>
      </c>
      <c r="AE8" s="261"/>
      <c r="AF8" s="261"/>
      <c r="AG8" s="261"/>
      <c r="AH8" s="261"/>
    </row>
    <row r="9" spans="1:34" hidden="1" outlineLevel="1" x14ac:dyDescent="0.25">
      <c r="B9" s="1258" t="s">
        <v>432</v>
      </c>
      <c r="C9" s="1255" t="s">
        <v>105</v>
      </c>
      <c r="D9" s="1259">
        <v>6.7206611633300781</v>
      </c>
      <c r="E9" s="1259">
        <v>6.6726236343383789</v>
      </c>
      <c r="F9" s="1259">
        <v>6.4501233100891113</v>
      </c>
      <c r="G9" s="1259">
        <v>6.110353946685791</v>
      </c>
      <c r="H9" s="1260">
        <v>5.6718358993530273</v>
      </c>
      <c r="I9" s="1265">
        <v>5.3199148178100586</v>
      </c>
      <c r="J9" s="1266">
        <f t="shared" ref="J9:J42" si="7">H9-I9</f>
        <v>0.35192108154296875</v>
      </c>
      <c r="L9" s="283">
        <f t="shared" si="0"/>
        <v>-1.4336525434760494E-3</v>
      </c>
      <c r="M9" s="283">
        <f t="shared" si="1"/>
        <v>-6.7598254103328204E-3</v>
      </c>
      <c r="N9" s="283">
        <f t="shared" si="1"/>
        <v>-1.0764552610891487E-2</v>
      </c>
      <c r="O9" s="1602">
        <f t="shared" si="1"/>
        <v>-1.4783996242718755E-2</v>
      </c>
      <c r="S9" s="766">
        <v>6.7206611633300781</v>
      </c>
      <c r="T9" s="766">
        <v>6.6726236343383789</v>
      </c>
      <c r="U9" s="766">
        <v>6.4493222236633301</v>
      </c>
      <c r="V9" s="766">
        <v>6.1096043586730957</v>
      </c>
      <c r="W9" s="766">
        <v>5.6725044250488281</v>
      </c>
      <c r="Z9" s="261">
        <f t="shared" si="2"/>
        <v>0</v>
      </c>
      <c r="AA9" s="261">
        <f t="shared" si="3"/>
        <v>0</v>
      </c>
      <c r="AB9" s="261">
        <f t="shared" si="4"/>
        <v>8.0108642578125E-4</v>
      </c>
      <c r="AC9" s="261">
        <f t="shared" si="5"/>
        <v>7.495880126953125E-4</v>
      </c>
      <c r="AD9" s="261">
        <f t="shared" si="6"/>
        <v>-6.6852569580078125E-4</v>
      </c>
    </row>
    <row r="10" spans="1:34" hidden="1" outlineLevel="1" x14ac:dyDescent="0.25">
      <c r="B10" s="1258" t="s">
        <v>433</v>
      </c>
      <c r="C10" s="1255" t="s">
        <v>105</v>
      </c>
      <c r="D10" s="1259">
        <v>0.82169580459594727</v>
      </c>
      <c r="E10" s="1259">
        <v>0.97373509407043457</v>
      </c>
      <c r="F10" s="1259">
        <v>0.92396503686904907</v>
      </c>
      <c r="G10" s="1259">
        <v>0.98313212394714355</v>
      </c>
      <c r="H10" s="1260">
        <v>1.0159895420074463</v>
      </c>
      <c r="I10" s="1265">
        <v>1.1889581680297852</v>
      </c>
      <c r="J10" s="1266">
        <f t="shared" si="7"/>
        <v>-0.17296862602233887</v>
      </c>
      <c r="L10" s="283">
        <f t="shared" si="0"/>
        <v>3.4536816260985592E-2</v>
      </c>
      <c r="M10" s="283">
        <f t="shared" si="1"/>
        <v>-1.0438151857791844E-2</v>
      </c>
      <c r="N10" s="283">
        <f t="shared" si="1"/>
        <v>1.2491229354193889E-2</v>
      </c>
      <c r="O10" s="1602">
        <f t="shared" si="1"/>
        <v>6.5966254740916774E-3</v>
      </c>
      <c r="S10" s="766">
        <v>0.82169580459594727</v>
      </c>
      <c r="T10" s="766">
        <v>0.97373509407043457</v>
      </c>
      <c r="U10" s="766">
        <v>0.9242977499961853</v>
      </c>
      <c r="V10" s="766">
        <v>0.98315668106079102</v>
      </c>
      <c r="W10" s="766">
        <v>1.0159674882888794</v>
      </c>
      <c r="Z10" s="261">
        <f t="shared" si="2"/>
        <v>0</v>
      </c>
      <c r="AA10" s="261">
        <f t="shared" si="3"/>
        <v>0</v>
      </c>
      <c r="AB10" s="261">
        <f t="shared" si="4"/>
        <v>-3.3271312713623047E-4</v>
      </c>
      <c r="AC10" s="261">
        <f t="shared" si="5"/>
        <v>-2.4557113647460938E-5</v>
      </c>
      <c r="AD10" s="261">
        <f t="shared" si="6"/>
        <v>2.2053718566894531E-5</v>
      </c>
    </row>
    <row r="11" spans="1:34" hidden="1" outlineLevel="1" x14ac:dyDescent="0.25">
      <c r="B11" s="1258" t="s">
        <v>3</v>
      </c>
      <c r="C11" s="1255" t="s">
        <v>105</v>
      </c>
      <c r="D11" s="1259">
        <v>18.171916961669922</v>
      </c>
      <c r="E11" s="1259">
        <v>18.767482757568359</v>
      </c>
      <c r="F11" s="1259">
        <v>19.632356643676758</v>
      </c>
      <c r="G11" s="1259">
        <v>22.075742721557617</v>
      </c>
      <c r="H11" s="1260">
        <v>23.801723480224609</v>
      </c>
      <c r="I11" s="1265">
        <v>24.41339111328125</v>
      </c>
      <c r="J11" s="1266">
        <f t="shared" si="7"/>
        <v>-0.61166763305664063</v>
      </c>
      <c r="L11" s="283">
        <f t="shared" si="0"/>
        <v>6.4705145969390365E-3</v>
      </c>
      <c r="M11" s="283">
        <f t="shared" si="1"/>
        <v>9.0513827498559518E-3</v>
      </c>
      <c r="N11" s="283">
        <f t="shared" si="1"/>
        <v>2.3737419442663832E-2</v>
      </c>
      <c r="O11" s="1602">
        <f t="shared" si="1"/>
        <v>1.5169628676554803E-2</v>
      </c>
      <c r="S11" s="766">
        <v>18.171916961669922</v>
      </c>
      <c r="T11" s="766">
        <v>18.767482757568359</v>
      </c>
      <c r="U11" s="766">
        <v>19.743440628051758</v>
      </c>
      <c r="V11" s="766">
        <v>22.092439651489258</v>
      </c>
      <c r="W11" s="766">
        <v>23.817770004272461</v>
      </c>
      <c r="Z11" s="261">
        <f t="shared" si="2"/>
        <v>0</v>
      </c>
      <c r="AA11" s="261">
        <f t="shared" si="3"/>
        <v>0</v>
      </c>
      <c r="AB11" s="261">
        <f t="shared" si="4"/>
        <v>-0.111083984375</v>
      </c>
      <c r="AC11" s="261">
        <f t="shared" si="5"/>
        <v>-1.6696929931640625E-2</v>
      </c>
      <c r="AD11" s="261">
        <f t="shared" si="6"/>
        <v>-1.6046524047851563E-2</v>
      </c>
    </row>
    <row r="12" spans="1:34" hidden="1" outlineLevel="1" x14ac:dyDescent="0.25">
      <c r="B12" s="1258" t="s">
        <v>4</v>
      </c>
      <c r="C12" s="1255" t="s">
        <v>105</v>
      </c>
      <c r="D12" s="1259">
        <v>0.48644736409187317</v>
      </c>
      <c r="E12" s="1259">
        <v>0.55141115188598633</v>
      </c>
      <c r="F12" s="1259">
        <v>0.5977630615234375</v>
      </c>
      <c r="G12" s="1259">
        <v>0.67244130373001099</v>
      </c>
      <c r="H12" s="1260">
        <v>0.7545352578163147</v>
      </c>
      <c r="I12" s="1265">
        <v>0.74538284540176392</v>
      </c>
      <c r="J12" s="1266">
        <f t="shared" si="7"/>
        <v>9.1524124145507813E-3</v>
      </c>
      <c r="L12" s="283">
        <f t="shared" si="0"/>
        <v>2.5387309416091908E-2</v>
      </c>
      <c r="M12" s="283">
        <f t="shared" si="1"/>
        <v>1.6273744915415111E-2</v>
      </c>
      <c r="N12" s="283">
        <f t="shared" si="1"/>
        <v>2.3823423688635881E-2</v>
      </c>
      <c r="O12" s="1602">
        <f t="shared" si="1"/>
        <v>2.3304847309245202E-2</v>
      </c>
      <c r="S12" s="766">
        <v>0.48644736409187317</v>
      </c>
      <c r="T12" s="766">
        <v>0.55141115188598633</v>
      </c>
      <c r="U12" s="766">
        <v>0.59755992889404297</v>
      </c>
      <c r="V12" s="766">
        <v>0.67248237133026123</v>
      </c>
      <c r="W12" s="766">
        <v>0.75454163551330566</v>
      </c>
      <c r="Z12" s="261">
        <f t="shared" si="2"/>
        <v>0</v>
      </c>
      <c r="AA12" s="261">
        <f t="shared" si="3"/>
        <v>0</v>
      </c>
      <c r="AB12" s="261">
        <f t="shared" si="4"/>
        <v>2.0313262939453125E-4</v>
      </c>
      <c r="AC12" s="261">
        <f t="shared" si="5"/>
        <v>-4.1067600250244141E-5</v>
      </c>
      <c r="AD12" s="261">
        <f t="shared" si="6"/>
        <v>-6.3776969909667969E-6</v>
      </c>
    </row>
    <row r="13" spans="1:34" hidden="1" outlineLevel="1" x14ac:dyDescent="0.25">
      <c r="B13" s="1258" t="s">
        <v>434</v>
      </c>
      <c r="C13" s="1255" t="s">
        <v>105</v>
      </c>
      <c r="D13" s="1259">
        <v>10.908831596374512</v>
      </c>
      <c r="E13" s="1259">
        <v>12.874580383300781</v>
      </c>
      <c r="F13" s="1259">
        <v>11.80819034576416</v>
      </c>
      <c r="G13" s="1259">
        <v>12.499702453613281</v>
      </c>
      <c r="H13" s="1260">
        <v>13.228864669799805</v>
      </c>
      <c r="I13" s="1265">
        <v>15.732503890991211</v>
      </c>
      <c r="J13" s="1266">
        <f t="shared" si="7"/>
        <v>-2.5036392211914062</v>
      </c>
      <c r="L13" s="283">
        <f t="shared" si="0"/>
        <v>3.3691557207045753E-2</v>
      </c>
      <c r="M13" s="283">
        <f t="shared" si="1"/>
        <v>-1.7143639709874647E-2</v>
      </c>
      <c r="N13" s="283">
        <f t="shared" si="1"/>
        <v>1.1447315248085399E-2</v>
      </c>
      <c r="O13" s="1602">
        <f t="shared" si="1"/>
        <v>1.1403797001342308E-2</v>
      </c>
      <c r="S13" s="766">
        <v>10.908831596374512</v>
      </c>
      <c r="T13" s="766">
        <v>12.874580383300781</v>
      </c>
      <c r="U13" s="766">
        <v>11.818347930908203</v>
      </c>
      <c r="V13" s="766">
        <v>12.49958324432373</v>
      </c>
      <c r="W13" s="766">
        <v>13.228862762451172</v>
      </c>
      <c r="Z13" s="261">
        <f t="shared" si="2"/>
        <v>0</v>
      </c>
      <c r="AA13" s="261">
        <f t="shared" si="3"/>
        <v>0</v>
      </c>
      <c r="AB13" s="261">
        <f t="shared" si="4"/>
        <v>-1.0157585144042969E-2</v>
      </c>
      <c r="AC13" s="261">
        <f t="shared" si="5"/>
        <v>1.1920928955078125E-4</v>
      </c>
      <c r="AD13" s="261">
        <f t="shared" si="6"/>
        <v>1.9073486328125E-6</v>
      </c>
    </row>
    <row r="14" spans="1:34" hidden="1" outlineLevel="1" x14ac:dyDescent="0.25">
      <c r="B14" s="1258" t="s">
        <v>5</v>
      </c>
      <c r="C14" s="1255" t="s">
        <v>105</v>
      </c>
      <c r="D14" s="1259">
        <v>18.840667724609375</v>
      </c>
      <c r="E14" s="1259">
        <v>20.688976287841797</v>
      </c>
      <c r="F14" s="1259">
        <v>19.391155242919922</v>
      </c>
      <c r="G14" s="1259">
        <v>17.773220062255859</v>
      </c>
      <c r="H14" s="1260">
        <v>17.407978057861328</v>
      </c>
      <c r="I14" s="1265">
        <v>17.206581115722656</v>
      </c>
      <c r="J14" s="1266">
        <f t="shared" si="7"/>
        <v>0.20139694213867188</v>
      </c>
      <c r="L14" s="283">
        <f t="shared" si="0"/>
        <v>1.889291491357703E-2</v>
      </c>
      <c r="M14" s="283">
        <f t="shared" si="1"/>
        <v>-1.2873215142168659E-2</v>
      </c>
      <c r="N14" s="283">
        <f t="shared" si="1"/>
        <v>-1.7273908024322271E-2</v>
      </c>
      <c r="O14" s="1602">
        <f t="shared" si="1"/>
        <v>-4.1442335291372867E-3</v>
      </c>
      <c r="S14" s="766">
        <v>18.840667724609375</v>
      </c>
      <c r="T14" s="766">
        <v>20.688976287841797</v>
      </c>
      <c r="U14" s="766">
        <v>19.400051116943359</v>
      </c>
      <c r="V14" s="766">
        <v>17.790348052978516</v>
      </c>
      <c r="W14" s="766">
        <v>17.416793823242187</v>
      </c>
      <c r="Z14" s="261">
        <f t="shared" si="2"/>
        <v>0</v>
      </c>
      <c r="AA14" s="261">
        <f t="shared" si="3"/>
        <v>0</v>
      </c>
      <c r="AB14" s="261">
        <f t="shared" si="4"/>
        <v>-8.8958740234375E-3</v>
      </c>
      <c r="AC14" s="261">
        <f t="shared" si="5"/>
        <v>-1.712799072265625E-2</v>
      </c>
      <c r="AD14" s="261">
        <f t="shared" si="6"/>
        <v>-8.815765380859375E-3</v>
      </c>
    </row>
    <row r="15" spans="1:34" hidden="1" outlineLevel="1" x14ac:dyDescent="0.25">
      <c r="B15" s="1258" t="s">
        <v>435</v>
      </c>
      <c r="C15" s="1255" t="s">
        <v>105</v>
      </c>
      <c r="D15" s="1259">
        <v>1.0326658487319946</v>
      </c>
      <c r="E15" s="1259">
        <v>1.1515172719955444</v>
      </c>
      <c r="F15" s="1259">
        <v>1.2263486385345459</v>
      </c>
      <c r="G15" s="1259">
        <v>1.3490879535675049</v>
      </c>
      <c r="H15" s="1260">
        <v>1.4780758619308472</v>
      </c>
      <c r="I15" s="1265">
        <v>1.430200457572937</v>
      </c>
      <c r="J15" s="1266">
        <f t="shared" si="7"/>
        <v>4.7875404357910156E-2</v>
      </c>
      <c r="L15" s="283">
        <f t="shared" si="0"/>
        <v>2.202643325885334E-2</v>
      </c>
      <c r="M15" s="283">
        <f t="shared" si="1"/>
        <v>1.2671760510057917E-2</v>
      </c>
      <c r="N15" s="283">
        <f t="shared" si="1"/>
        <v>1.9260659936134461E-2</v>
      </c>
      <c r="O15" s="1602">
        <f t="shared" si="1"/>
        <v>1.8430253679249997E-2</v>
      </c>
      <c r="S15" s="766">
        <v>1.0326658487319946</v>
      </c>
      <c r="T15" s="766">
        <v>1.1515172719955444</v>
      </c>
      <c r="U15" s="766">
        <v>1.2240695953369141</v>
      </c>
      <c r="V15" s="766">
        <v>1.3480737209320068</v>
      </c>
      <c r="W15" s="766">
        <v>1.477739691734314</v>
      </c>
      <c r="Z15" s="261">
        <f t="shared" si="2"/>
        <v>0</v>
      </c>
      <c r="AA15" s="261">
        <f t="shared" si="3"/>
        <v>0</v>
      </c>
      <c r="AB15" s="261">
        <f t="shared" si="4"/>
        <v>2.2790431976318359E-3</v>
      </c>
      <c r="AC15" s="261">
        <f t="shared" si="5"/>
        <v>1.0142326354980469E-3</v>
      </c>
      <c r="AD15" s="261">
        <f t="shared" si="6"/>
        <v>3.3617019653320313E-4</v>
      </c>
    </row>
    <row r="16" spans="1:34" hidden="1" outlineLevel="1" x14ac:dyDescent="0.25">
      <c r="B16" s="1257" t="s">
        <v>436</v>
      </c>
      <c r="C16" s="1255"/>
      <c r="D16" s="1255"/>
      <c r="E16" s="1255"/>
      <c r="F16" s="1255"/>
      <c r="G16" s="1255"/>
      <c r="H16" s="1256"/>
      <c r="I16" s="1265"/>
      <c r="J16" s="1266"/>
      <c r="L16" s="283"/>
      <c r="M16" s="283"/>
      <c r="N16" s="283"/>
      <c r="O16" s="1602"/>
      <c r="S16" s="157"/>
      <c r="T16" s="157"/>
      <c r="U16" s="157"/>
      <c r="V16" s="157"/>
      <c r="W16" s="157"/>
      <c r="Z16" s="261">
        <f t="shared" si="2"/>
        <v>0</v>
      </c>
      <c r="AA16" s="261">
        <f t="shared" si="3"/>
        <v>0</v>
      </c>
      <c r="AB16" s="261">
        <f t="shared" si="4"/>
        <v>0</v>
      </c>
      <c r="AC16" s="261">
        <f t="shared" si="5"/>
        <v>0</v>
      </c>
      <c r="AD16" s="261">
        <f t="shared" si="6"/>
        <v>0</v>
      </c>
    </row>
    <row r="17" spans="2:30" hidden="1" outlineLevel="1" x14ac:dyDescent="0.25">
      <c r="B17" s="1258" t="s">
        <v>437</v>
      </c>
      <c r="C17" s="1255" t="s">
        <v>105</v>
      </c>
      <c r="D17" s="1259">
        <v>1.8933596611022949</v>
      </c>
      <c r="E17" s="1259">
        <v>1.6956586837768555</v>
      </c>
      <c r="F17" s="1259">
        <v>1.7617799043655396</v>
      </c>
      <c r="G17" s="1259">
        <v>2.0100221633911133</v>
      </c>
      <c r="H17" s="1260">
        <v>2.2911694049835205</v>
      </c>
      <c r="I17" s="1265">
        <v>2.224830150604248</v>
      </c>
      <c r="J17" s="1266">
        <f t="shared" si="7"/>
        <v>6.6339254379272461E-2</v>
      </c>
      <c r="L17" s="283">
        <f t="shared" ref="L17:L23" si="8">EXP(LN(E17/D17)/5)-1</f>
        <v>-2.1814854001353301E-2</v>
      </c>
      <c r="M17" s="283">
        <f t="shared" si="1"/>
        <v>7.6800087312911547E-3</v>
      </c>
      <c r="N17" s="283">
        <f t="shared" si="1"/>
        <v>2.6714838928225904E-2</v>
      </c>
      <c r="O17" s="1602">
        <f t="shared" si="1"/>
        <v>2.6529113690921591E-2</v>
      </c>
      <c r="S17" s="766">
        <v>1.8933596611022949</v>
      </c>
      <c r="T17" s="766">
        <v>1.6956586837768555</v>
      </c>
      <c r="U17" s="766">
        <v>1.7639616727828979</v>
      </c>
      <c r="V17" s="766">
        <v>2.0099239349365234</v>
      </c>
      <c r="W17" s="766">
        <v>2.2911546230316162</v>
      </c>
      <c r="Z17" s="261">
        <f t="shared" si="2"/>
        <v>0</v>
      </c>
      <c r="AA17" s="261">
        <f t="shared" si="3"/>
        <v>0</v>
      </c>
      <c r="AB17" s="261">
        <f t="shared" si="4"/>
        <v>-2.1817684173583984E-3</v>
      </c>
      <c r="AC17" s="261">
        <f t="shared" si="5"/>
        <v>9.822845458984375E-5</v>
      </c>
      <c r="AD17" s="261">
        <f t="shared" si="6"/>
        <v>1.4781951904296875E-5</v>
      </c>
    </row>
    <row r="18" spans="2:30" hidden="1" outlineLevel="1" x14ac:dyDescent="0.25">
      <c r="B18" s="1258" t="s">
        <v>438</v>
      </c>
      <c r="C18" s="1255" t="s">
        <v>105</v>
      </c>
      <c r="D18" s="1259">
        <v>31.043977737426758</v>
      </c>
      <c r="E18" s="1259">
        <v>32.027183532714844</v>
      </c>
      <c r="F18" s="1259">
        <v>28.849889755249023</v>
      </c>
      <c r="G18" s="1259">
        <v>24.599111557006836</v>
      </c>
      <c r="H18" s="1260">
        <v>20.14879035949707</v>
      </c>
      <c r="I18" s="1265">
        <v>20.172914505004883</v>
      </c>
      <c r="J18" s="1266">
        <f t="shared" si="7"/>
        <v>-2.41241455078125E-2</v>
      </c>
      <c r="L18" s="283">
        <f t="shared" si="8"/>
        <v>6.2555229135530244E-3</v>
      </c>
      <c r="M18" s="283">
        <f t="shared" si="1"/>
        <v>-2.0678967284058603E-2</v>
      </c>
      <c r="N18" s="283">
        <f t="shared" si="1"/>
        <v>-3.1376385216227987E-2</v>
      </c>
      <c r="O18" s="1602">
        <f t="shared" si="1"/>
        <v>-3.9127174524759556E-2</v>
      </c>
      <c r="S18" s="766">
        <v>31.043977737426758</v>
      </c>
      <c r="T18" s="766">
        <v>32.027183532714844</v>
      </c>
      <c r="U18" s="766">
        <v>28.844894409179688</v>
      </c>
      <c r="V18" s="766">
        <v>24.598134994506836</v>
      </c>
      <c r="W18" s="766">
        <v>20.148317337036133</v>
      </c>
      <c r="Z18" s="261">
        <f t="shared" si="2"/>
        <v>0</v>
      </c>
      <c r="AA18" s="261">
        <f t="shared" si="3"/>
        <v>0</v>
      </c>
      <c r="AB18" s="261">
        <f t="shared" si="4"/>
        <v>4.9953460693359375E-3</v>
      </c>
      <c r="AC18" s="261">
        <f t="shared" si="5"/>
        <v>9.765625E-4</v>
      </c>
      <c r="AD18" s="261">
        <f t="shared" si="6"/>
        <v>4.730224609375E-4</v>
      </c>
    </row>
    <row r="19" spans="2:30" hidden="1" outlineLevel="1" x14ac:dyDescent="0.25">
      <c r="B19" s="1258" t="s">
        <v>439</v>
      </c>
      <c r="C19" s="1255" t="s">
        <v>105</v>
      </c>
      <c r="D19" s="1259">
        <v>18.393918991088867</v>
      </c>
      <c r="E19" s="1259">
        <v>18.554634094238281</v>
      </c>
      <c r="F19" s="1259">
        <v>19.038488388061523</v>
      </c>
      <c r="G19" s="1259">
        <v>19.532983779907227</v>
      </c>
      <c r="H19" s="1260">
        <v>20.615756988525391</v>
      </c>
      <c r="I19" s="1265">
        <v>20.603958129882813</v>
      </c>
      <c r="J19" s="1266">
        <f t="shared" si="7"/>
        <v>1.1798858642578125E-2</v>
      </c>
      <c r="L19" s="283">
        <f t="shared" si="8"/>
        <v>1.7414052639828093E-3</v>
      </c>
      <c r="M19" s="283">
        <f t="shared" si="1"/>
        <v>5.1618889939524237E-3</v>
      </c>
      <c r="N19" s="283">
        <f t="shared" si="1"/>
        <v>5.1415481662528961E-3</v>
      </c>
      <c r="O19" s="1602">
        <f t="shared" si="1"/>
        <v>1.0848659177765896E-2</v>
      </c>
      <c r="S19" s="766">
        <v>18.393918991088867</v>
      </c>
      <c r="T19" s="766">
        <v>18.554634094238281</v>
      </c>
      <c r="U19" s="766">
        <v>19.03741455078125</v>
      </c>
      <c r="V19" s="766">
        <v>19.53276252746582</v>
      </c>
      <c r="W19" s="766">
        <v>20.615629196166992</v>
      </c>
      <c r="Z19" s="261">
        <f t="shared" si="2"/>
        <v>0</v>
      </c>
      <c r="AA19" s="261">
        <f t="shared" si="3"/>
        <v>0</v>
      </c>
      <c r="AB19" s="261">
        <f t="shared" si="4"/>
        <v>1.0738372802734375E-3</v>
      </c>
      <c r="AC19" s="261">
        <f t="shared" si="5"/>
        <v>2.2125244140625E-4</v>
      </c>
      <c r="AD19" s="261">
        <f t="shared" si="6"/>
        <v>1.277923583984375E-4</v>
      </c>
    </row>
    <row r="20" spans="2:30" hidden="1" outlineLevel="1" x14ac:dyDescent="0.25">
      <c r="B20" s="1258" t="s">
        <v>9</v>
      </c>
      <c r="C20" s="1255" t="s">
        <v>105</v>
      </c>
      <c r="D20" s="1259">
        <v>1.2999999523162842</v>
      </c>
      <c r="E20" s="1259">
        <v>1.3248870372772217</v>
      </c>
      <c r="F20" s="1259">
        <v>1.3778399229049683</v>
      </c>
      <c r="G20" s="1259">
        <v>1.4534324407577515</v>
      </c>
      <c r="H20" s="1260">
        <v>1.4932644367218018</v>
      </c>
      <c r="I20" s="1265">
        <v>1.4785662889480591</v>
      </c>
      <c r="J20" s="1266">
        <f t="shared" si="7"/>
        <v>1.4698147773742676E-2</v>
      </c>
      <c r="L20" s="283">
        <f t="shared" si="8"/>
        <v>3.7997956137882927E-3</v>
      </c>
      <c r="M20" s="283">
        <f t="shared" si="1"/>
        <v>7.8687569508937294E-3</v>
      </c>
      <c r="N20" s="283">
        <f t="shared" si="1"/>
        <v>1.0739450304264375E-2</v>
      </c>
      <c r="O20" s="1602">
        <f t="shared" si="1"/>
        <v>5.4219782116855519E-3</v>
      </c>
      <c r="S20" s="766">
        <v>1.2999999523162842</v>
      </c>
      <c r="T20" s="766">
        <v>1.3248870372772217</v>
      </c>
      <c r="U20" s="766">
        <v>1.3783761262893677</v>
      </c>
      <c r="V20" s="766">
        <v>1.4534646272659302</v>
      </c>
      <c r="W20" s="766">
        <v>1.4932543039321899</v>
      </c>
      <c r="Z20" s="261">
        <f t="shared" si="2"/>
        <v>0</v>
      </c>
      <c r="AA20" s="261">
        <f t="shared" si="3"/>
        <v>0</v>
      </c>
      <c r="AB20" s="261">
        <f t="shared" si="4"/>
        <v>-5.3620338439941406E-4</v>
      </c>
      <c r="AC20" s="261">
        <f t="shared" si="5"/>
        <v>-3.2186508178710938E-5</v>
      </c>
      <c r="AD20" s="261">
        <f t="shared" si="6"/>
        <v>1.0132789611816406E-5</v>
      </c>
    </row>
    <row r="21" spans="2:30" hidden="1" outlineLevel="1" x14ac:dyDescent="0.25">
      <c r="B21" s="1258" t="s">
        <v>440</v>
      </c>
      <c r="C21" s="1255" t="s">
        <v>105</v>
      </c>
      <c r="D21" s="1259">
        <v>0.59029883146286011</v>
      </c>
      <c r="E21" s="1259">
        <v>0.58927810192108154</v>
      </c>
      <c r="F21" s="1259">
        <v>0.63889616727828979</v>
      </c>
      <c r="G21" s="1259">
        <v>0.6904110312461853</v>
      </c>
      <c r="H21" s="1260">
        <v>0.74537265300750732</v>
      </c>
      <c r="I21" s="1265">
        <v>0.73026055097579956</v>
      </c>
      <c r="J21" s="1266">
        <f t="shared" si="7"/>
        <v>1.5112102031707764E-2</v>
      </c>
      <c r="L21" s="283">
        <f t="shared" si="8"/>
        <v>-3.460743028472768E-4</v>
      </c>
      <c r="M21" s="283">
        <f t="shared" si="1"/>
        <v>1.630016487763708E-2</v>
      </c>
      <c r="N21" s="283">
        <f t="shared" si="1"/>
        <v>1.5629923022650427E-2</v>
      </c>
      <c r="O21" s="1602">
        <f t="shared" si="1"/>
        <v>1.543738027309205E-2</v>
      </c>
      <c r="S21" s="766">
        <v>0.59029883146286011</v>
      </c>
      <c r="T21" s="766">
        <v>0.58927810192108154</v>
      </c>
      <c r="U21" s="766">
        <v>0.63885623216629028</v>
      </c>
      <c r="V21" s="766">
        <v>0.6902463436126709</v>
      </c>
      <c r="W21" s="766">
        <v>0.74536299705505371</v>
      </c>
      <c r="Z21" s="261">
        <f t="shared" si="2"/>
        <v>0</v>
      </c>
      <c r="AA21" s="261">
        <f t="shared" si="3"/>
        <v>0</v>
      </c>
      <c r="AB21" s="261">
        <f t="shared" si="4"/>
        <v>3.9935111999511719E-5</v>
      </c>
      <c r="AC21" s="261">
        <f t="shared" si="5"/>
        <v>1.646876335144043E-4</v>
      </c>
      <c r="AD21" s="261">
        <f t="shared" si="6"/>
        <v>9.6559524536132813E-6</v>
      </c>
    </row>
    <row r="22" spans="2:30" hidden="1" outlineLevel="1" x14ac:dyDescent="0.25">
      <c r="B22" s="1258" t="s">
        <v>441</v>
      </c>
      <c r="C22" s="1255" t="s">
        <v>105</v>
      </c>
      <c r="D22" s="1259">
        <v>6.6911654472351074</v>
      </c>
      <c r="E22" s="1259">
        <v>6.7019968032836914</v>
      </c>
      <c r="F22" s="1259">
        <v>6.8683819770812988</v>
      </c>
      <c r="G22" s="1259">
        <v>6.9746913909912109</v>
      </c>
      <c r="H22" s="1260">
        <v>7.3027687072753906</v>
      </c>
      <c r="I22" s="1265">
        <v>6.9873824119567871</v>
      </c>
      <c r="J22" s="1266">
        <f t="shared" si="7"/>
        <v>0.31538629531860352</v>
      </c>
      <c r="L22" s="283">
        <f t="shared" si="8"/>
        <v>3.2354152992319918E-4</v>
      </c>
      <c r="M22" s="283">
        <f t="shared" si="1"/>
        <v>4.916656500270733E-3</v>
      </c>
      <c r="N22" s="283">
        <f t="shared" si="1"/>
        <v>3.0766277921872032E-3</v>
      </c>
      <c r="O22" s="1602">
        <f t="shared" si="1"/>
        <v>9.235480176697175E-3</v>
      </c>
      <c r="S22" s="766">
        <v>6.6911654472351074</v>
      </c>
      <c r="T22" s="766">
        <v>6.7019968032836914</v>
      </c>
      <c r="U22" s="766">
        <v>6.8493118286132812</v>
      </c>
      <c r="V22" s="766">
        <v>6.9739446640014648</v>
      </c>
      <c r="W22" s="766">
        <v>7.3024663925170898</v>
      </c>
      <c r="Z22" s="261">
        <f t="shared" si="2"/>
        <v>0</v>
      </c>
      <c r="AA22" s="261">
        <f t="shared" si="3"/>
        <v>0</v>
      </c>
      <c r="AB22" s="261">
        <f t="shared" si="4"/>
        <v>1.9070148468017578E-2</v>
      </c>
      <c r="AC22" s="261">
        <f t="shared" si="5"/>
        <v>7.4672698974609375E-4</v>
      </c>
      <c r="AD22" s="261">
        <f t="shared" si="6"/>
        <v>3.0231475830078125E-4</v>
      </c>
    </row>
    <row r="23" spans="2:30" hidden="1" outlineLevel="1" x14ac:dyDescent="0.25">
      <c r="B23" s="1258" t="s">
        <v>442</v>
      </c>
      <c r="C23" s="1255" t="s">
        <v>105</v>
      </c>
      <c r="D23" s="1259">
        <v>0.96100658178329468</v>
      </c>
      <c r="E23" s="1259">
        <v>0.93712592124938965</v>
      </c>
      <c r="F23" s="1259">
        <v>0.90201294422149658</v>
      </c>
      <c r="G23" s="1259">
        <v>0.93564313650131226</v>
      </c>
      <c r="H23" s="1260">
        <v>0.9751276969909668</v>
      </c>
      <c r="I23" s="1265">
        <v>0.93741589784622192</v>
      </c>
      <c r="J23" s="1266">
        <f t="shared" si="7"/>
        <v>3.7711799144744873E-2</v>
      </c>
      <c r="L23" s="283">
        <f t="shared" si="8"/>
        <v>-5.0200764770429451E-3</v>
      </c>
      <c r="M23" s="283">
        <f t="shared" si="1"/>
        <v>-7.6086645116455465E-3</v>
      </c>
      <c r="N23" s="283">
        <f t="shared" si="1"/>
        <v>7.3479181964108964E-3</v>
      </c>
      <c r="O23" s="1602">
        <f t="shared" si="1"/>
        <v>8.3011237012313721E-3</v>
      </c>
      <c r="S23" s="766">
        <v>0.96100658178329468</v>
      </c>
      <c r="T23" s="766">
        <v>0.93712592124938965</v>
      </c>
      <c r="U23" s="766">
        <v>0.9040687084197998</v>
      </c>
      <c r="V23" s="766">
        <v>0.93614941835403442</v>
      </c>
      <c r="W23" s="766">
        <v>0.97563022375106812</v>
      </c>
      <c r="Z23" s="261">
        <f t="shared" si="2"/>
        <v>0</v>
      </c>
      <c r="AA23" s="261">
        <f t="shared" si="3"/>
        <v>0</v>
      </c>
      <c r="AB23" s="261">
        <f t="shared" si="4"/>
        <v>-2.0557641983032227E-3</v>
      </c>
      <c r="AC23" s="261">
        <f t="shared" si="5"/>
        <v>-5.0628185272216797E-4</v>
      </c>
      <c r="AD23" s="261">
        <f t="shared" si="6"/>
        <v>-5.0252676010131836E-4</v>
      </c>
    </row>
    <row r="24" spans="2:30" hidden="1" outlineLevel="1" x14ac:dyDescent="0.25">
      <c r="B24" s="1257" t="s">
        <v>149</v>
      </c>
      <c r="C24" s="1255"/>
      <c r="D24" s="1255"/>
      <c r="E24" s="1255"/>
      <c r="F24" s="1255"/>
      <c r="G24" s="1255"/>
      <c r="H24" s="1256"/>
      <c r="I24" s="1265"/>
      <c r="J24" s="1266"/>
      <c r="L24" s="283"/>
      <c r="M24" s="283"/>
      <c r="N24" s="283"/>
      <c r="O24" s="1602"/>
      <c r="S24" s="157"/>
      <c r="T24" s="157"/>
      <c r="U24" s="157"/>
      <c r="V24" s="157"/>
      <c r="W24" s="157"/>
      <c r="Z24" s="261">
        <f t="shared" si="2"/>
        <v>0</v>
      </c>
      <c r="AA24" s="261">
        <f t="shared" si="3"/>
        <v>0</v>
      </c>
      <c r="AB24" s="261">
        <f t="shared" si="4"/>
        <v>0</v>
      </c>
      <c r="AC24" s="261">
        <f t="shared" si="5"/>
        <v>0</v>
      </c>
      <c r="AD24" s="261">
        <f t="shared" ref="AD24:AD42" si="9">H24-W24</f>
        <v>0</v>
      </c>
    </row>
    <row r="25" spans="2:30" hidden="1" outlineLevel="1" x14ac:dyDescent="0.25">
      <c r="B25" s="1258" t="s">
        <v>443</v>
      </c>
      <c r="C25" s="1255" t="s">
        <v>105</v>
      </c>
      <c r="D25" s="1259">
        <v>0</v>
      </c>
      <c r="E25" s="1259">
        <v>0</v>
      </c>
      <c r="F25" s="1259">
        <v>0</v>
      </c>
      <c r="G25" s="1259">
        <v>0</v>
      </c>
      <c r="H25" s="1260">
        <v>0</v>
      </c>
      <c r="I25" s="1265">
        <v>0</v>
      </c>
      <c r="J25" s="1266">
        <f t="shared" si="7"/>
        <v>0</v>
      </c>
      <c r="L25" s="283"/>
      <c r="M25" s="283"/>
      <c r="N25" s="283"/>
      <c r="O25" s="1602"/>
      <c r="S25" s="766">
        <v>0</v>
      </c>
      <c r="T25" s="766">
        <v>0</v>
      </c>
      <c r="U25" s="766">
        <v>0</v>
      </c>
      <c r="V25" s="766">
        <v>0</v>
      </c>
      <c r="W25" s="766">
        <v>0</v>
      </c>
      <c r="Z25" s="261">
        <f t="shared" si="2"/>
        <v>0</v>
      </c>
      <c r="AA25" s="261">
        <f t="shared" si="3"/>
        <v>0</v>
      </c>
      <c r="AB25" s="261">
        <f t="shared" si="4"/>
        <v>0</v>
      </c>
      <c r="AC25" s="261">
        <f t="shared" si="5"/>
        <v>0</v>
      </c>
      <c r="AD25" s="261">
        <f t="shared" si="9"/>
        <v>0</v>
      </c>
    </row>
    <row r="26" spans="2:30" hidden="1" outlineLevel="1" x14ac:dyDescent="0.25">
      <c r="B26" s="1258" t="s">
        <v>13</v>
      </c>
      <c r="C26" s="1255" t="s">
        <v>105</v>
      </c>
      <c r="D26" s="1259">
        <v>1.4008268117904663</v>
      </c>
      <c r="E26" s="1259">
        <v>1.3999353647232056</v>
      </c>
      <c r="F26" s="1259">
        <v>1.3290942907333374</v>
      </c>
      <c r="G26" s="1259">
        <v>1.3199120759963989</v>
      </c>
      <c r="H26" s="1260">
        <v>1.3158527612686157</v>
      </c>
      <c r="I26" s="1265">
        <v>1.4330120086669922</v>
      </c>
      <c r="J26" s="1266">
        <f t="shared" si="7"/>
        <v>-0.11715924739837646</v>
      </c>
      <c r="L26" s="283">
        <f t="shared" ref="L26:O27" si="10">EXP(LN(E26/D26)/5)-1</f>
        <v>-1.2730682526129744E-4</v>
      </c>
      <c r="M26" s="283">
        <f t="shared" si="10"/>
        <v>-1.03319234968825E-2</v>
      </c>
      <c r="N26" s="283">
        <f t="shared" si="10"/>
        <v>-1.385559337340081E-3</v>
      </c>
      <c r="O26" s="1602">
        <f t="shared" si="10"/>
        <v>-6.1584672390324613E-4</v>
      </c>
      <c r="S26" s="766">
        <v>1.4008268117904663</v>
      </c>
      <c r="T26" s="766">
        <v>1.3999353647232056</v>
      </c>
      <c r="U26" s="766">
        <v>1.28840172290802</v>
      </c>
      <c r="V26" s="766">
        <v>1.3177343606948853</v>
      </c>
      <c r="W26" s="766">
        <v>1.3161723613739014</v>
      </c>
      <c r="Z26" s="261">
        <f t="shared" si="2"/>
        <v>0</v>
      </c>
      <c r="AA26" s="261">
        <f t="shared" si="3"/>
        <v>0</v>
      </c>
      <c r="AB26" s="261">
        <f t="shared" si="4"/>
        <v>4.0692567825317383E-2</v>
      </c>
      <c r="AC26" s="261">
        <f t="shared" si="5"/>
        <v>2.1777153015136719E-3</v>
      </c>
      <c r="AD26" s="261">
        <f t="shared" si="9"/>
        <v>-3.1960010528564453E-4</v>
      </c>
    </row>
    <row r="27" spans="2:30" hidden="1" outlineLevel="1" x14ac:dyDescent="0.25">
      <c r="B27" s="1257" t="s">
        <v>31</v>
      </c>
      <c r="C27" s="1255" t="s">
        <v>105</v>
      </c>
      <c r="D27" s="1259">
        <v>0</v>
      </c>
      <c r="E27" s="1259">
        <v>0</v>
      </c>
      <c r="F27" s="1259">
        <v>-5.7908430695533752E-2</v>
      </c>
      <c r="G27" s="1259">
        <v>-4.210832342505455E-2</v>
      </c>
      <c r="H27" s="1260">
        <v>-4.7031093388795853E-2</v>
      </c>
      <c r="I27" s="1265">
        <v>-5.0412613898515701E-2</v>
      </c>
      <c r="J27" s="1266">
        <f t="shared" si="7"/>
        <v>3.3815205097198486E-3</v>
      </c>
      <c r="L27" s="283" t="e">
        <f t="shared" si="10"/>
        <v>#DIV/0!</v>
      </c>
      <c r="M27" s="283" t="e">
        <f t="shared" si="10"/>
        <v>#DIV/0!</v>
      </c>
      <c r="N27" s="283">
        <f t="shared" si="10"/>
        <v>-6.1735616480910416E-2</v>
      </c>
      <c r="O27" s="1602">
        <f t="shared" si="10"/>
        <v>2.235900136078417E-2</v>
      </c>
      <c r="S27" s="766">
        <v>0</v>
      </c>
      <c r="T27" s="766">
        <v>0</v>
      </c>
      <c r="U27" s="766">
        <v>-5.78884556889534E-2</v>
      </c>
      <c r="V27" s="766">
        <v>-4.2012106627225876E-2</v>
      </c>
      <c r="W27" s="766">
        <v>-4.7094352543354034E-2</v>
      </c>
      <c r="Z27" s="261">
        <f t="shared" si="2"/>
        <v>0</v>
      </c>
      <c r="AA27" s="261">
        <f t="shared" si="3"/>
        <v>0</v>
      </c>
      <c r="AB27" s="261">
        <f t="shared" si="4"/>
        <v>-1.9975006580352783E-5</v>
      </c>
      <c r="AC27" s="261">
        <f t="shared" si="5"/>
        <v>-9.6216797828674316E-5</v>
      </c>
      <c r="AD27" s="261">
        <f t="shared" si="9"/>
        <v>6.3259154558181763E-5</v>
      </c>
    </row>
    <row r="28" spans="2:30" hidden="1" outlineLevel="1" x14ac:dyDescent="0.25">
      <c r="B28" s="1203" t="s">
        <v>444</v>
      </c>
      <c r="C28" s="1255"/>
      <c r="D28" s="1255"/>
      <c r="E28" s="1255"/>
      <c r="F28" s="1255"/>
      <c r="G28" s="1255"/>
      <c r="H28" s="1256"/>
      <c r="I28" s="1265"/>
      <c r="J28" s="1266"/>
      <c r="L28" s="283"/>
      <c r="M28" s="283"/>
      <c r="N28" s="283"/>
      <c r="O28" s="1602"/>
      <c r="S28" s="157"/>
      <c r="T28" s="157"/>
      <c r="U28" s="157"/>
      <c r="V28" s="157"/>
      <c r="W28" s="157"/>
      <c r="Z28" s="261">
        <f t="shared" si="2"/>
        <v>0</v>
      </c>
      <c r="AA28" s="261">
        <f t="shared" si="3"/>
        <v>0</v>
      </c>
      <c r="AB28" s="261">
        <f t="shared" si="4"/>
        <v>0</v>
      </c>
      <c r="AC28" s="261">
        <f t="shared" si="5"/>
        <v>0</v>
      </c>
      <c r="AD28" s="261">
        <f t="shared" si="9"/>
        <v>0</v>
      </c>
    </row>
    <row r="29" spans="2:30" hidden="1" outlineLevel="1" x14ac:dyDescent="0.25">
      <c r="B29" s="1257" t="s">
        <v>15</v>
      </c>
      <c r="C29" s="1255"/>
      <c r="D29" s="1255"/>
      <c r="E29" s="1255"/>
      <c r="F29" s="1255"/>
      <c r="G29" s="1255"/>
      <c r="H29" s="1256"/>
      <c r="I29" s="1265"/>
      <c r="J29" s="1266"/>
      <c r="L29" s="283"/>
      <c r="M29" s="283"/>
      <c r="N29" s="283"/>
      <c r="O29" s="1602"/>
      <c r="S29" s="157"/>
      <c r="T29" s="157"/>
      <c r="U29" s="157"/>
      <c r="V29" s="157"/>
      <c r="W29" s="157"/>
      <c r="Z29" s="261">
        <f t="shared" si="2"/>
        <v>0</v>
      </c>
      <c r="AA29" s="261">
        <f t="shared" si="3"/>
        <v>0</v>
      </c>
      <c r="AB29" s="261">
        <f t="shared" si="4"/>
        <v>0</v>
      </c>
      <c r="AC29" s="261">
        <f t="shared" si="5"/>
        <v>0</v>
      </c>
      <c r="AD29" s="261">
        <f t="shared" si="9"/>
        <v>0</v>
      </c>
    </row>
    <row r="30" spans="2:30" hidden="1" outlineLevel="1" x14ac:dyDescent="0.25">
      <c r="B30" s="1258" t="s">
        <v>16</v>
      </c>
      <c r="C30" s="1255" t="s">
        <v>105</v>
      </c>
      <c r="D30" s="1259">
        <v>2.7136893272399902</v>
      </c>
      <c r="E30" s="1259">
        <v>2.8467276096343994</v>
      </c>
      <c r="F30" s="1259">
        <v>3.2511401176452637</v>
      </c>
      <c r="G30" s="1259">
        <v>3.6292998790740967</v>
      </c>
      <c r="H30" s="1260">
        <v>4.020747184753418</v>
      </c>
      <c r="I30" s="1265">
        <v>3.9741013050079346</v>
      </c>
      <c r="J30" s="1266">
        <f t="shared" si="7"/>
        <v>4.6645879745483398E-2</v>
      </c>
      <c r="L30" s="283">
        <f t="shared" ref="L30:O31" si="11">EXP(LN(E30/D30)/5)-1</f>
        <v>9.6181687211758238E-3</v>
      </c>
      <c r="M30" s="283">
        <f t="shared" si="11"/>
        <v>2.6923174663489702E-2</v>
      </c>
      <c r="N30" s="283">
        <f t="shared" si="11"/>
        <v>2.2250739563410615E-2</v>
      </c>
      <c r="O30" s="1602">
        <f t="shared" si="11"/>
        <v>2.0696868738296015E-2</v>
      </c>
      <c r="S30" s="766">
        <v>2.7136893272399902</v>
      </c>
      <c r="T30" s="766">
        <v>2.8467276096343994</v>
      </c>
      <c r="U30" s="766">
        <v>3.2541489601135254</v>
      </c>
      <c r="V30" s="766">
        <v>3.6294615268707275</v>
      </c>
      <c r="W30" s="766">
        <v>4.0207867622375488</v>
      </c>
      <c r="Z30" s="261">
        <f t="shared" si="2"/>
        <v>0</v>
      </c>
      <c r="AA30" s="261">
        <f t="shared" si="3"/>
        <v>0</v>
      </c>
      <c r="AB30" s="261">
        <f t="shared" si="4"/>
        <v>-3.0088424682617188E-3</v>
      </c>
      <c r="AC30" s="261">
        <f t="shared" si="5"/>
        <v>-1.6164779663085938E-4</v>
      </c>
      <c r="AD30" s="261">
        <f t="shared" si="9"/>
        <v>-3.9577484130859375E-5</v>
      </c>
    </row>
    <row r="31" spans="2:30" hidden="1" outlineLevel="1" x14ac:dyDescent="0.25">
      <c r="B31" s="1258" t="s">
        <v>17</v>
      </c>
      <c r="C31" s="1255" t="s">
        <v>105</v>
      </c>
      <c r="D31" s="1259">
        <v>0.60205632448196411</v>
      </c>
      <c r="E31" s="1259">
        <v>0.67705315351486206</v>
      </c>
      <c r="F31" s="1259">
        <v>0.7656058669090271</v>
      </c>
      <c r="G31" s="1259">
        <v>0.86257147789001465</v>
      </c>
      <c r="H31" s="1260">
        <v>0.95558279752731323</v>
      </c>
      <c r="I31" s="1265">
        <v>0.94311279058456421</v>
      </c>
      <c r="J31" s="1266">
        <f t="shared" si="7"/>
        <v>1.2470006942749023E-2</v>
      </c>
      <c r="L31" s="283">
        <f t="shared" si="11"/>
        <v>2.375757557858349E-2</v>
      </c>
      <c r="M31" s="283">
        <f t="shared" si="11"/>
        <v>2.4888210814904665E-2</v>
      </c>
      <c r="N31" s="283">
        <f t="shared" si="11"/>
        <v>2.4136791377624478E-2</v>
      </c>
      <c r="O31" s="1602">
        <f t="shared" si="11"/>
        <v>2.0691847296428145E-2</v>
      </c>
      <c r="S31" s="766">
        <v>0.60205632448196411</v>
      </c>
      <c r="T31" s="766">
        <v>0.67705315351486206</v>
      </c>
      <c r="U31" s="766">
        <v>0.76731789112091064</v>
      </c>
      <c r="V31" s="766">
        <v>0.86278599500656128</v>
      </c>
      <c r="W31" s="766">
        <v>0.95559006929397583</v>
      </c>
      <c r="Z31" s="261">
        <f t="shared" si="2"/>
        <v>0</v>
      </c>
      <c r="AA31" s="261">
        <f t="shared" si="3"/>
        <v>0</v>
      </c>
      <c r="AB31" s="261">
        <f t="shared" si="4"/>
        <v>-1.7120242118835449E-3</v>
      </c>
      <c r="AC31" s="261">
        <f t="shared" si="5"/>
        <v>-2.1451711654663086E-4</v>
      </c>
      <c r="AD31" s="261">
        <f t="shared" si="9"/>
        <v>-7.2717666625976563E-6</v>
      </c>
    </row>
    <row r="32" spans="2:30" hidden="1" outlineLevel="1" x14ac:dyDescent="0.25">
      <c r="B32" s="1257" t="s">
        <v>18</v>
      </c>
      <c r="C32" s="1255"/>
      <c r="D32" s="1255"/>
      <c r="E32" s="1255"/>
      <c r="F32" s="1255"/>
      <c r="G32" s="1255"/>
      <c r="H32" s="1256"/>
      <c r="I32" s="1265"/>
      <c r="J32" s="1266"/>
      <c r="L32" s="283"/>
      <c r="M32" s="283"/>
      <c r="N32" s="283"/>
      <c r="O32" s="1602"/>
      <c r="S32" s="157"/>
      <c r="T32" s="157"/>
      <c r="U32" s="157"/>
      <c r="V32" s="157"/>
      <c r="W32" s="157"/>
      <c r="Z32" s="261">
        <f t="shared" si="2"/>
        <v>0</v>
      </c>
      <c r="AA32" s="261">
        <f t="shared" si="3"/>
        <v>0</v>
      </c>
      <c r="AB32" s="261">
        <f t="shared" si="4"/>
        <v>0</v>
      </c>
      <c r="AC32" s="261">
        <f t="shared" si="5"/>
        <v>0</v>
      </c>
      <c r="AD32" s="261">
        <f t="shared" si="9"/>
        <v>0</v>
      </c>
    </row>
    <row r="33" spans="1:30" hidden="1" outlineLevel="1" x14ac:dyDescent="0.25">
      <c r="B33" s="1258" t="s">
        <v>19</v>
      </c>
      <c r="C33" s="1255" t="s">
        <v>105</v>
      </c>
      <c r="D33" s="1259">
        <v>8.3153486251831055</v>
      </c>
      <c r="E33" s="1259">
        <v>7.0191240310668945</v>
      </c>
      <c r="F33" s="1259">
        <v>8.5047168731689453</v>
      </c>
      <c r="G33" s="1259">
        <v>9.0774421691894531</v>
      </c>
      <c r="H33" s="1260">
        <v>8.719914436340332</v>
      </c>
      <c r="I33" s="1265">
        <v>8.7490005493164062</v>
      </c>
      <c r="J33" s="1266">
        <f t="shared" si="7"/>
        <v>-2.9086112976074219E-2</v>
      </c>
      <c r="L33" s="283">
        <f>EXP(LN(E33/D33)/5)-1</f>
        <v>-3.332499140809364E-2</v>
      </c>
      <c r="M33" s="283">
        <f>EXP(LN(F33/E33)/5)-1</f>
        <v>3.9143173029214884E-2</v>
      </c>
      <c r="N33" s="283">
        <f>EXP(LN(G33/F33)/5)-1</f>
        <v>1.3119620345692473E-2</v>
      </c>
      <c r="O33" s="1602">
        <f>EXP(LN(H33/G33)/5)-1</f>
        <v>-8.0043984165123483E-3</v>
      </c>
      <c r="S33" s="766">
        <v>8.3153486251831055</v>
      </c>
      <c r="T33" s="766">
        <v>7.0191240310668945</v>
      </c>
      <c r="U33" s="766">
        <v>8.6871213912963867</v>
      </c>
      <c r="V33" s="766">
        <v>9.0750665664672852</v>
      </c>
      <c r="W33" s="766">
        <v>8.7186164855957031</v>
      </c>
      <c r="Z33" s="261">
        <f t="shared" si="2"/>
        <v>0</v>
      </c>
      <c r="AA33" s="261">
        <f t="shared" si="3"/>
        <v>0</v>
      </c>
      <c r="AB33" s="261">
        <f t="shared" si="4"/>
        <v>-0.18240451812744141</v>
      </c>
      <c r="AC33" s="261">
        <f t="shared" si="5"/>
        <v>2.3756027221679688E-3</v>
      </c>
      <c r="AD33" s="261">
        <f t="shared" si="9"/>
        <v>1.2979507446289063E-3</v>
      </c>
    </row>
    <row r="34" spans="1:30" hidden="1" outlineLevel="1" x14ac:dyDescent="0.25">
      <c r="B34" s="1258" t="s">
        <v>20</v>
      </c>
      <c r="C34" s="1255" t="s">
        <v>105</v>
      </c>
      <c r="D34" s="1259">
        <v>0</v>
      </c>
      <c r="E34" s="1259">
        <v>0</v>
      </c>
      <c r="F34" s="1259">
        <v>0</v>
      </c>
      <c r="G34" s="1259">
        <v>0</v>
      </c>
      <c r="H34" s="1260">
        <v>0</v>
      </c>
      <c r="I34" s="1265">
        <v>0</v>
      </c>
      <c r="J34" s="1266">
        <f t="shared" si="7"/>
        <v>0</v>
      </c>
      <c r="L34" s="283"/>
      <c r="M34" s="283"/>
      <c r="N34" s="283"/>
      <c r="O34" s="1602"/>
      <c r="S34" s="766">
        <v>0</v>
      </c>
      <c r="T34" s="766">
        <v>0</v>
      </c>
      <c r="U34" s="766">
        <v>0</v>
      </c>
      <c r="V34" s="766">
        <v>0</v>
      </c>
      <c r="W34" s="766">
        <v>0</v>
      </c>
      <c r="Z34" s="261">
        <f t="shared" si="2"/>
        <v>0</v>
      </c>
      <c r="AA34" s="261">
        <f t="shared" si="3"/>
        <v>0</v>
      </c>
      <c r="AB34" s="261">
        <f t="shared" si="4"/>
        <v>0</v>
      </c>
      <c r="AC34" s="261">
        <f t="shared" si="5"/>
        <v>0</v>
      </c>
      <c r="AD34" s="261">
        <f t="shared" si="9"/>
        <v>0</v>
      </c>
    </row>
    <row r="35" spans="1:30" hidden="1" outlineLevel="1" x14ac:dyDescent="0.25">
      <c r="B35" s="1257" t="s">
        <v>445</v>
      </c>
      <c r="C35" s="1255" t="s">
        <v>105</v>
      </c>
      <c r="D35" s="1259">
        <v>4.367344856262207</v>
      </c>
      <c r="E35" s="1259">
        <v>5.0179581642150879</v>
      </c>
      <c r="F35" s="1259">
        <v>5.2107725143432617</v>
      </c>
      <c r="G35" s="1259">
        <v>5.5694575309753418</v>
      </c>
      <c r="H35" s="1260">
        <v>5.9669051170349121</v>
      </c>
      <c r="I35" s="1265">
        <v>5.9523077011108398</v>
      </c>
      <c r="J35" s="1266">
        <f t="shared" si="7"/>
        <v>1.4597415924072266E-2</v>
      </c>
      <c r="L35" s="283">
        <f t="shared" ref="L35:O36" si="12">EXP(LN(E35/D35)/5)-1</f>
        <v>2.8162855402817266E-2</v>
      </c>
      <c r="M35" s="283">
        <f t="shared" si="12"/>
        <v>7.5695068241208308E-3</v>
      </c>
      <c r="N35" s="283">
        <f t="shared" si="12"/>
        <v>1.340293229970313E-2</v>
      </c>
      <c r="O35" s="1602">
        <f t="shared" si="12"/>
        <v>1.3881612939741661E-2</v>
      </c>
      <c r="S35" s="766">
        <v>4.367344856262207</v>
      </c>
      <c r="T35" s="766">
        <v>5.0179581642150879</v>
      </c>
      <c r="U35" s="766">
        <v>4.9925441741943359</v>
      </c>
      <c r="V35" s="766">
        <v>5.6006913185119629</v>
      </c>
      <c r="W35" s="766">
        <v>6.1992707252502441</v>
      </c>
      <c r="Z35" s="261">
        <f t="shared" si="2"/>
        <v>0</v>
      </c>
      <c r="AA35" s="261">
        <f t="shared" si="3"/>
        <v>0</v>
      </c>
      <c r="AB35" s="261">
        <f t="shared" si="4"/>
        <v>0.21822834014892578</v>
      </c>
      <c r="AC35" s="261">
        <f t="shared" si="5"/>
        <v>-3.1233787536621094E-2</v>
      </c>
      <c r="AD35" s="261">
        <f t="shared" si="9"/>
        <v>-0.23236560821533203</v>
      </c>
    </row>
    <row r="36" spans="1:30" hidden="1" outlineLevel="1" x14ac:dyDescent="0.25">
      <c r="B36" s="1257" t="s">
        <v>446</v>
      </c>
      <c r="C36" s="1255" t="s">
        <v>105</v>
      </c>
      <c r="D36" s="1259">
        <v>3.5005562305450439</v>
      </c>
      <c r="E36" s="1259">
        <v>3.6858482360839844</v>
      </c>
      <c r="F36" s="1259">
        <v>3.8503813743591309</v>
      </c>
      <c r="G36" s="1259">
        <v>4.1464109420776367</v>
      </c>
      <c r="H36" s="1260">
        <v>4.3852629661560059</v>
      </c>
      <c r="I36" s="1265">
        <v>4.3472037315368652</v>
      </c>
      <c r="J36" s="1266">
        <f t="shared" si="7"/>
        <v>3.8059234619140625E-2</v>
      </c>
      <c r="L36" s="283">
        <f t="shared" si="12"/>
        <v>1.0369152187645447E-2</v>
      </c>
      <c r="M36" s="283">
        <f t="shared" si="12"/>
        <v>8.7725585902125314E-3</v>
      </c>
      <c r="N36" s="283">
        <f t="shared" si="12"/>
        <v>1.4924458936597551E-2</v>
      </c>
      <c r="O36" s="1602">
        <f t="shared" si="12"/>
        <v>1.126426271512182E-2</v>
      </c>
      <c r="S36" s="766">
        <v>3.5005562305450439</v>
      </c>
      <c r="T36" s="766">
        <v>3.6858482360839844</v>
      </c>
      <c r="U36" s="766">
        <v>3.8547327518463135</v>
      </c>
      <c r="V36" s="766">
        <v>4.1463465690612793</v>
      </c>
      <c r="W36" s="766">
        <v>4.3852519989013672</v>
      </c>
      <c r="Z36" s="261">
        <f t="shared" si="2"/>
        <v>0</v>
      </c>
      <c r="AA36" s="261">
        <f t="shared" si="3"/>
        <v>0</v>
      </c>
      <c r="AB36" s="261">
        <f t="shared" si="4"/>
        <v>-4.3513774871826172E-3</v>
      </c>
      <c r="AC36" s="261">
        <f t="shared" si="5"/>
        <v>6.4373016357421875E-5</v>
      </c>
      <c r="AD36" s="261">
        <f t="shared" si="9"/>
        <v>1.0967254638671875E-5</v>
      </c>
    </row>
    <row r="37" spans="1:30" hidden="1" outlineLevel="1" x14ac:dyDescent="0.25">
      <c r="B37" s="1203" t="s">
        <v>447</v>
      </c>
      <c r="C37" s="1255"/>
      <c r="D37" s="1255"/>
      <c r="E37" s="1255"/>
      <c r="F37" s="1255"/>
      <c r="G37" s="1255"/>
      <c r="H37" s="1256"/>
      <c r="I37" s="1265"/>
      <c r="J37" s="1266"/>
      <c r="L37" s="283"/>
      <c r="M37" s="283"/>
      <c r="N37" s="283"/>
      <c r="O37" s="1602"/>
      <c r="S37" s="157"/>
      <c r="T37" s="157"/>
      <c r="U37" s="157"/>
      <c r="V37" s="157"/>
      <c r="W37" s="157"/>
      <c r="Z37" s="261">
        <f t="shared" si="2"/>
        <v>0</v>
      </c>
      <c r="AA37" s="261">
        <f t="shared" si="3"/>
        <v>0</v>
      </c>
      <c r="AB37" s="261">
        <f t="shared" si="4"/>
        <v>0</v>
      </c>
      <c r="AC37" s="261">
        <f t="shared" si="5"/>
        <v>0</v>
      </c>
      <c r="AD37" s="261">
        <f t="shared" si="9"/>
        <v>0</v>
      </c>
    </row>
    <row r="38" spans="1:30" hidden="1" outlineLevel="1" x14ac:dyDescent="0.25">
      <c r="B38" s="1257" t="s">
        <v>448</v>
      </c>
      <c r="C38" s="1255" t="s">
        <v>105</v>
      </c>
      <c r="D38" s="1259">
        <v>5.6066374778747559</v>
      </c>
      <c r="E38" s="1259">
        <v>5.609745979309082</v>
      </c>
      <c r="F38" s="1259">
        <v>5.5304546356201172</v>
      </c>
      <c r="G38" s="1259">
        <v>5.4813652038574219</v>
      </c>
      <c r="H38" s="1260">
        <v>5.4747281074523926</v>
      </c>
      <c r="I38" s="1265">
        <v>8.0577068328857422</v>
      </c>
      <c r="J38" s="1266">
        <f t="shared" si="7"/>
        <v>-2.5829787254333496</v>
      </c>
      <c r="L38" s="283">
        <f t="shared" ref="L38:O40" si="13">EXP(LN(E38/D38)/5)-1</f>
        <v>1.1086189518305645E-4</v>
      </c>
      <c r="M38" s="283">
        <f t="shared" si="13"/>
        <v>-2.8430336603781914E-3</v>
      </c>
      <c r="N38" s="283">
        <f t="shared" si="13"/>
        <v>-1.7815771079653375E-3</v>
      </c>
      <c r="O38" s="1602">
        <f t="shared" si="13"/>
        <v>-2.4228684277238788E-4</v>
      </c>
      <c r="S38" s="766">
        <v>5.6066374778747559</v>
      </c>
      <c r="T38" s="766">
        <v>5.609745979309082</v>
      </c>
      <c r="U38" s="766">
        <v>5.526637077331543</v>
      </c>
      <c r="V38" s="766">
        <v>5.4804592132568359</v>
      </c>
      <c r="W38" s="766">
        <v>5.4745197296142578</v>
      </c>
      <c r="Z38" s="261">
        <f t="shared" si="2"/>
        <v>0</v>
      </c>
      <c r="AA38" s="261">
        <f t="shared" si="3"/>
        <v>0</v>
      </c>
      <c r="AB38" s="261">
        <f t="shared" si="4"/>
        <v>3.8175582885742188E-3</v>
      </c>
      <c r="AC38" s="261">
        <f t="shared" si="5"/>
        <v>9.059906005859375E-4</v>
      </c>
      <c r="AD38" s="261">
        <f t="shared" si="9"/>
        <v>2.0837783813476563E-4</v>
      </c>
    </row>
    <row r="39" spans="1:30" hidden="1" outlineLevel="1" x14ac:dyDescent="0.25">
      <c r="B39" s="1257" t="s">
        <v>24</v>
      </c>
      <c r="C39" s="1255" t="s">
        <v>105</v>
      </c>
      <c r="D39" s="1259">
        <v>4.703789234161377</v>
      </c>
      <c r="E39" s="1259">
        <v>4.046783447265625</v>
      </c>
      <c r="F39" s="1259">
        <v>3.7337255477905273</v>
      </c>
      <c r="G39" s="1259">
        <v>3.5906772613525391</v>
      </c>
      <c r="H39" s="1260">
        <v>3.4715125560760498</v>
      </c>
      <c r="I39" s="1265">
        <v>6.6205730438232422</v>
      </c>
      <c r="J39" s="1266">
        <f t="shared" si="7"/>
        <v>-3.1490604877471924</v>
      </c>
      <c r="L39" s="283">
        <f t="shared" si="13"/>
        <v>-2.9641035825494932E-2</v>
      </c>
      <c r="M39" s="283">
        <f t="shared" si="13"/>
        <v>-1.597419993086413E-2</v>
      </c>
      <c r="N39" s="283">
        <f t="shared" si="13"/>
        <v>-7.782697684523554E-3</v>
      </c>
      <c r="O39" s="1602">
        <f t="shared" si="13"/>
        <v>-6.7273578832907077E-3</v>
      </c>
      <c r="S39" s="766">
        <v>4.703789234161377</v>
      </c>
      <c r="T39" s="766">
        <v>4.046783447265625</v>
      </c>
      <c r="U39" s="766">
        <v>3.725386381149292</v>
      </c>
      <c r="V39" s="766">
        <v>3.5880348682403564</v>
      </c>
      <c r="W39" s="766">
        <v>3.4708843231201172</v>
      </c>
      <c r="Z39" s="261">
        <f t="shared" si="2"/>
        <v>0</v>
      </c>
      <c r="AA39" s="261">
        <f t="shared" si="3"/>
        <v>0</v>
      </c>
      <c r="AB39" s="261">
        <f t="shared" si="4"/>
        <v>8.3391666412353516E-3</v>
      </c>
      <c r="AC39" s="261">
        <f t="shared" si="5"/>
        <v>2.6423931121826172E-3</v>
      </c>
      <c r="AD39" s="261">
        <f t="shared" si="9"/>
        <v>6.2823295593261719E-4</v>
      </c>
    </row>
    <row r="40" spans="1:30" hidden="1" outlineLevel="1" x14ac:dyDescent="0.25">
      <c r="B40" s="1203" t="s">
        <v>449</v>
      </c>
      <c r="C40" s="1255" t="s">
        <v>105</v>
      </c>
      <c r="D40" s="1259">
        <v>8.3987522125244141</v>
      </c>
      <c r="E40" s="1259">
        <v>8.6264333724975586</v>
      </c>
      <c r="F40" s="1259">
        <v>8.627223014831543</v>
      </c>
      <c r="G40" s="1259">
        <v>8.6239938735961914</v>
      </c>
      <c r="H40" s="1260">
        <v>8.6211824417114258</v>
      </c>
      <c r="I40" s="1265">
        <v>9.4032802581787109</v>
      </c>
      <c r="J40" s="1266">
        <f t="shared" si="7"/>
        <v>-0.78209781646728516</v>
      </c>
      <c r="L40" s="283">
        <f t="shared" si="13"/>
        <v>5.3639323555934038E-3</v>
      </c>
      <c r="M40" s="283">
        <f t="shared" si="13"/>
        <v>1.8306834092651769E-5</v>
      </c>
      <c r="N40" s="283">
        <f t="shared" si="13"/>
        <v>-7.4870553390948835E-5</v>
      </c>
      <c r="O40" s="1602">
        <f t="shared" si="13"/>
        <v>-6.520873297710672E-5</v>
      </c>
      <c r="S40" s="766">
        <v>8.3987522125244141</v>
      </c>
      <c r="T40" s="766">
        <v>8.6264333724975586</v>
      </c>
      <c r="U40" s="766">
        <v>8.6272144317626953</v>
      </c>
      <c r="V40" s="766">
        <v>8.6239938735961914</v>
      </c>
      <c r="W40" s="766">
        <v>8.6211824417114258</v>
      </c>
      <c r="Z40" s="261">
        <f t="shared" si="2"/>
        <v>0</v>
      </c>
      <c r="AA40" s="261">
        <f t="shared" si="3"/>
        <v>0</v>
      </c>
      <c r="AB40" s="261">
        <f t="shared" si="4"/>
        <v>8.58306884765625E-6</v>
      </c>
      <c r="AC40" s="261">
        <f t="shared" si="5"/>
        <v>0</v>
      </c>
      <c r="AD40" s="261">
        <f t="shared" si="9"/>
        <v>0</v>
      </c>
    </row>
    <row r="41" spans="1:30" hidden="1" outlineLevel="1" x14ac:dyDescent="0.25">
      <c r="B41" s="1203"/>
      <c r="C41" s="1255"/>
      <c r="D41" s="1255"/>
      <c r="E41" s="1255"/>
      <c r="F41" s="1255"/>
      <c r="G41" s="1255"/>
      <c r="H41" s="1256"/>
      <c r="I41" s="1265"/>
      <c r="J41" s="1266"/>
      <c r="L41" s="283"/>
      <c r="M41" s="283"/>
      <c r="N41" s="283"/>
      <c r="O41" s="1602"/>
      <c r="S41" s="157"/>
      <c r="T41" s="157"/>
      <c r="U41" s="157"/>
      <c r="V41" s="157"/>
      <c r="W41" s="157"/>
      <c r="Z41" s="261">
        <f t="shared" si="2"/>
        <v>0</v>
      </c>
      <c r="AA41" s="261">
        <f t="shared" si="3"/>
        <v>0</v>
      </c>
      <c r="AB41" s="261">
        <f t="shared" si="4"/>
        <v>0</v>
      </c>
      <c r="AC41" s="261">
        <f t="shared" si="5"/>
        <v>0</v>
      </c>
      <c r="AD41" s="261">
        <f t="shared" si="9"/>
        <v>0</v>
      </c>
    </row>
    <row r="42" spans="1:30" hidden="1" outlineLevel="1" x14ac:dyDescent="0.25">
      <c r="B42" s="1261" t="s">
        <v>81</v>
      </c>
      <c r="C42" s="1255" t="s">
        <v>105</v>
      </c>
      <c r="D42" s="1259">
        <v>175.93327331542969</v>
      </c>
      <c r="E42" s="1259">
        <v>166.84339904785156</v>
      </c>
      <c r="F42" s="1259">
        <v>163.3641357421875</v>
      </c>
      <c r="G42" s="1259">
        <v>164.66526794433594</v>
      </c>
      <c r="H42" s="1274">
        <v>163.65766906738281</v>
      </c>
      <c r="I42" s="1267">
        <v>180.89173889160156</v>
      </c>
      <c r="J42" s="1268">
        <f t="shared" si="7"/>
        <v>-17.23406982421875</v>
      </c>
      <c r="L42" s="283">
        <f>EXP(LN(E42/D42)/5)-1</f>
        <v>-1.0553744686082389E-2</v>
      </c>
      <c r="M42" s="283">
        <f>EXP(LN(F42/E42)/5)-1</f>
        <v>-4.2059244978509547E-3</v>
      </c>
      <c r="N42" s="283">
        <f>EXP(LN(G42/F42)/5)-1</f>
        <v>1.5878720129289814E-3</v>
      </c>
      <c r="O42" s="1602">
        <f>EXP(LN(H42/G42)/5)-1</f>
        <v>-1.2268211891701686E-3</v>
      </c>
      <c r="S42" s="766">
        <v>175.93327331542969</v>
      </c>
      <c r="T42" s="766">
        <v>166.84339904785156</v>
      </c>
      <c r="U42" s="766">
        <v>163.44099426269531</v>
      </c>
      <c r="V42" s="766">
        <v>164.71517944335937</v>
      </c>
      <c r="W42" s="766">
        <v>163.91029357910156</v>
      </c>
      <c r="Z42" s="261">
        <f t="shared" si="2"/>
        <v>0</v>
      </c>
      <c r="AA42" s="261">
        <f t="shared" si="3"/>
        <v>0</v>
      </c>
      <c r="AB42" s="261">
        <f t="shared" si="4"/>
        <v>-7.68585205078125E-2</v>
      </c>
      <c r="AC42" s="261">
        <f t="shared" si="5"/>
        <v>-4.99114990234375E-2</v>
      </c>
      <c r="AD42" s="261">
        <f t="shared" si="9"/>
        <v>-0.25262451171875</v>
      </c>
    </row>
    <row r="43" spans="1:30" hidden="1" collapsed="1" x14ac:dyDescent="0.25">
      <c r="H43" s="261"/>
      <c r="J43" s="261"/>
    </row>
    <row r="44" spans="1:30" s="763" customFormat="1" hidden="1" x14ac:dyDescent="0.25">
      <c r="O44" s="285"/>
    </row>
    <row r="45" spans="1:30" hidden="1" x14ac:dyDescent="0.25">
      <c r="A45" s="157" t="s">
        <v>455</v>
      </c>
    </row>
    <row r="46" spans="1:30" hidden="1" outlineLevel="1" x14ac:dyDescent="0.25">
      <c r="D46" s="157">
        <v>2010</v>
      </c>
      <c r="E46">
        <v>2011</v>
      </c>
      <c r="F46">
        <v>2012</v>
      </c>
      <c r="G46">
        <v>2013</v>
      </c>
      <c r="H46">
        <v>2014</v>
      </c>
      <c r="I46" s="157">
        <v>2015</v>
      </c>
      <c r="J46">
        <v>2016</v>
      </c>
      <c r="K46">
        <v>2017</v>
      </c>
      <c r="L46">
        <v>2018</v>
      </c>
      <c r="M46">
        <v>2019</v>
      </c>
      <c r="N46" s="157">
        <v>2020</v>
      </c>
      <c r="O46" s="285">
        <v>2021</v>
      </c>
      <c r="P46">
        <v>2022</v>
      </c>
      <c r="Q46">
        <v>2023</v>
      </c>
      <c r="R46">
        <v>2024</v>
      </c>
      <c r="S46" s="157">
        <v>2025</v>
      </c>
      <c r="T46">
        <v>2026</v>
      </c>
      <c r="U46">
        <v>2027</v>
      </c>
      <c r="V46">
        <v>2028</v>
      </c>
      <c r="W46">
        <v>2029</v>
      </c>
      <c r="X46" s="157">
        <v>2030</v>
      </c>
    </row>
    <row r="47" spans="1:30" hidden="1" outlineLevel="1" x14ac:dyDescent="0.25">
      <c r="B47" t="s">
        <v>430</v>
      </c>
    </row>
    <row r="48" spans="1:30" hidden="1" outlineLevel="1" x14ac:dyDescent="0.25">
      <c r="B48" s="370" t="s">
        <v>1</v>
      </c>
    </row>
    <row r="49" spans="2:24" hidden="1" outlineLevel="1" x14ac:dyDescent="0.25">
      <c r="B49" s="761" t="s">
        <v>431</v>
      </c>
      <c r="C49" t="s">
        <v>105</v>
      </c>
      <c r="D49" s="762">
        <f>D8</f>
        <v>18.467643737792969</v>
      </c>
      <c r="E49" s="261">
        <f>D49*(1+L8)</f>
        <v>13.863507775003447</v>
      </c>
      <c r="F49" s="261">
        <f>E49*(1+L8)</f>
        <v>10.407220897068814</v>
      </c>
      <c r="G49" s="261">
        <f>F49*(1+L8)</f>
        <v>7.8126148560809598</v>
      </c>
      <c r="H49" s="261">
        <f>G49*(1+L8)</f>
        <v>5.8648655095471192</v>
      </c>
      <c r="I49" s="762">
        <f>E8</f>
        <v>4.4027061462402344</v>
      </c>
      <c r="J49" s="261">
        <f>I49*(1+M8)</f>
        <v>4.1179912375710792</v>
      </c>
      <c r="K49" s="261">
        <f>J49*(1+M8)</f>
        <v>3.8516883183751962</v>
      </c>
      <c r="L49" s="261">
        <f>K49*(1+M8)</f>
        <v>3.6026067191581479</v>
      </c>
      <c r="M49" s="261">
        <f>L49*(1+M8)</f>
        <v>3.3696327688317282</v>
      </c>
      <c r="N49" s="762">
        <f>F8</f>
        <v>3.1517248153686523</v>
      </c>
      <c r="O49" s="284">
        <f>N49*(1+N8)</f>
        <v>3.4206507935681891</v>
      </c>
      <c r="P49" s="261">
        <f>O49*(1+N8)</f>
        <v>3.7125233124675741</v>
      </c>
      <c r="Q49" s="261">
        <f>P49*(1+N8)</f>
        <v>4.0293003224798349</v>
      </c>
      <c r="R49" s="261">
        <f>Q49*(1+N8)</f>
        <v>4.3731068392793846</v>
      </c>
      <c r="S49" s="762">
        <f>G8</f>
        <v>4.7462491989135742</v>
      </c>
      <c r="T49" s="261">
        <f>S49*(1+O8)</f>
        <v>4.5497419455747279</v>
      </c>
      <c r="U49" s="261">
        <f>T49*(1+O8)</f>
        <v>4.3613706115684812</v>
      </c>
      <c r="V49" s="261">
        <f>U49*(1+O8)</f>
        <v>4.1807983483446565</v>
      </c>
      <c r="W49" s="261">
        <f>V49*(1+O8)</f>
        <v>4.0077022537727887</v>
      </c>
      <c r="X49" s="762">
        <f>H8</f>
        <v>3.8417727947235107</v>
      </c>
    </row>
    <row r="50" spans="2:24" hidden="1" outlineLevel="1" x14ac:dyDescent="0.25">
      <c r="B50" s="761" t="s">
        <v>432</v>
      </c>
      <c r="C50" t="s">
        <v>105</v>
      </c>
      <c r="D50" s="762">
        <f t="shared" ref="D50:D81" si="14">D9</f>
        <v>6.7206611633300781</v>
      </c>
      <c r="E50" s="261">
        <f t="shared" ref="E50:E81" si="15">D50*(1+L9)</f>
        <v>6.7110260703594289</v>
      </c>
      <c r="F50" s="261">
        <f t="shared" ref="F50:F81" si="16">E50*(1+L9)</f>
        <v>6.7014047907643244</v>
      </c>
      <c r="G50" s="261">
        <f t="shared" ref="G50:G81" si="17">F50*(1+L9)</f>
        <v>6.6917973047411827</v>
      </c>
      <c r="H50" s="261">
        <f t="shared" ref="H50:H81" si="18">G50*(1+L9)</f>
        <v>6.6822035925148144</v>
      </c>
      <c r="I50" s="762">
        <f t="shared" ref="I50:I81" si="19">E9</f>
        <v>6.6726236343383789</v>
      </c>
      <c r="J50" s="261">
        <f t="shared" ref="J50:J81" si="20">I50*(1+M9)</f>
        <v>6.6275178635413914</v>
      </c>
      <c r="K50" s="261">
        <f t="shared" ref="K50:K81" si="21">J50*(1+M9)</f>
        <v>6.5827169998799899</v>
      </c>
      <c r="L50" s="261">
        <f t="shared" ref="L50:L81" si="22">K50*(1+M9)</f>
        <v>6.5382189822351711</v>
      </c>
      <c r="M50" s="261">
        <f t="shared" ref="M50:M81" si="23">L50*(1+M9)</f>
        <v>6.4940217634207373</v>
      </c>
      <c r="N50" s="762">
        <f t="shared" ref="N50:N81" si="24">F9</f>
        <v>6.4501233100891113</v>
      </c>
      <c r="O50" s="284">
        <f t="shared" ref="O50:O81" si="25">N50*(1+N9)</f>
        <v>6.3806906183709193</v>
      </c>
      <c r="P50" s="261">
        <f t="shared" ref="P50:P81" si="26">O50*(1+N9)</f>
        <v>6.312005338515644</v>
      </c>
      <c r="Q50" s="261">
        <f t="shared" ref="Q50:Q81" si="27">P50*(1+N9)</f>
        <v>6.244059424968964</v>
      </c>
      <c r="R50" s="261">
        <f t="shared" ref="R50:R81" si="28">Q50*(1+N9)</f>
        <v>6.1768449187833525</v>
      </c>
      <c r="S50" s="762">
        <f t="shared" ref="S50:S81" si="29">G9</f>
        <v>6.110353946685791</v>
      </c>
      <c r="T50" s="261">
        <f t="shared" ref="T50:T81" si="30">S50*(1+O9)</f>
        <v>6.0200184968963066</v>
      </c>
      <c r="U50" s="261">
        <f t="shared" ref="U50:U81" si="31">T50*(1+O9)</f>
        <v>5.9310185660570944</v>
      </c>
      <c r="V50" s="261">
        <f t="shared" ref="V50:V81" si="32">U50*(1+O9)</f>
        <v>5.8433344098610114</v>
      </c>
      <c r="W50" s="261">
        <f t="shared" ref="W50:W81" si="33">V50*(1+O9)</f>
        <v>5.7569465759006766</v>
      </c>
      <c r="X50" s="762">
        <f t="shared" ref="X50:X82" si="34">H9</f>
        <v>5.6718358993530273</v>
      </c>
    </row>
    <row r="51" spans="2:24" hidden="1" outlineLevel="1" x14ac:dyDescent="0.25">
      <c r="B51" s="761" t="s">
        <v>433</v>
      </c>
      <c r="C51" t="s">
        <v>105</v>
      </c>
      <c r="D51" s="762">
        <f t="shared" si="14"/>
        <v>0.82169580459594727</v>
      </c>
      <c r="E51" s="261">
        <f t="shared" si="15"/>
        <v>0.85007456162170025</v>
      </c>
      <c r="F51" s="261">
        <f t="shared" si="16"/>
        <v>0.8794334305645668</v>
      </c>
      <c r="G51" s="261">
        <f t="shared" si="17"/>
        <v>0.90980626136974352</v>
      </c>
      <c r="H51" s="261">
        <f t="shared" si="18"/>
        <v>0.94122807305176459</v>
      </c>
      <c r="I51" s="762">
        <f t="shared" si="19"/>
        <v>0.97373509407043457</v>
      </c>
      <c r="J51" s="261">
        <f t="shared" si="20"/>
        <v>0.9635710992892661</v>
      </c>
      <c r="K51" s="261">
        <f t="shared" si="21"/>
        <v>0.95351319782910526</v>
      </c>
      <c r="L51" s="261">
        <f t="shared" si="22"/>
        <v>0.94356028227175637</v>
      </c>
      <c r="M51" s="261">
        <f t="shared" si="23"/>
        <v>0.93371125675842281</v>
      </c>
      <c r="N51" s="762">
        <f t="shared" si="24"/>
        <v>0.92396503686904907</v>
      </c>
      <c r="O51" s="284">
        <f t="shared" si="25"/>
        <v>0.9355064960598366</v>
      </c>
      <c r="P51" s="261">
        <f t="shared" si="26"/>
        <v>0.94719212226445826</v>
      </c>
      <c r="Q51" s="261">
        <f t="shared" si="27"/>
        <v>0.95902371630614924</v>
      </c>
      <c r="R51" s="261">
        <f t="shared" si="28"/>
        <v>0.97100310150264069</v>
      </c>
      <c r="S51" s="762">
        <f t="shared" si="29"/>
        <v>0.98313212394714355</v>
      </c>
      <c r="T51" s="261">
        <f t="shared" si="30"/>
        <v>0.98961747836037117</v>
      </c>
      <c r="U51" s="261">
        <f t="shared" si="31"/>
        <v>0.99614561422772951</v>
      </c>
      <c r="V51" s="261">
        <f t="shared" si="32"/>
        <v>1.0027168137624489</v>
      </c>
      <c r="W51" s="261">
        <f t="shared" si="33"/>
        <v>1.0093313610394143</v>
      </c>
      <c r="X51" s="762">
        <f t="shared" si="34"/>
        <v>1.0159895420074463</v>
      </c>
    </row>
    <row r="52" spans="2:24" hidden="1" outlineLevel="1" x14ac:dyDescent="0.25">
      <c r="B52" s="761" t="s">
        <v>3</v>
      </c>
      <c r="C52" t="s">
        <v>105</v>
      </c>
      <c r="D52" s="762">
        <f t="shared" si="14"/>
        <v>18.171916961669922</v>
      </c>
      <c r="E52" s="261">
        <f t="shared" si="15"/>
        <v>18.289498615624773</v>
      </c>
      <c r="F52" s="261">
        <f t="shared" si="16"/>
        <v>18.407841083387869</v>
      </c>
      <c r="G52" s="261">
        <f t="shared" si="17"/>
        <v>18.526949287816063</v>
      </c>
      <c r="H52" s="261">
        <f t="shared" si="18"/>
        <v>18.646828183619625</v>
      </c>
      <c r="I52" s="762">
        <f t="shared" si="19"/>
        <v>18.767482757568359</v>
      </c>
      <c r="J52" s="261">
        <f t="shared" si="20"/>
        <v>18.937354427258434</v>
      </c>
      <c r="K52" s="261">
        <f t="shared" si="21"/>
        <v>19.108763670449228</v>
      </c>
      <c r="L52" s="261">
        <f t="shared" si="22"/>
        <v>19.281724404307006</v>
      </c>
      <c r="M52" s="261">
        <f t="shared" si="23"/>
        <v>19.456250671967627</v>
      </c>
      <c r="N52" s="762">
        <f t="shared" si="24"/>
        <v>19.632356643676758</v>
      </c>
      <c r="O52" s="284">
        <f t="shared" si="25"/>
        <v>20.098378127975682</v>
      </c>
      <c r="P52" s="261">
        <f t="shared" si="26"/>
        <v>20.575461759716703</v>
      </c>
      <c r="Q52" s="261">
        <f t="shared" si="27"/>
        <v>21.063870125733587</v>
      </c>
      <c r="R52" s="261">
        <f t="shared" si="28"/>
        <v>21.563872045993921</v>
      </c>
      <c r="S52" s="762">
        <f t="shared" si="29"/>
        <v>22.075742721557617</v>
      </c>
      <c r="T52" s="261">
        <f t="shared" si="30"/>
        <v>22.410623541402803</v>
      </c>
      <c r="U52" s="261">
        <f t="shared" si="31"/>
        <v>22.75058437893594</v>
      </c>
      <c r="V52" s="261">
        <f t="shared" si="32"/>
        <v>23.095702296139027</v>
      </c>
      <c r="W52" s="261">
        <f t="shared" si="33"/>
        <v>23.44605552399571</v>
      </c>
      <c r="X52" s="762">
        <f t="shared" si="34"/>
        <v>23.801723480224609</v>
      </c>
    </row>
    <row r="53" spans="2:24" hidden="1" outlineLevel="1" x14ac:dyDescent="0.25">
      <c r="B53" s="761" t="s">
        <v>4</v>
      </c>
      <c r="C53" t="s">
        <v>105</v>
      </c>
      <c r="D53" s="762">
        <f t="shared" si="14"/>
        <v>0.48644736409187317</v>
      </c>
      <c r="E53" s="261">
        <f t="shared" si="15"/>
        <v>0.49879695383871586</v>
      </c>
      <c r="F53" s="261">
        <f t="shared" si="16"/>
        <v>0.51146006644162345</v>
      </c>
      <c r="G53" s="261">
        <f t="shared" si="17"/>
        <v>0.52444466140235191</v>
      </c>
      <c r="H53" s="261">
        <f t="shared" si="18"/>
        <v>0.537758900292991</v>
      </c>
      <c r="I53" s="762">
        <f t="shared" si="19"/>
        <v>0.55141115188598633</v>
      </c>
      <c r="J53" s="261">
        <f t="shared" si="20"/>
        <v>0.56038467631529409</v>
      </c>
      <c r="K53" s="261">
        <f t="shared" si="21"/>
        <v>0.56950423359215663</v>
      </c>
      <c r="L53" s="261">
        <f t="shared" si="22"/>
        <v>0.57877220021788434</v>
      </c>
      <c r="M53" s="261">
        <f t="shared" si="23"/>
        <v>0.58819099136836372</v>
      </c>
      <c r="N53" s="762">
        <f t="shared" si="24"/>
        <v>0.5977630615234375</v>
      </c>
      <c r="O53" s="284">
        <f t="shared" si="25"/>
        <v>0.6120038242035265</v>
      </c>
      <c r="P53" s="261">
        <f t="shared" si="26"/>
        <v>0.6265838506065925</v>
      </c>
      <c r="Q53" s="261">
        <f t="shared" si="27"/>
        <v>0.64151122315605025</v>
      </c>
      <c r="R53" s="261">
        <f t="shared" si="28"/>
        <v>0.65679421682631189</v>
      </c>
      <c r="S53" s="762">
        <f t="shared" si="29"/>
        <v>0.67244130373001099</v>
      </c>
      <c r="T53" s="261">
        <f t="shared" si="30"/>
        <v>0.68811244563786866</v>
      </c>
      <c r="U53" s="261">
        <f t="shared" si="31"/>
        <v>0.70414880111505052</v>
      </c>
      <c r="V53" s="261">
        <f t="shared" si="32"/>
        <v>0.72055888140802482</v>
      </c>
      <c r="W53" s="261">
        <f t="shared" si="33"/>
        <v>0.73735139611655931</v>
      </c>
      <c r="X53" s="762">
        <f t="shared" si="34"/>
        <v>0.7545352578163147</v>
      </c>
    </row>
    <row r="54" spans="2:24" hidden="1" outlineLevel="1" x14ac:dyDescent="0.25">
      <c r="B54" s="761" t="s">
        <v>434</v>
      </c>
      <c r="C54" t="s">
        <v>105</v>
      </c>
      <c r="D54" s="762">
        <f t="shared" si="14"/>
        <v>10.908831596374512</v>
      </c>
      <c r="E54" s="261">
        <f t="shared" si="15"/>
        <v>11.276367120165792</v>
      </c>
      <c r="F54" s="261">
        <f t="shared" si="16"/>
        <v>11.656285488082508</v>
      </c>
      <c r="G54" s="261">
        <f t="shared" si="17"/>
        <v>12.049003897425898</v>
      </c>
      <c r="H54" s="261">
        <f t="shared" si="18"/>
        <v>12.45495360152394</v>
      </c>
      <c r="I54" s="762">
        <f t="shared" si="19"/>
        <v>12.874580383300781</v>
      </c>
      <c r="J54" s="261">
        <f t="shared" si="20"/>
        <v>12.653863215793653</v>
      </c>
      <c r="K54" s="261">
        <f t="shared" si="21"/>
        <v>12.436929943884051</v>
      </c>
      <c r="L54" s="261">
        <f t="shared" si="22"/>
        <v>12.223715697829151</v>
      </c>
      <c r="M54" s="261">
        <f t="shared" si="23"/>
        <v>12.014156719989629</v>
      </c>
      <c r="N54" s="762">
        <f t="shared" si="24"/>
        <v>11.80819034576416</v>
      </c>
      <c r="O54" s="284">
        <f t="shared" si="25"/>
        <v>11.943362423161521</v>
      </c>
      <c r="P54" s="261">
        <f t="shared" si="26"/>
        <v>12.080081857941588</v>
      </c>
      <c r="Q54" s="261">
        <f t="shared" si="27"/>
        <v>12.218366363192123</v>
      </c>
      <c r="R54" s="261">
        <f t="shared" si="28"/>
        <v>12.358233854768185</v>
      </c>
      <c r="S54" s="762">
        <f t="shared" si="29"/>
        <v>12.499702453613281</v>
      </c>
      <c r="T54" s="261">
        <f t="shared" si="30"/>
        <v>12.642246522971467</v>
      </c>
      <c r="U54" s="261">
        <f t="shared" si="31"/>
        <v>12.786416135960359</v>
      </c>
      <c r="V54" s="261">
        <f t="shared" si="32"/>
        <v>12.932229829949538</v>
      </c>
      <c r="W54" s="261">
        <f t="shared" si="33"/>
        <v>13.079706353704987</v>
      </c>
      <c r="X54" s="762">
        <f t="shared" si="34"/>
        <v>13.228864669799805</v>
      </c>
    </row>
    <row r="55" spans="2:24" hidden="1" outlineLevel="1" x14ac:dyDescent="0.25">
      <c r="B55" s="761" t="s">
        <v>5</v>
      </c>
      <c r="C55" t="s">
        <v>105</v>
      </c>
      <c r="D55" s="762">
        <f t="shared" si="14"/>
        <v>18.840667724609375</v>
      </c>
      <c r="E55" s="261">
        <f t="shared" si="15"/>
        <v>19.196622856845398</v>
      </c>
      <c r="F55" s="261">
        <f t="shared" si="16"/>
        <v>19.559303019107805</v>
      </c>
      <c r="G55" s="261">
        <f t="shared" si="17"/>
        <v>19.92883526681668</v>
      </c>
      <c r="H55" s="261">
        <f t="shared" si="18"/>
        <v>20.30534905583934</v>
      </c>
      <c r="I55" s="762">
        <f t="shared" si="19"/>
        <v>20.688976287841797</v>
      </c>
      <c r="J55" s="261">
        <f t="shared" si="20"/>
        <v>20.422642645017184</v>
      </c>
      <c r="K55" s="261">
        <f t="shared" si="21"/>
        <v>20.159737572476249</v>
      </c>
      <c r="L55" s="261">
        <f t="shared" si="22"/>
        <v>19.9002169334961</v>
      </c>
      <c r="M55" s="261">
        <f t="shared" si="23"/>
        <v>19.644037159535376</v>
      </c>
      <c r="N55" s="762">
        <f t="shared" si="24"/>
        <v>19.391155242919922</v>
      </c>
      <c r="O55" s="284">
        <f t="shared" si="25"/>
        <v>19.056194210768368</v>
      </c>
      <c r="P55" s="261">
        <f t="shared" si="26"/>
        <v>18.727019264677931</v>
      </c>
      <c r="Q55" s="261">
        <f t="shared" si="27"/>
        <v>18.403530456330174</v>
      </c>
      <c r="R55" s="261">
        <f t="shared" si="28"/>
        <v>18.085629563904714</v>
      </c>
      <c r="S55" s="762">
        <f t="shared" si="29"/>
        <v>17.773220062255859</v>
      </c>
      <c r="T55" s="261">
        <f t="shared" si="30"/>
        <v>17.699563687753123</v>
      </c>
      <c r="U55" s="261">
        <f t="shared" si="31"/>
        <v>17.626212562467234</v>
      </c>
      <c r="V55" s="261">
        <f t="shared" si="32"/>
        <v>17.553165421374157</v>
      </c>
      <c r="W55" s="261">
        <f t="shared" si="33"/>
        <v>17.480421004692406</v>
      </c>
      <c r="X55" s="762">
        <f t="shared" si="34"/>
        <v>17.407978057861328</v>
      </c>
    </row>
    <row r="56" spans="2:24" hidden="1" outlineLevel="1" x14ac:dyDescent="0.25">
      <c r="B56" s="761" t="s">
        <v>435</v>
      </c>
      <c r="C56" t="s">
        <v>105</v>
      </c>
      <c r="D56" s="762">
        <f t="shared" si="14"/>
        <v>1.0326658487319946</v>
      </c>
      <c r="E56" s="261">
        <f t="shared" si="15"/>
        <v>1.055411794127787</v>
      </c>
      <c r="F56" s="261">
        <f t="shared" si="16"/>
        <v>1.0786587515717494</v>
      </c>
      <c r="G56" s="261">
        <f t="shared" si="17"/>
        <v>1.1024177565723225</v>
      </c>
      <c r="H56" s="261">
        <f t="shared" si="18"/>
        <v>1.1267000877108377</v>
      </c>
      <c r="I56" s="762">
        <f t="shared" si="19"/>
        <v>1.1515172719955444</v>
      </c>
      <c r="J56" s="261">
        <f t="shared" si="20"/>
        <v>1.1661090230894673</v>
      </c>
      <c r="K56" s="261">
        <f t="shared" si="21"/>
        <v>1.1808856773586747</v>
      </c>
      <c r="L56" s="261">
        <f t="shared" si="22"/>
        <v>1.1958495778519214</v>
      </c>
      <c r="M56" s="261">
        <f t="shared" si="23"/>
        <v>1.2110030973085149</v>
      </c>
      <c r="N56" s="762">
        <f t="shared" si="24"/>
        <v>1.2263486385345459</v>
      </c>
      <c r="O56" s="284">
        <f t="shared" si="25"/>
        <v>1.2499689226245012</v>
      </c>
      <c r="P56" s="261">
        <f t="shared" si="26"/>
        <v>1.2740441489739081</v>
      </c>
      <c r="Q56" s="261">
        <f t="shared" si="27"/>
        <v>1.2985830800709164</v>
      </c>
      <c r="R56" s="261">
        <f t="shared" si="28"/>
        <v>1.3235946471749804</v>
      </c>
      <c r="S56" s="762">
        <f t="shared" si="29"/>
        <v>1.3490879535675049</v>
      </c>
      <c r="T56" s="261">
        <f t="shared" si="30"/>
        <v>1.3739519867873742</v>
      </c>
      <c r="U56" s="261">
        <f t="shared" si="31"/>
        <v>1.3992742704469749</v>
      </c>
      <c r="V56" s="261">
        <f t="shared" si="32"/>
        <v>1.4250632502181602</v>
      </c>
      <c r="W56" s="261">
        <f t="shared" si="33"/>
        <v>1.4513275274286574</v>
      </c>
      <c r="X56" s="762">
        <f t="shared" si="34"/>
        <v>1.4780758619308472</v>
      </c>
    </row>
    <row r="57" spans="2:24" hidden="1" outlineLevel="1" x14ac:dyDescent="0.25">
      <c r="B57" s="370" t="s">
        <v>436</v>
      </c>
      <c r="D57" s="762"/>
      <c r="E57" s="261"/>
      <c r="F57" s="261"/>
      <c r="G57" s="261"/>
      <c r="H57" s="261"/>
      <c r="I57" s="762"/>
      <c r="J57" s="261"/>
      <c r="K57" s="261"/>
      <c r="L57" s="261"/>
      <c r="M57" s="261"/>
      <c r="N57" s="762"/>
      <c r="O57" s="284"/>
      <c r="P57" s="261"/>
      <c r="Q57" s="261"/>
      <c r="R57" s="261"/>
      <c r="S57" s="762"/>
      <c r="T57" s="261"/>
      <c r="U57" s="261"/>
      <c r="V57" s="261"/>
      <c r="W57" s="261"/>
      <c r="X57" s="762"/>
    </row>
    <row r="58" spans="2:24" hidden="1" outlineLevel="1" x14ac:dyDescent="0.25">
      <c r="B58" s="761" t="s">
        <v>437</v>
      </c>
      <c r="C58" t="s">
        <v>105</v>
      </c>
      <c r="D58" s="762">
        <f t="shared" si="14"/>
        <v>1.8933596611022949</v>
      </c>
      <c r="E58" s="261">
        <f t="shared" si="15"/>
        <v>1.8520562965232965</v>
      </c>
      <c r="F58" s="261">
        <f t="shared" si="16"/>
        <v>1.8116539588123537</v>
      </c>
      <c r="G58" s="261">
        <f t="shared" si="17"/>
        <v>1.7721329921998885</v>
      </c>
      <c r="H58" s="261">
        <f t="shared" si="18"/>
        <v>1.7334741697040665</v>
      </c>
      <c r="I58" s="762">
        <f t="shared" si="19"/>
        <v>1.6956586837768555</v>
      </c>
      <c r="J58" s="261">
        <f t="shared" si="20"/>
        <v>1.7086813572735513</v>
      </c>
      <c r="K58" s="261">
        <f t="shared" si="21"/>
        <v>1.7218040450164065</v>
      </c>
      <c r="L58" s="261">
        <f t="shared" si="22"/>
        <v>1.7350275151157049</v>
      </c>
      <c r="M58" s="261">
        <f t="shared" si="23"/>
        <v>1.7483525415808239</v>
      </c>
      <c r="N58" s="762">
        <f t="shared" si="24"/>
        <v>1.7617799043655396</v>
      </c>
      <c r="O58" s="284">
        <f t="shared" si="25"/>
        <v>1.8088455707376501</v>
      </c>
      <c r="P58" s="261">
        <f t="shared" si="26"/>
        <v>1.8571685888059413</v>
      </c>
      <c r="Q58" s="261">
        <f t="shared" si="27"/>
        <v>1.9067825485184526</v>
      </c>
      <c r="R58" s="261">
        <f t="shared" si="28"/>
        <v>1.9577219371732753</v>
      </c>
      <c r="S58" s="762">
        <f t="shared" si="29"/>
        <v>2.0100221633911133</v>
      </c>
      <c r="T58" s="261">
        <f t="shared" si="30"/>
        <v>2.0633462698849883</v>
      </c>
      <c r="U58" s="261">
        <f t="shared" si="31"/>
        <v>2.1180850176625059</v>
      </c>
      <c r="V58" s="261">
        <f t="shared" si="32"/>
        <v>2.1742759359031121</v>
      </c>
      <c r="W58" s="261">
        <f t="shared" si="33"/>
        <v>2.2319575494021207</v>
      </c>
      <c r="X58" s="762">
        <f t="shared" si="34"/>
        <v>2.2911694049835205</v>
      </c>
    </row>
    <row r="59" spans="2:24" hidden="1" outlineLevel="1" x14ac:dyDescent="0.25">
      <c r="B59" s="761" t="s">
        <v>438</v>
      </c>
      <c r="C59" t="s">
        <v>105</v>
      </c>
      <c r="D59" s="762">
        <f t="shared" si="14"/>
        <v>31.043977737426758</v>
      </c>
      <c r="E59" s="261">
        <f t="shared" si="15"/>
        <v>31.238174051491061</v>
      </c>
      <c r="F59" s="261">
        <f t="shared" si="16"/>
        <v>31.43358516504772</v>
      </c>
      <c r="G59" s="261">
        <f t="shared" si="17"/>
        <v>31.630218677302796</v>
      </c>
      <c r="H59" s="261">
        <f t="shared" si="18"/>
        <v>31.828082234999357</v>
      </c>
      <c r="I59" s="762">
        <f t="shared" si="19"/>
        <v>32.027183532714844</v>
      </c>
      <c r="J59" s="261">
        <f t="shared" si="20"/>
        <v>31.364894452241295</v>
      </c>
      <c r="K59" s="261">
        <f t="shared" si="21"/>
        <v>30.716300825995447</v>
      </c>
      <c r="L59" s="261">
        <f t="shared" si="22"/>
        <v>30.081119446127385</v>
      </c>
      <c r="M59" s="261">
        <f t="shared" si="23"/>
        <v>29.459072961233058</v>
      </c>
      <c r="N59" s="762">
        <f t="shared" si="24"/>
        <v>28.849889755249023</v>
      </c>
      <c r="O59" s="284">
        <f t="shared" si="25"/>
        <v>27.944684500842619</v>
      </c>
      <c r="P59" s="261">
        <f t="shared" si="26"/>
        <v>27.067881315198225</v>
      </c>
      <c r="Q59" s="261">
        <f t="shared" si="27"/>
        <v>26.218589044065425</v>
      </c>
      <c r="R59" s="261">
        <f t="shared" si="28"/>
        <v>25.395944494392854</v>
      </c>
      <c r="S59" s="762">
        <f t="shared" si="29"/>
        <v>24.599111557006836</v>
      </c>
      <c r="T59" s="261">
        <f t="shared" si="30"/>
        <v>23.6366178259618</v>
      </c>
      <c r="U59" s="261">
        <f t="shared" si="31"/>
        <v>22.71178375511035</v>
      </c>
      <c r="V59" s="261">
        <f t="shared" si="32"/>
        <v>21.823135828355547</v>
      </c>
      <c r="W59" s="261">
        <f t="shared" si="33"/>
        <v>20.969258184121944</v>
      </c>
      <c r="X59" s="762">
        <f t="shared" si="34"/>
        <v>20.14879035949707</v>
      </c>
    </row>
    <row r="60" spans="2:24" hidden="1" outlineLevel="1" x14ac:dyDescent="0.25">
      <c r="B60" s="761" t="s">
        <v>439</v>
      </c>
      <c r="C60" t="s">
        <v>105</v>
      </c>
      <c r="D60" s="762">
        <f t="shared" si="14"/>
        <v>18.393918991088867</v>
      </c>
      <c r="E60" s="261">
        <f t="shared" si="15"/>
        <v>18.425950258445223</v>
      </c>
      <c r="F60" s="261">
        <f t="shared" si="16"/>
        <v>18.458037305219165</v>
      </c>
      <c r="G60" s="261">
        <f t="shared" si="17"/>
        <v>18.490180228545263</v>
      </c>
      <c r="H60" s="261">
        <f t="shared" si="18"/>
        <v>18.522379125727245</v>
      </c>
      <c r="I60" s="762">
        <f t="shared" si="19"/>
        <v>18.554634094238281</v>
      </c>
      <c r="J60" s="261">
        <f t="shared" si="20"/>
        <v>18.650411055756145</v>
      </c>
      <c r="K60" s="261">
        <f t="shared" si="21"/>
        <v>18.74668240731754</v>
      </c>
      <c r="L60" s="261">
        <f t="shared" si="22"/>
        <v>18.843450700908992</v>
      </c>
      <c r="M60" s="261">
        <f t="shared" si="23"/>
        <v>18.9407185016901</v>
      </c>
      <c r="N60" s="762">
        <f t="shared" si="24"/>
        <v>19.038488388061523</v>
      </c>
      <c r="O60" s="284">
        <f t="shared" si="25"/>
        <v>19.136375693121387</v>
      </c>
      <c r="P60" s="261">
        <f t="shared" si="26"/>
        <v>19.234766290475083</v>
      </c>
      <c r="Q60" s="261">
        <f t="shared" si="27"/>
        <v>19.333662767824176</v>
      </c>
      <c r="R60" s="261">
        <f t="shared" si="28"/>
        <v>19.433067726175036</v>
      </c>
      <c r="S60" s="762">
        <f t="shared" si="29"/>
        <v>19.532983779907227</v>
      </c>
      <c r="T60" s="261">
        <f t="shared" si="30"/>
        <v>19.744890463660269</v>
      </c>
      <c r="U60" s="261">
        <f t="shared" si="31"/>
        <v>19.959096050802838</v>
      </c>
      <c r="V60" s="261">
        <f t="shared" si="32"/>
        <v>20.175625481354292</v>
      </c>
      <c r="W60" s="261">
        <f t="shared" si="33"/>
        <v>20.394503965899755</v>
      </c>
      <c r="X60" s="762">
        <f t="shared" si="34"/>
        <v>20.615756988525391</v>
      </c>
    </row>
    <row r="61" spans="2:24" hidden="1" outlineLevel="1" x14ac:dyDescent="0.25">
      <c r="B61" s="761" t="s">
        <v>9</v>
      </c>
      <c r="C61" t="s">
        <v>105</v>
      </c>
      <c r="D61" s="762">
        <f t="shared" si="14"/>
        <v>1.2999999523162842</v>
      </c>
      <c r="E61" s="261">
        <f t="shared" si="15"/>
        <v>1.3049396864330205</v>
      </c>
      <c r="F61" s="261">
        <f t="shared" si="16"/>
        <v>1.3098981905297871</v>
      </c>
      <c r="G61" s="261">
        <f t="shared" si="17"/>
        <v>1.3148755359286715</v>
      </c>
      <c r="H61" s="261">
        <f t="shared" si="18"/>
        <v>1.3198717942227707</v>
      </c>
      <c r="I61" s="762">
        <f t="shared" si="19"/>
        <v>1.3248870372772217</v>
      </c>
      <c r="J61" s="261">
        <f t="shared" si="20"/>
        <v>1.3353122513609459</v>
      </c>
      <c r="K61" s="261">
        <f t="shared" si="21"/>
        <v>1.3458194989204559</v>
      </c>
      <c r="L61" s="261">
        <f t="shared" si="22"/>
        <v>1.3564094254572345</v>
      </c>
      <c r="M61" s="261">
        <f t="shared" si="23"/>
        <v>1.3670826815520589</v>
      </c>
      <c r="N61" s="762">
        <f t="shared" si="24"/>
        <v>1.3778399229049683</v>
      </c>
      <c r="O61" s="284">
        <f t="shared" si="25"/>
        <v>1.3926371662842376</v>
      </c>
      <c r="P61" s="261">
        <f t="shared" si="26"/>
        <v>1.4075933239234188</v>
      </c>
      <c r="Q61" s="261">
        <f t="shared" si="27"/>
        <v>1.4227101024743087</v>
      </c>
      <c r="R61" s="261">
        <f t="shared" si="28"/>
        <v>1.4379892269172065</v>
      </c>
      <c r="S61" s="762">
        <f t="shared" si="29"/>
        <v>1.4534324407577515</v>
      </c>
      <c r="T61" s="261">
        <f t="shared" si="30"/>
        <v>1.4613129197836969</v>
      </c>
      <c r="U61" s="261">
        <f t="shared" si="31"/>
        <v>1.4692361265952187</v>
      </c>
      <c r="V61" s="261">
        <f t="shared" si="32"/>
        <v>1.4772022928614392</v>
      </c>
      <c r="W61" s="261">
        <f t="shared" si="33"/>
        <v>1.4852116515075859</v>
      </c>
      <c r="X61" s="762">
        <f t="shared" si="34"/>
        <v>1.4932644367218018</v>
      </c>
    </row>
    <row r="62" spans="2:24" hidden="1" outlineLevel="1" x14ac:dyDescent="0.25">
      <c r="B62" s="761" t="s">
        <v>440</v>
      </c>
      <c r="C62" t="s">
        <v>105</v>
      </c>
      <c r="D62" s="762">
        <f t="shared" si="14"/>
        <v>0.59029883146286011</v>
      </c>
      <c r="E62" s="261">
        <f t="shared" si="15"/>
        <v>0.59009454420629004</v>
      </c>
      <c r="F62" s="261">
        <f t="shared" si="16"/>
        <v>0.58989032764828986</v>
      </c>
      <c r="G62" s="261">
        <f t="shared" si="17"/>
        <v>0.58968618176439258</v>
      </c>
      <c r="H62" s="261">
        <f t="shared" si="18"/>
        <v>0.58948210653013977</v>
      </c>
      <c r="I62" s="762">
        <f t="shared" si="19"/>
        <v>0.58927810192108154</v>
      </c>
      <c r="J62" s="261">
        <f t="shared" si="20"/>
        <v>0.59888343214117623</v>
      </c>
      <c r="K62" s="261">
        <f t="shared" si="21"/>
        <v>0.60864533082756256</v>
      </c>
      <c r="L62" s="261">
        <f t="shared" si="22"/>
        <v>0.61856635007205585</v>
      </c>
      <c r="M62" s="261">
        <f t="shared" si="23"/>
        <v>0.62864908356598859</v>
      </c>
      <c r="N62" s="762">
        <f t="shared" si="24"/>
        <v>0.63889616727828979</v>
      </c>
      <c r="O62" s="284">
        <f t="shared" si="25"/>
        <v>0.64888206519231584</v>
      </c>
      <c r="P62" s="261">
        <f t="shared" si="26"/>
        <v>0.65902404192205022</v>
      </c>
      <c r="Q62" s="261">
        <f t="shared" si="27"/>
        <v>0.66932453696736782</v>
      </c>
      <c r="R62" s="261">
        <f t="shared" si="28"/>
        <v>0.67978602795733889</v>
      </c>
      <c r="S62" s="762">
        <f t="shared" si="29"/>
        <v>0.6904110312461853</v>
      </c>
      <c r="T62" s="261">
        <f t="shared" si="30"/>
        <v>0.70106916888027027</v>
      </c>
      <c r="U62" s="261">
        <f t="shared" si="31"/>
        <v>0.71189184023801555</v>
      </c>
      <c r="V62" s="261">
        <f t="shared" si="32"/>
        <v>0.72288158528908109</v>
      </c>
      <c r="W62" s="261">
        <f t="shared" si="33"/>
        <v>0.73404098321360423</v>
      </c>
      <c r="X62" s="762">
        <f t="shared" si="34"/>
        <v>0.74537265300750732</v>
      </c>
    </row>
    <row r="63" spans="2:24" hidden="1" outlineLevel="1" x14ac:dyDescent="0.25">
      <c r="B63" s="761" t="s">
        <v>441</v>
      </c>
      <c r="C63" t="s">
        <v>105</v>
      </c>
      <c r="D63" s="762">
        <f t="shared" si="14"/>
        <v>6.6911654472351074</v>
      </c>
      <c r="E63" s="261">
        <f t="shared" si="15"/>
        <v>6.6933303171408749</v>
      </c>
      <c r="F63" s="261">
        <f t="shared" si="16"/>
        <v>6.6954958874719637</v>
      </c>
      <c r="G63" s="261">
        <f t="shared" si="17"/>
        <v>6.6976621584549907</v>
      </c>
      <c r="H63" s="261">
        <f t="shared" si="18"/>
        <v>6.6998291303166457</v>
      </c>
      <c r="I63" s="762">
        <f t="shared" si="19"/>
        <v>6.7019968032836914</v>
      </c>
      <c r="J63" s="261">
        <f t="shared" si="20"/>
        <v>6.7349482194313497</v>
      </c>
      <c r="K63" s="261">
        <f t="shared" si="21"/>
        <v>6.768061646373404</v>
      </c>
      <c r="L63" s="261">
        <f t="shared" si="22"/>
        <v>6.8013378806612792</v>
      </c>
      <c r="M63" s="261">
        <f t="shared" si="23"/>
        <v>6.8347777227627704</v>
      </c>
      <c r="N63" s="762">
        <f t="shared" si="24"/>
        <v>6.8683819770812988</v>
      </c>
      <c r="O63" s="284">
        <f t="shared" si="25"/>
        <v>6.8895134319593447</v>
      </c>
      <c r="P63" s="261">
        <f t="shared" si="26"/>
        <v>6.910709900458758</v>
      </c>
      <c r="Q63" s="261">
        <f t="shared" si="27"/>
        <v>6.9319715826022525</v>
      </c>
      <c r="R63" s="261">
        <f t="shared" si="28"/>
        <v>6.953298679027939</v>
      </c>
      <c r="S63" s="762">
        <f t="shared" si="29"/>
        <v>6.9746913909912109</v>
      </c>
      <c r="T63" s="261">
        <f t="shared" si="30"/>
        <v>7.0391060150712903</v>
      </c>
      <c r="U63" s="261">
        <f t="shared" si="31"/>
        <v>7.1041155391351509</v>
      </c>
      <c r="V63" s="261">
        <f t="shared" si="32"/>
        <v>7.1697254573698004</v>
      </c>
      <c r="W63" s="261">
        <f t="shared" si="33"/>
        <v>7.2359413147036999</v>
      </c>
      <c r="X63" s="762">
        <f t="shared" si="34"/>
        <v>7.3027687072753906</v>
      </c>
    </row>
    <row r="64" spans="2:24" hidden="1" outlineLevel="1" x14ac:dyDescent="0.25">
      <c r="B64" s="761" t="s">
        <v>442</v>
      </c>
      <c r="C64" t="s">
        <v>105</v>
      </c>
      <c r="D64" s="762">
        <f t="shared" si="14"/>
        <v>0.96100658178329468</v>
      </c>
      <c r="E64" s="261">
        <f t="shared" si="15"/>
        <v>0.95618225524780087</v>
      </c>
      <c r="F64" s="261">
        <f t="shared" si="16"/>
        <v>0.95138214720046554</v>
      </c>
      <c r="G64" s="261">
        <f t="shared" si="17"/>
        <v>0.94660613606262589</v>
      </c>
      <c r="H64" s="261">
        <f t="shared" si="18"/>
        <v>0.94185410086595334</v>
      </c>
      <c r="I64" s="762">
        <f t="shared" si="19"/>
        <v>0.93712592124938965</v>
      </c>
      <c r="J64" s="261">
        <f t="shared" si="20"/>
        <v>0.92999564450943628</v>
      </c>
      <c r="K64" s="261">
        <f t="shared" si="21"/>
        <v>0.92291961965307245</v>
      </c>
      <c r="L64" s="261">
        <f t="shared" si="22"/>
        <v>0.91589743389591671</v>
      </c>
      <c r="M64" s="261">
        <f t="shared" si="23"/>
        <v>0.90892867759432561</v>
      </c>
      <c r="N64" s="762">
        <f t="shared" si="24"/>
        <v>0.90201294422149658</v>
      </c>
      <c r="O64" s="284">
        <f t="shared" si="25"/>
        <v>0.90864086154773993</v>
      </c>
      <c r="P64" s="261">
        <f t="shared" si="26"/>
        <v>0.91531748026830906</v>
      </c>
      <c r="Q64" s="261">
        <f t="shared" si="27"/>
        <v>0.92204315823706551</v>
      </c>
      <c r="R64" s="261">
        <f t="shared" si="28"/>
        <v>0.92881825593735179</v>
      </c>
      <c r="S64" s="762">
        <f t="shared" si="29"/>
        <v>0.93564313650131226</v>
      </c>
      <c r="T64" s="261">
        <f t="shared" si="30"/>
        <v>0.9434100259176178</v>
      </c>
      <c r="U64" s="261">
        <f t="shared" si="31"/>
        <v>0.9512413892437418</v>
      </c>
      <c r="V64" s="261">
        <f t="shared" si="32"/>
        <v>0.95913776168558529</v>
      </c>
      <c r="W64" s="261">
        <f t="shared" si="33"/>
        <v>0.96709968289185955</v>
      </c>
      <c r="X64" s="762">
        <f t="shared" si="34"/>
        <v>0.9751276969909668</v>
      </c>
    </row>
    <row r="65" spans="2:24" hidden="1" outlineLevel="1" x14ac:dyDescent="0.25">
      <c r="B65" s="370" t="s">
        <v>149</v>
      </c>
      <c r="D65" s="762">
        <f t="shared" si="14"/>
        <v>0</v>
      </c>
      <c r="E65" s="261"/>
      <c r="F65" s="261"/>
      <c r="G65" s="261"/>
      <c r="H65" s="261"/>
      <c r="I65" s="762">
        <f t="shared" si="19"/>
        <v>0</v>
      </c>
      <c r="J65" s="261"/>
      <c r="K65" s="261"/>
      <c r="L65" s="261"/>
      <c r="M65" s="261"/>
      <c r="N65" s="762"/>
      <c r="O65" s="284"/>
      <c r="P65" s="261"/>
      <c r="Q65" s="261"/>
      <c r="R65" s="261"/>
      <c r="S65" s="762"/>
      <c r="T65" s="261"/>
      <c r="U65" s="261"/>
      <c r="V65" s="261"/>
      <c r="W65" s="261"/>
      <c r="X65" s="762">
        <f t="shared" si="34"/>
        <v>0</v>
      </c>
    </row>
    <row r="66" spans="2:24" hidden="1" outlineLevel="1" x14ac:dyDescent="0.25">
      <c r="B66" s="761" t="s">
        <v>443</v>
      </c>
      <c r="C66" t="s">
        <v>105</v>
      </c>
      <c r="D66" s="762">
        <f t="shared" si="14"/>
        <v>0</v>
      </c>
      <c r="E66" s="261">
        <f t="shared" si="15"/>
        <v>0</v>
      </c>
      <c r="F66" s="261">
        <f t="shared" si="16"/>
        <v>0</v>
      </c>
      <c r="G66" s="261">
        <f t="shared" si="17"/>
        <v>0</v>
      </c>
      <c r="H66" s="261">
        <f t="shared" si="18"/>
        <v>0</v>
      </c>
      <c r="I66" s="762">
        <f t="shared" si="19"/>
        <v>0</v>
      </c>
      <c r="J66" s="261">
        <f t="shared" si="20"/>
        <v>0</v>
      </c>
      <c r="K66" s="261">
        <f t="shared" si="21"/>
        <v>0</v>
      </c>
      <c r="L66" s="261">
        <f t="shared" si="22"/>
        <v>0</v>
      </c>
      <c r="M66" s="261">
        <f t="shared" si="23"/>
        <v>0</v>
      </c>
      <c r="N66" s="762">
        <f t="shared" si="24"/>
        <v>0</v>
      </c>
      <c r="O66" s="284">
        <f t="shared" si="25"/>
        <v>0</v>
      </c>
      <c r="P66" s="261">
        <f t="shared" si="26"/>
        <v>0</v>
      </c>
      <c r="Q66" s="261">
        <f t="shared" si="27"/>
        <v>0</v>
      </c>
      <c r="R66" s="261">
        <f t="shared" si="28"/>
        <v>0</v>
      </c>
      <c r="S66" s="762">
        <f t="shared" si="29"/>
        <v>0</v>
      </c>
      <c r="T66" s="261">
        <f t="shared" si="30"/>
        <v>0</v>
      </c>
      <c r="U66" s="261">
        <f t="shared" si="31"/>
        <v>0</v>
      </c>
      <c r="V66" s="261">
        <f t="shared" si="32"/>
        <v>0</v>
      </c>
      <c r="W66" s="261">
        <f t="shared" si="33"/>
        <v>0</v>
      </c>
      <c r="X66" s="762">
        <f t="shared" si="34"/>
        <v>0</v>
      </c>
    </row>
    <row r="67" spans="2:24" hidden="1" outlineLevel="1" x14ac:dyDescent="0.25">
      <c r="B67" s="761" t="s">
        <v>13</v>
      </c>
      <c r="C67" t="s">
        <v>105</v>
      </c>
      <c r="D67" s="762">
        <f t="shared" si="14"/>
        <v>1.4008268117904663</v>
      </c>
      <c r="E67" s="261">
        <f t="shared" si="15"/>
        <v>1.4006484769763163</v>
      </c>
      <c r="F67" s="261">
        <f t="shared" si="16"/>
        <v>1.4004701648654054</v>
      </c>
      <c r="G67" s="261">
        <f t="shared" si="17"/>
        <v>1.4002918754548432</v>
      </c>
      <c r="H67" s="261">
        <f t="shared" si="18"/>
        <v>1.4001136087417398</v>
      </c>
      <c r="I67" s="762">
        <f t="shared" si="19"/>
        <v>1.3999353647232056</v>
      </c>
      <c r="J67" s="261">
        <f t="shared" si="20"/>
        <v>1.385471339634305</v>
      </c>
      <c r="K67" s="261">
        <f t="shared" si="21"/>
        <v>1.37115675574608</v>
      </c>
      <c r="L67" s="261">
        <f t="shared" si="22"/>
        <v>1.356990069043478</v>
      </c>
      <c r="M67" s="261">
        <f t="shared" si="23"/>
        <v>1.3429697514640915</v>
      </c>
      <c r="N67" s="762">
        <f t="shared" si="24"/>
        <v>1.3290942907333374</v>
      </c>
      <c r="O67" s="284">
        <f t="shared" si="25"/>
        <v>1.3272527517286064</v>
      </c>
      <c r="P67" s="261">
        <f t="shared" si="26"/>
        <v>1.3254137642854384</v>
      </c>
      <c r="Q67" s="261">
        <f t="shared" si="27"/>
        <v>1.3235773248684937</v>
      </c>
      <c r="R67" s="261">
        <f t="shared" si="28"/>
        <v>1.3217434299473305</v>
      </c>
      <c r="S67" s="762">
        <f t="shared" si="29"/>
        <v>1.3199120759963989</v>
      </c>
      <c r="T67" s="261">
        <f t="shared" si="30"/>
        <v>1.3190992124685561</v>
      </c>
      <c r="U67" s="261">
        <f t="shared" si="31"/>
        <v>1.3182868495400539</v>
      </c>
      <c r="V67" s="261">
        <f t="shared" si="32"/>
        <v>1.3174749869025999</v>
      </c>
      <c r="W67" s="261">
        <f t="shared" si="33"/>
        <v>1.3166636242480914</v>
      </c>
      <c r="X67" s="762">
        <f t="shared" si="34"/>
        <v>1.3158527612686157</v>
      </c>
    </row>
    <row r="68" spans="2:24" hidden="1" outlineLevel="1" x14ac:dyDescent="0.25">
      <c r="B68" s="370" t="s">
        <v>31</v>
      </c>
      <c r="C68" t="s">
        <v>105</v>
      </c>
      <c r="D68" s="762">
        <f t="shared" si="14"/>
        <v>0</v>
      </c>
      <c r="E68" s="261">
        <v>0</v>
      </c>
      <c r="F68" s="261">
        <v>0</v>
      </c>
      <c r="G68" s="261">
        <v>0</v>
      </c>
      <c r="H68" s="261">
        <v>0</v>
      </c>
      <c r="I68" s="762"/>
      <c r="J68" s="261">
        <v>0</v>
      </c>
      <c r="K68" s="261">
        <v>0</v>
      </c>
      <c r="L68" s="261">
        <v>0</v>
      </c>
      <c r="M68" s="261">
        <v>0</v>
      </c>
      <c r="N68" s="762">
        <f t="shared" si="24"/>
        <v>-5.7908430695533752E-2</v>
      </c>
      <c r="O68" s="284">
        <f t="shared" si="25"/>
        <v>-5.4333418027102898E-2</v>
      </c>
      <c r="P68" s="261">
        <f t="shared" si="26"/>
        <v>-5.0979110969684688E-2</v>
      </c>
      <c r="Q68" s="261">
        <f t="shared" si="27"/>
        <v>-4.7831884126322458E-2</v>
      </c>
      <c r="R68" s="261">
        <f t="shared" si="28"/>
        <v>-4.4878953272340469E-2</v>
      </c>
      <c r="S68" s="762">
        <f t="shared" si="29"/>
        <v>-4.210832342505455E-2</v>
      </c>
      <c r="T68" s="261">
        <f t="shared" si="30"/>
        <v>-4.3049823485815687E-2</v>
      </c>
      <c r="U68" s="261">
        <f t="shared" si="31"/>
        <v>-4.401237454771656E-2</v>
      </c>
      <c r="V68" s="261">
        <f t="shared" si="32"/>
        <v>-4.4996447290120298E-2</v>
      </c>
      <c r="W68" s="261">
        <f t="shared" si="33"/>
        <v>-4.6002522916310552E-2</v>
      </c>
      <c r="X68" s="762">
        <f t="shared" si="34"/>
        <v>-4.7031093388795853E-2</v>
      </c>
    </row>
    <row r="69" spans="2:24" hidden="1" outlineLevel="1" x14ac:dyDescent="0.25">
      <c r="B69" t="s">
        <v>444</v>
      </c>
      <c r="D69" s="762"/>
      <c r="E69" s="261"/>
      <c r="F69" s="261"/>
      <c r="G69" s="261"/>
      <c r="H69" s="261"/>
      <c r="I69" s="762"/>
      <c r="J69" s="261"/>
      <c r="K69" s="261"/>
      <c r="L69" s="261"/>
      <c r="M69" s="261"/>
      <c r="N69" s="762">
        <f t="shared" si="24"/>
        <v>0</v>
      </c>
      <c r="O69" s="284"/>
      <c r="P69" s="261"/>
      <c r="Q69" s="261"/>
      <c r="R69" s="261"/>
      <c r="S69" s="762"/>
      <c r="T69" s="261"/>
      <c r="U69" s="261"/>
      <c r="V69" s="261"/>
      <c r="W69" s="261"/>
      <c r="X69" s="762"/>
    </row>
    <row r="70" spans="2:24" hidden="1" outlineLevel="1" x14ac:dyDescent="0.25">
      <c r="B70" s="370" t="s">
        <v>15</v>
      </c>
      <c r="D70" s="762"/>
      <c r="E70" s="261"/>
      <c r="F70" s="261"/>
      <c r="G70" s="261"/>
      <c r="H70" s="261"/>
      <c r="I70" s="762"/>
      <c r="J70" s="261"/>
      <c r="K70" s="261"/>
      <c r="L70" s="261"/>
      <c r="M70" s="261"/>
      <c r="N70" s="762">
        <f t="shared" si="24"/>
        <v>0</v>
      </c>
      <c r="O70" s="284"/>
      <c r="P70" s="261"/>
      <c r="Q70" s="261"/>
      <c r="R70" s="261"/>
      <c r="S70" s="762"/>
      <c r="T70" s="261"/>
      <c r="U70" s="261"/>
      <c r="V70" s="261"/>
      <c r="W70" s="261"/>
      <c r="X70" s="762"/>
    </row>
    <row r="71" spans="2:24" hidden="1" outlineLevel="1" x14ac:dyDescent="0.25">
      <c r="B71" s="761" t="s">
        <v>16</v>
      </c>
      <c r="C71" t="s">
        <v>105</v>
      </c>
      <c r="D71" s="762">
        <f t="shared" si="14"/>
        <v>2.7136893272399902</v>
      </c>
      <c r="E71" s="261">
        <f t="shared" si="15"/>
        <v>2.7397900490462384</v>
      </c>
      <c r="F71" s="261">
        <f t="shared" si="16"/>
        <v>2.7661418119985637</v>
      </c>
      <c r="G71" s="261">
        <f t="shared" si="17"/>
        <v>2.7927470306530648</v>
      </c>
      <c r="H71" s="261">
        <f t="shared" si="18"/>
        <v>2.8196081427894488</v>
      </c>
      <c r="I71" s="762">
        <f t="shared" si="19"/>
        <v>2.8467276096343994</v>
      </c>
      <c r="J71" s="261">
        <f t="shared" si="20"/>
        <v>2.9233705542879647</v>
      </c>
      <c r="K71" s="261">
        <f t="shared" si="21"/>
        <v>3.0020769703271624</v>
      </c>
      <c r="L71" s="261">
        <f t="shared" si="22"/>
        <v>3.0829024129525204</v>
      </c>
      <c r="M71" s="261">
        <f t="shared" si="23"/>
        <v>3.165903933086935</v>
      </c>
      <c r="N71" s="762">
        <f t="shared" si="24"/>
        <v>3.2511401176452637</v>
      </c>
      <c r="O71" s="284">
        <f t="shared" si="25"/>
        <v>3.3234803896871448</v>
      </c>
      <c r="P71" s="261">
        <f t="shared" si="26"/>
        <v>3.3974302862821757</v>
      </c>
      <c r="Q71" s="261">
        <f t="shared" si="27"/>
        <v>3.4730256227670839</v>
      </c>
      <c r="R71" s="261">
        <f t="shared" si="28"/>
        <v>3.5503030113963261</v>
      </c>
      <c r="S71" s="762">
        <f t="shared" si="29"/>
        <v>3.6292998790740967</v>
      </c>
      <c r="T71" s="261">
        <f t="shared" si="30"/>
        <v>3.7044150222832068</v>
      </c>
      <c r="U71" s="261">
        <f t="shared" si="31"/>
        <v>3.7810848137515745</v>
      </c>
      <c r="V71" s="261">
        <f t="shared" si="32"/>
        <v>3.8593414298301552</v>
      </c>
      <c r="W71" s="261">
        <f t="shared" si="33"/>
        <v>3.9392177128196177</v>
      </c>
      <c r="X71" s="762">
        <f t="shared" si="34"/>
        <v>4.020747184753418</v>
      </c>
    </row>
    <row r="72" spans="2:24" hidden="1" outlineLevel="1" x14ac:dyDescent="0.25">
      <c r="B72" s="761" t="s">
        <v>17</v>
      </c>
      <c r="C72" t="s">
        <v>105</v>
      </c>
      <c r="D72" s="762">
        <f t="shared" si="14"/>
        <v>0.60205632448196411</v>
      </c>
      <c r="E72" s="261">
        <f t="shared" si="15"/>
        <v>0.61635972311340859</v>
      </c>
      <c r="F72" s="261">
        <f t="shared" si="16"/>
        <v>0.63100293581887024</v>
      </c>
      <c r="G72" s="261">
        <f t="shared" si="17"/>
        <v>0.64599403575689507</v>
      </c>
      <c r="H72" s="261">
        <f t="shared" si="18"/>
        <v>0.6613412878847037</v>
      </c>
      <c r="I72" s="762">
        <f t="shared" si="19"/>
        <v>0.67705315351486206</v>
      </c>
      <c r="J72" s="261">
        <f t="shared" si="20"/>
        <v>0.69390379513243594</v>
      </c>
      <c r="K72" s="261">
        <f t="shared" si="21"/>
        <v>0.71117381907095445</v>
      </c>
      <c r="L72" s="261">
        <f t="shared" si="22"/>
        <v>0.72887366300603318</v>
      </c>
      <c r="M72" s="261">
        <f t="shared" si="23"/>
        <v>0.74701402438835907</v>
      </c>
      <c r="N72" s="762">
        <f t="shared" si="24"/>
        <v>0.7656058669090271</v>
      </c>
      <c r="O72" s="284">
        <f t="shared" si="25"/>
        <v>0.78408513599609564</v>
      </c>
      <c r="P72" s="261">
        <f t="shared" si="26"/>
        <v>0.80301043534592975</v>
      </c>
      <c r="Q72" s="261">
        <f t="shared" si="27"/>
        <v>0.82239253069792984</v>
      </c>
      <c r="R72" s="261">
        <f t="shared" si="28"/>
        <v>0.84224244764190237</v>
      </c>
      <c r="S72" s="762">
        <f t="shared" si="29"/>
        <v>0.86257147789001465</v>
      </c>
      <c r="T72" s="261">
        <f t="shared" si="30"/>
        <v>0.8804196751927692</v>
      </c>
      <c r="U72" s="261">
        <f t="shared" si="31"/>
        <v>0.89863718466862885</v>
      </c>
      <c r="V72" s="261">
        <f t="shared" si="32"/>
        <v>0.91723164806868418</v>
      </c>
      <c r="W72" s="261">
        <f t="shared" si="33"/>
        <v>0.93621086526597252</v>
      </c>
      <c r="X72" s="762">
        <f t="shared" si="34"/>
        <v>0.95558279752731323</v>
      </c>
    </row>
    <row r="73" spans="2:24" hidden="1" outlineLevel="1" x14ac:dyDescent="0.25">
      <c r="B73" s="370" t="s">
        <v>18</v>
      </c>
      <c r="D73" s="762">
        <f t="shared" si="14"/>
        <v>0</v>
      </c>
      <c r="E73" s="261"/>
      <c r="F73" s="261"/>
      <c r="G73" s="261"/>
      <c r="H73" s="261"/>
      <c r="I73" s="762">
        <f t="shared" si="19"/>
        <v>0</v>
      </c>
      <c r="J73" s="261"/>
      <c r="K73" s="261"/>
      <c r="L73" s="261"/>
      <c r="M73" s="261"/>
      <c r="N73" s="762"/>
      <c r="O73" s="284"/>
      <c r="P73" s="261"/>
      <c r="Q73" s="261"/>
      <c r="R73" s="261"/>
      <c r="S73" s="762">
        <f t="shared" si="29"/>
        <v>0</v>
      </c>
      <c r="T73" s="261"/>
      <c r="U73" s="261"/>
      <c r="V73" s="261"/>
      <c r="W73" s="261"/>
      <c r="X73" s="762">
        <f t="shared" si="34"/>
        <v>0</v>
      </c>
    </row>
    <row r="74" spans="2:24" hidden="1" outlineLevel="1" x14ac:dyDescent="0.25">
      <c r="B74" s="761" t="s">
        <v>19</v>
      </c>
      <c r="C74" t="s">
        <v>105</v>
      </c>
      <c r="D74" s="762">
        <f t="shared" si="14"/>
        <v>8.3153486251831055</v>
      </c>
      <c r="E74" s="261">
        <f t="shared" si="15"/>
        <v>8.0382397036935753</v>
      </c>
      <c r="F74" s="261">
        <f t="shared" si="16"/>
        <v>7.7703654346317901</v>
      </c>
      <c r="G74" s="261">
        <f t="shared" si="17"/>
        <v>7.511418073284938</v>
      </c>
      <c r="H74" s="261">
        <f t="shared" si="18"/>
        <v>7.2611001305301182</v>
      </c>
      <c r="I74" s="762">
        <f t="shared" si="19"/>
        <v>7.0191240310668945</v>
      </c>
      <c r="J74" s="261">
        <f t="shared" si="20"/>
        <v>7.293874817528466</v>
      </c>
      <c r="K74" s="261">
        <f t="shared" si="21"/>
        <v>7.5793802215644162</v>
      </c>
      <c r="L74" s="261">
        <f t="shared" si="22"/>
        <v>7.8760612130313215</v>
      </c>
      <c r="M74" s="261">
        <f t="shared" si="23"/>
        <v>8.184355239881695</v>
      </c>
      <c r="N74" s="762">
        <f t="shared" si="24"/>
        <v>8.5047168731689453</v>
      </c>
      <c r="O74" s="284">
        <f t="shared" si="25"/>
        <v>8.6162955296925272</v>
      </c>
      <c r="P74" s="261">
        <f t="shared" si="26"/>
        <v>8.7293380558283804</v>
      </c>
      <c r="Q74" s="261">
        <f t="shared" si="27"/>
        <v>8.8438636569900542</v>
      </c>
      <c r="R74" s="261">
        <f t="shared" si="28"/>
        <v>8.9598917905588316</v>
      </c>
      <c r="S74" s="762">
        <f t="shared" si="29"/>
        <v>9.0774421691894531</v>
      </c>
      <c r="T74" s="261">
        <f t="shared" si="30"/>
        <v>9.004782705464411</v>
      </c>
      <c r="U74" s="261">
        <f t="shared" si="31"/>
        <v>8.9327048370357538</v>
      </c>
      <c r="V74" s="261">
        <f t="shared" si="32"/>
        <v>8.861203908583013</v>
      </c>
      <c r="W74" s="261">
        <f t="shared" si="33"/>
        <v>8.7902753020487587</v>
      </c>
      <c r="X74" s="762">
        <f t="shared" si="34"/>
        <v>8.719914436340332</v>
      </c>
    </row>
    <row r="75" spans="2:24" hidden="1" outlineLevel="1" x14ac:dyDescent="0.25">
      <c r="B75" s="761" t="s">
        <v>20</v>
      </c>
      <c r="C75" t="s">
        <v>105</v>
      </c>
      <c r="D75" s="762">
        <f t="shared" si="14"/>
        <v>0</v>
      </c>
      <c r="E75" s="261">
        <f t="shared" si="15"/>
        <v>0</v>
      </c>
      <c r="F75" s="261">
        <f t="shared" si="16"/>
        <v>0</v>
      </c>
      <c r="G75" s="261">
        <f t="shared" si="17"/>
        <v>0</v>
      </c>
      <c r="H75" s="261">
        <f t="shared" si="18"/>
        <v>0</v>
      </c>
      <c r="I75" s="762">
        <f t="shared" si="19"/>
        <v>0</v>
      </c>
      <c r="J75" s="261">
        <f t="shared" si="20"/>
        <v>0</v>
      </c>
      <c r="K75" s="261">
        <f t="shared" si="21"/>
        <v>0</v>
      </c>
      <c r="L75" s="261">
        <f t="shared" si="22"/>
        <v>0</v>
      </c>
      <c r="M75" s="261">
        <f t="shared" si="23"/>
        <v>0</v>
      </c>
      <c r="N75" s="762">
        <f t="shared" si="24"/>
        <v>0</v>
      </c>
      <c r="O75" s="284">
        <f t="shared" si="25"/>
        <v>0</v>
      </c>
      <c r="P75" s="261">
        <f t="shared" si="26"/>
        <v>0</v>
      </c>
      <c r="Q75" s="261">
        <f t="shared" si="27"/>
        <v>0</v>
      </c>
      <c r="R75" s="261">
        <f t="shared" si="28"/>
        <v>0</v>
      </c>
      <c r="S75" s="762">
        <f t="shared" si="29"/>
        <v>0</v>
      </c>
      <c r="T75" s="261">
        <f t="shared" si="30"/>
        <v>0</v>
      </c>
      <c r="U75" s="261">
        <f t="shared" si="31"/>
        <v>0</v>
      </c>
      <c r="V75" s="261">
        <f t="shared" si="32"/>
        <v>0</v>
      </c>
      <c r="W75" s="261">
        <f t="shared" si="33"/>
        <v>0</v>
      </c>
      <c r="X75" s="762">
        <f t="shared" si="34"/>
        <v>0</v>
      </c>
    </row>
    <row r="76" spans="2:24" hidden="1" outlineLevel="1" x14ac:dyDescent="0.25">
      <c r="B76" s="370" t="s">
        <v>445</v>
      </c>
      <c r="C76" t="s">
        <v>105</v>
      </c>
      <c r="D76" s="762">
        <f t="shared" si="14"/>
        <v>4.367344856262207</v>
      </c>
      <c r="E76" s="261">
        <f t="shared" si="15"/>
        <v>4.4903417579433569</v>
      </c>
      <c r="F76" s="261">
        <f t="shared" si="16"/>
        <v>4.6168026035815481</v>
      </c>
      <c r="G76" s="261">
        <f t="shared" si="17"/>
        <v>4.7468249477295652</v>
      </c>
      <c r="H76" s="261">
        <f t="shared" si="18"/>
        <v>4.8805090923549583</v>
      </c>
      <c r="I76" s="762">
        <f t="shared" si="19"/>
        <v>5.0179581642150879</v>
      </c>
      <c r="J76" s="261">
        <f t="shared" si="20"/>
        <v>5.0559416327822673</v>
      </c>
      <c r="K76" s="261">
        <f t="shared" si="21"/>
        <v>5.0942126174739695</v>
      </c>
      <c r="L76" s="261">
        <f t="shared" si="22"/>
        <v>5.1327732946454612</v>
      </c>
      <c r="M76" s="261">
        <f t="shared" si="23"/>
        <v>5.171625857125945</v>
      </c>
      <c r="N76" s="762">
        <f t="shared" si="24"/>
        <v>5.2107725143432617</v>
      </c>
      <c r="O76" s="284">
        <f t="shared" si="25"/>
        <v>5.2806121455821584</v>
      </c>
      <c r="P76" s="261">
        <f t="shared" si="26"/>
        <v>5.3513878326703859</v>
      </c>
      <c r="Q76" s="261">
        <f t="shared" si="27"/>
        <v>5.4231121215011218</v>
      </c>
      <c r="R76" s="261">
        <f t="shared" si="28"/>
        <v>5.4957977261193003</v>
      </c>
      <c r="S76" s="762">
        <f t="shared" si="29"/>
        <v>5.5694575309753418</v>
      </c>
      <c r="T76" s="261">
        <f t="shared" si="30"/>
        <v>5.6467705847046705</v>
      </c>
      <c r="U76" s="261">
        <f t="shared" si="31"/>
        <v>5.7251568683210596</v>
      </c>
      <c r="V76" s="261">
        <f t="shared" si="32"/>
        <v>5.8046312799863964</v>
      </c>
      <c r="W76" s="261">
        <f t="shared" si="33"/>
        <v>5.8852089246730843</v>
      </c>
      <c r="X76" s="762">
        <f t="shared" si="34"/>
        <v>5.9669051170349121</v>
      </c>
    </row>
    <row r="77" spans="2:24" hidden="1" outlineLevel="1" x14ac:dyDescent="0.25">
      <c r="B77" s="370" t="s">
        <v>446</v>
      </c>
      <c r="C77" t="s">
        <v>105</v>
      </c>
      <c r="D77" s="762">
        <f t="shared" si="14"/>
        <v>3.5005562305450439</v>
      </c>
      <c r="E77" s="261">
        <f t="shared" si="15"/>
        <v>3.5368540308409759</v>
      </c>
      <c r="F77" s="261">
        <f t="shared" si="16"/>
        <v>3.5735282085522533</v>
      </c>
      <c r="G77" s="261">
        <f t="shared" si="17"/>
        <v>3.6105826663935754</v>
      </c>
      <c r="H77" s="261">
        <f t="shared" si="18"/>
        <v>3.648021347547485</v>
      </c>
      <c r="I77" s="762">
        <f t="shared" si="19"/>
        <v>3.6858482360839844</v>
      </c>
      <c r="J77" s="261">
        <f t="shared" si="20"/>
        <v>3.7181825556896628</v>
      </c>
      <c r="K77" s="261">
        <f t="shared" si="21"/>
        <v>3.7508005300085565</v>
      </c>
      <c r="L77" s="261">
        <f t="shared" si="22"/>
        <v>3.783704647418257</v>
      </c>
      <c r="M77" s="261">
        <f t="shared" si="23"/>
        <v>3.8168974181257931</v>
      </c>
      <c r="N77" s="762">
        <f t="shared" si="24"/>
        <v>3.8503813743591309</v>
      </c>
      <c r="O77" s="284">
        <f t="shared" si="25"/>
        <v>3.9078462330709938</v>
      </c>
      <c r="P77" s="261">
        <f t="shared" si="26"/>
        <v>3.9661687237069994</v>
      </c>
      <c r="Q77" s="261">
        <f t="shared" si="27"/>
        <v>4.025361645959582</v>
      </c>
      <c r="R77" s="261">
        <f t="shared" si="28"/>
        <v>4.0854379905496607</v>
      </c>
      <c r="S77" s="762">
        <f t="shared" si="29"/>
        <v>4.1464109420776367</v>
      </c>
      <c r="T77" s="261">
        <f t="shared" si="30"/>
        <v>4.1931172042540545</v>
      </c>
      <c r="U77" s="261">
        <f t="shared" si="31"/>
        <v>4.2403495780380691</v>
      </c>
      <c r="V77" s="261">
        <f t="shared" si="32"/>
        <v>4.2881139896890454</v>
      </c>
      <c r="W77" s="261">
        <f t="shared" si="33"/>
        <v>4.3364164322212924</v>
      </c>
      <c r="X77" s="762">
        <f t="shared" si="34"/>
        <v>4.3852629661560059</v>
      </c>
    </row>
    <row r="78" spans="2:24" hidden="1" outlineLevel="1" x14ac:dyDescent="0.25">
      <c r="B78" t="s">
        <v>447</v>
      </c>
      <c r="D78" s="762"/>
      <c r="E78" s="261"/>
      <c r="F78" s="261"/>
      <c r="G78" s="261"/>
      <c r="H78" s="261"/>
      <c r="I78" s="762">
        <f t="shared" si="19"/>
        <v>0</v>
      </c>
      <c r="J78" s="261"/>
      <c r="K78" s="261"/>
      <c r="L78" s="261"/>
      <c r="M78" s="261"/>
      <c r="N78" s="762"/>
      <c r="O78" s="284"/>
      <c r="P78" s="261"/>
      <c r="Q78" s="261"/>
      <c r="R78" s="261"/>
      <c r="S78" s="762"/>
      <c r="T78" s="261"/>
      <c r="U78" s="261"/>
      <c r="V78" s="261"/>
      <c r="W78" s="261"/>
      <c r="X78" s="762"/>
    </row>
    <row r="79" spans="2:24" hidden="1" outlineLevel="1" x14ac:dyDescent="0.25">
      <c r="B79" s="370" t="s">
        <v>448</v>
      </c>
      <c r="C79" t="s">
        <v>105</v>
      </c>
      <c r="D79" s="762">
        <f t="shared" si="14"/>
        <v>5.6066374778747559</v>
      </c>
      <c r="E79" s="261">
        <f t="shared" si="15"/>
        <v>5.6072590403311571</v>
      </c>
      <c r="F79" s="261">
        <f t="shared" si="16"/>
        <v>5.6078806716951508</v>
      </c>
      <c r="G79" s="261">
        <f t="shared" si="17"/>
        <v>5.6085023719743754</v>
      </c>
      <c r="H79" s="261">
        <f t="shared" si="18"/>
        <v>5.609124141176471</v>
      </c>
      <c r="I79" s="762">
        <f t="shared" si="19"/>
        <v>5.609745979309082</v>
      </c>
      <c r="J79" s="261">
        <f t="shared" si="20"/>
        <v>5.5937972826637354</v>
      </c>
      <c r="K79" s="261">
        <f t="shared" si="21"/>
        <v>5.5778939286997904</v>
      </c>
      <c r="L79" s="261">
        <f t="shared" si="22"/>
        <v>5.5620357885064777</v>
      </c>
      <c r="M79" s="261">
        <f t="shared" si="23"/>
        <v>5.5462227335395253</v>
      </c>
      <c r="N79" s="762">
        <f t="shared" si="24"/>
        <v>5.5304546356201172</v>
      </c>
      <c r="O79" s="284">
        <f t="shared" si="25"/>
        <v>5.5206017042446556</v>
      </c>
      <c r="P79" s="261">
        <f t="shared" si="26"/>
        <v>5.5107663266261788</v>
      </c>
      <c r="Q79" s="261">
        <f t="shared" si="27"/>
        <v>5.5009484714913155</v>
      </c>
      <c r="R79" s="261">
        <f t="shared" si="28"/>
        <v>5.4911481076224096</v>
      </c>
      <c r="S79" s="762">
        <f t="shared" si="29"/>
        <v>5.4813652038574219</v>
      </c>
      <c r="T79" s="261">
        <f t="shared" si="30"/>
        <v>5.480037141188097</v>
      </c>
      <c r="U79" s="261">
        <f t="shared" si="31"/>
        <v>5.4787094002908834</v>
      </c>
      <c r="V79" s="261">
        <f t="shared" si="32"/>
        <v>5.4773819810878193</v>
      </c>
      <c r="W79" s="261">
        <f t="shared" si="33"/>
        <v>5.4760548835009635</v>
      </c>
      <c r="X79" s="762">
        <f t="shared" si="34"/>
        <v>5.4747281074523926</v>
      </c>
    </row>
    <row r="80" spans="2:24" hidden="1" outlineLevel="1" x14ac:dyDescent="0.25">
      <c r="B80" s="370" t="s">
        <v>24</v>
      </c>
      <c r="C80" t="s">
        <v>105</v>
      </c>
      <c r="D80" s="762">
        <f t="shared" si="14"/>
        <v>4.703789234161377</v>
      </c>
      <c r="E80" s="261">
        <f t="shared" si="15"/>
        <v>4.5643640489560218</v>
      </c>
      <c r="F80" s="261">
        <f t="shared" si="16"/>
        <v>4.429071570660315</v>
      </c>
      <c r="G80" s="261">
        <f t="shared" si="17"/>
        <v>4.2977893015606918</v>
      </c>
      <c r="H80" s="261">
        <f t="shared" si="18"/>
        <v>4.1703983749027023</v>
      </c>
      <c r="I80" s="762">
        <f t="shared" si="19"/>
        <v>4.046783447265625</v>
      </c>
      <c r="J80" s="261">
        <f t="shared" si="20"/>
        <v>3.9821393194020924</v>
      </c>
      <c r="K80" s="261">
        <f t="shared" si="21"/>
        <v>3.9185278297614081</v>
      </c>
      <c r="L80" s="261">
        <f t="shared" si="22"/>
        <v>3.8559324827741444</v>
      </c>
      <c r="M80" s="261">
        <f t="shared" si="23"/>
        <v>3.7943370463743968</v>
      </c>
      <c r="N80" s="762">
        <f t="shared" si="24"/>
        <v>3.7337255477905273</v>
      </c>
      <c r="O80" s="284">
        <f t="shared" si="25"/>
        <v>3.7046670906150916</v>
      </c>
      <c r="P80" s="261">
        <f t="shared" si="26"/>
        <v>3.6758347866270311</v>
      </c>
      <c r="Q80" s="261">
        <f t="shared" si="27"/>
        <v>3.6472268757444577</v>
      </c>
      <c r="R80" s="261">
        <f t="shared" si="28"/>
        <v>3.6188416115836692</v>
      </c>
      <c r="S80" s="762">
        <f t="shared" si="29"/>
        <v>3.5906772613525391</v>
      </c>
      <c r="T80" s="261">
        <f t="shared" si="30"/>
        <v>3.5665214903720264</v>
      </c>
      <c r="U80" s="261">
        <f t="shared" si="31"/>
        <v>3.5425282239078464</v>
      </c>
      <c r="V80" s="261">
        <f t="shared" si="32"/>
        <v>3.5186963687339601</v>
      </c>
      <c r="W80" s="261">
        <f t="shared" si="33"/>
        <v>3.4950248389788512</v>
      </c>
      <c r="X80" s="762">
        <f t="shared" si="34"/>
        <v>3.4715125560760498</v>
      </c>
    </row>
    <row r="81" spans="1:24" hidden="1" outlineLevel="1" x14ac:dyDescent="0.25">
      <c r="B81" t="s">
        <v>449</v>
      </c>
      <c r="C81" t="s">
        <v>105</v>
      </c>
      <c r="D81" s="762">
        <f t="shared" si="14"/>
        <v>8.3987522125244141</v>
      </c>
      <c r="E81" s="261">
        <f t="shared" si="15"/>
        <v>8.4438025512637847</v>
      </c>
      <c r="F81" s="261">
        <f t="shared" si="16"/>
        <v>8.4890945369727504</v>
      </c>
      <c r="G81" s="261">
        <f t="shared" si="17"/>
        <v>8.53462946582931</v>
      </c>
      <c r="H81" s="261">
        <f t="shared" si="18"/>
        <v>8.5804086409640732</v>
      </c>
      <c r="I81" s="762">
        <f t="shared" si="19"/>
        <v>8.6264333724975586</v>
      </c>
      <c r="J81" s="261">
        <f t="shared" si="20"/>
        <v>8.62659129518212</v>
      </c>
      <c r="K81" s="261">
        <f t="shared" si="21"/>
        <v>8.6267492207577465</v>
      </c>
      <c r="L81" s="261">
        <f t="shared" si="22"/>
        <v>8.6269071492244898</v>
      </c>
      <c r="M81" s="261">
        <f t="shared" si="23"/>
        <v>8.627065080582403</v>
      </c>
      <c r="N81" s="762">
        <f t="shared" si="24"/>
        <v>8.627223014831543</v>
      </c>
      <c r="O81" s="284">
        <f t="shared" si="25"/>
        <v>8.6265770898701959</v>
      </c>
      <c r="P81" s="261">
        <f t="shared" si="26"/>
        <v>8.6259312132696078</v>
      </c>
      <c r="Q81" s="261">
        <f t="shared" si="27"/>
        <v>8.6252853850261584</v>
      </c>
      <c r="R81" s="261">
        <f t="shared" si="28"/>
        <v>8.6246396051362257</v>
      </c>
      <c r="S81" s="762">
        <f t="shared" si="29"/>
        <v>8.6239938735961914</v>
      </c>
      <c r="T81" s="261">
        <f t="shared" si="30"/>
        <v>8.6234315138824922</v>
      </c>
      <c r="U81" s="261">
        <f t="shared" si="31"/>
        <v>8.6228691908395572</v>
      </c>
      <c r="V81" s="261">
        <f t="shared" si="32"/>
        <v>8.6223069044649954</v>
      </c>
      <c r="W81" s="261">
        <f t="shared" si="33"/>
        <v>8.6217446547564158</v>
      </c>
      <c r="X81" s="762">
        <f t="shared" si="34"/>
        <v>8.6211824417114258</v>
      </c>
    </row>
    <row r="82" spans="1:24" hidden="1" outlineLevel="1" x14ac:dyDescent="0.25">
      <c r="D82" s="762"/>
      <c r="E82" s="261"/>
      <c r="F82" s="261"/>
      <c r="G82" s="261"/>
      <c r="H82" s="261"/>
      <c r="I82" s="762"/>
      <c r="J82" s="261"/>
      <c r="K82" s="261"/>
      <c r="L82" s="261"/>
      <c r="M82" s="261"/>
      <c r="N82" s="99"/>
      <c r="O82" s="284"/>
      <c r="P82" s="261"/>
      <c r="Q82" s="261"/>
      <c r="R82" s="261"/>
      <c r="S82" s="762"/>
      <c r="T82" s="261"/>
      <c r="U82" s="261"/>
      <c r="V82" s="261"/>
      <c r="W82" s="261"/>
      <c r="X82" s="762">
        <f t="shared" si="34"/>
        <v>0</v>
      </c>
    </row>
    <row r="83" spans="1:24" hidden="1" outlineLevel="1" x14ac:dyDescent="0.25">
      <c r="B83" t="s">
        <v>81</v>
      </c>
      <c r="C83" t="s">
        <v>105</v>
      </c>
      <c r="D83" s="261">
        <f>SUM(D49:D81)</f>
        <v>175.93325850367546</v>
      </c>
      <c r="E83" s="261">
        <f t="shared" ref="E83:X83" si="35">SUM(E49:E81)</f>
        <v>172.23969253923943</v>
      </c>
      <c r="F83" s="261">
        <f t="shared" si="35"/>
        <v>169.73590844769566</v>
      </c>
      <c r="G83" s="261">
        <f t="shared" si="35"/>
        <v>168.13601097112112</v>
      </c>
      <c r="H83" s="261">
        <f t="shared" si="35"/>
        <v>167.22548443335833</v>
      </c>
      <c r="I83" s="261">
        <f t="shared" si="35"/>
        <v>166.84340626001358</v>
      </c>
      <c r="J83" s="261">
        <f t="shared" si="35"/>
        <v>166.04583319289264</v>
      </c>
      <c r="K83" s="261">
        <f t="shared" si="35"/>
        <v>165.30594488135858</v>
      </c>
      <c r="L83" s="261">
        <f t="shared" si="35"/>
        <v>164.62265427020787</v>
      </c>
      <c r="M83" s="261">
        <f t="shared" si="35"/>
        <v>163.99497768372871</v>
      </c>
      <c r="N83" s="261">
        <f t="shared" si="35"/>
        <v>163.3641219586134</v>
      </c>
      <c r="O83" s="284">
        <f t="shared" si="35"/>
        <v>163.46341935887818</v>
      </c>
      <c r="P83" s="261">
        <f t="shared" si="35"/>
        <v>163.64167490988865</v>
      </c>
      <c r="Q83" s="261">
        <f t="shared" si="35"/>
        <v>163.90029020384674</v>
      </c>
      <c r="R83" s="261">
        <f t="shared" si="35"/>
        <v>164.2408723030978</v>
      </c>
      <c r="S83" s="261">
        <f t="shared" si="35"/>
        <v>164.66524735465646</v>
      </c>
      <c r="T83" s="261">
        <f t="shared" si="35"/>
        <v>164.33917352086846</v>
      </c>
      <c r="U83" s="261">
        <f t="shared" si="35"/>
        <v>164.07693523141242</v>
      </c>
      <c r="V83" s="261">
        <f t="shared" si="35"/>
        <v>163.87693964393245</v>
      </c>
      <c r="W83" s="261">
        <f t="shared" si="35"/>
        <v>163.73767004398849</v>
      </c>
      <c r="X83" s="261">
        <f t="shared" si="35"/>
        <v>163.65768308565021</v>
      </c>
    </row>
    <row r="84" spans="1:24" hidden="1" collapsed="1" x14ac:dyDescent="0.25"/>
    <row r="85" spans="1:24" hidden="1" x14ac:dyDescent="0.25"/>
    <row r="86" spans="1:24" hidden="1" x14ac:dyDescent="0.25"/>
    <row r="87" spans="1:24" x14ac:dyDescent="0.25">
      <c r="A87" s="157" t="s">
        <v>455</v>
      </c>
    </row>
    <row r="88" spans="1:24" hidden="1" x14ac:dyDescent="0.25"/>
    <row r="89" spans="1:24" x14ac:dyDescent="0.25">
      <c r="A89" s="184"/>
      <c r="B89" s="1155"/>
      <c r="C89" s="764"/>
      <c r="D89" s="364">
        <v>2010</v>
      </c>
      <c r="E89" s="764">
        <v>2011</v>
      </c>
      <c r="F89" s="764">
        <v>2012</v>
      </c>
      <c r="G89" s="764">
        <v>2013</v>
      </c>
      <c r="H89" s="764">
        <v>2014</v>
      </c>
      <c r="I89" s="364">
        <v>2015</v>
      </c>
      <c r="J89">
        <v>2016</v>
      </c>
      <c r="K89">
        <v>2017</v>
      </c>
      <c r="L89">
        <v>2018</v>
      </c>
      <c r="M89">
        <v>2019</v>
      </c>
      <c r="N89" s="157">
        <v>2020</v>
      </c>
      <c r="O89" s="285">
        <v>2021</v>
      </c>
      <c r="P89">
        <v>2022</v>
      </c>
      <c r="Q89">
        <v>2023</v>
      </c>
      <c r="R89">
        <v>2024</v>
      </c>
      <c r="S89" s="157">
        <v>2025</v>
      </c>
      <c r="T89">
        <v>2026</v>
      </c>
      <c r="U89">
        <v>2027</v>
      </c>
      <c r="V89">
        <v>2028</v>
      </c>
      <c r="W89">
        <v>2029</v>
      </c>
      <c r="X89" s="157">
        <v>2030</v>
      </c>
    </row>
    <row r="90" spans="1:24" ht="12.75" customHeight="1" outlineLevel="1" x14ac:dyDescent="0.25">
      <c r="A90" s="1618" t="s">
        <v>779</v>
      </c>
      <c r="B90" t="s">
        <v>430</v>
      </c>
      <c r="D90" s="157">
        <v>2010</v>
      </c>
      <c r="E90">
        <v>2011</v>
      </c>
      <c r="F90">
        <v>2012</v>
      </c>
      <c r="G90">
        <v>2013</v>
      </c>
      <c r="H90">
        <v>2014</v>
      </c>
      <c r="I90" s="157">
        <v>2015</v>
      </c>
      <c r="J90">
        <v>2016</v>
      </c>
      <c r="K90">
        <v>2017</v>
      </c>
      <c r="L90">
        <v>2018</v>
      </c>
      <c r="M90">
        <v>2019</v>
      </c>
      <c r="N90" s="157">
        <v>2020</v>
      </c>
      <c r="O90" s="285">
        <v>2021</v>
      </c>
      <c r="P90">
        <v>2022</v>
      </c>
      <c r="Q90">
        <v>2023</v>
      </c>
      <c r="R90">
        <v>2024</v>
      </c>
      <c r="S90" s="157">
        <v>2025</v>
      </c>
      <c r="T90">
        <v>2026</v>
      </c>
      <c r="U90">
        <v>2027</v>
      </c>
      <c r="V90">
        <v>2028</v>
      </c>
      <c r="W90">
        <v>2029</v>
      </c>
      <c r="X90" s="157">
        <v>2030</v>
      </c>
    </row>
    <row r="91" spans="1:24" x14ac:dyDescent="0.25">
      <c r="B91" s="1269" t="s">
        <v>1</v>
      </c>
      <c r="C91" s="764"/>
      <c r="D91" s="764"/>
      <c r="E91" s="764"/>
      <c r="F91" s="764"/>
      <c r="G91" s="764"/>
      <c r="H91" s="764"/>
      <c r="I91" s="764"/>
    </row>
    <row r="92" spans="1:24" x14ac:dyDescent="0.25">
      <c r="A92" s="906" t="s">
        <v>488</v>
      </c>
      <c r="B92" s="1555" t="s">
        <v>431</v>
      </c>
      <c r="C92" s="764" t="s">
        <v>105</v>
      </c>
      <c r="D92" s="1543">
        <f>D49</f>
        <v>18.467643737792969</v>
      </c>
      <c r="E92" s="1543">
        <f t="shared" ref="E92:X92" si="36">E49</f>
        <v>13.863507775003447</v>
      </c>
      <c r="F92" s="1543">
        <f t="shared" si="36"/>
        <v>10.407220897068814</v>
      </c>
      <c r="G92" s="1543">
        <f t="shared" si="36"/>
        <v>7.8126148560809598</v>
      </c>
      <c r="H92" s="1543">
        <f t="shared" si="36"/>
        <v>5.8648655095471192</v>
      </c>
      <c r="I92" s="1543">
        <f t="shared" si="36"/>
        <v>4.4027061462402344</v>
      </c>
      <c r="J92" s="261">
        <f t="shared" si="36"/>
        <v>4.1179912375710792</v>
      </c>
      <c r="K92" s="261">
        <f t="shared" si="36"/>
        <v>3.8516883183751962</v>
      </c>
      <c r="L92" s="261">
        <f t="shared" si="36"/>
        <v>3.6026067191581479</v>
      </c>
      <c r="M92" s="261">
        <f t="shared" si="36"/>
        <v>3.3696327688317282</v>
      </c>
      <c r="N92" s="261">
        <f t="shared" si="36"/>
        <v>3.1517248153686523</v>
      </c>
      <c r="O92" s="284">
        <f t="shared" si="36"/>
        <v>3.4206507935681891</v>
      </c>
      <c r="P92" s="261">
        <f t="shared" si="36"/>
        <v>3.7125233124675741</v>
      </c>
      <c r="Q92" s="261">
        <f t="shared" si="36"/>
        <v>4.0293003224798349</v>
      </c>
      <c r="R92" s="261">
        <f t="shared" si="36"/>
        <v>4.3731068392793846</v>
      </c>
      <c r="S92" s="261">
        <f t="shared" si="36"/>
        <v>4.7462491989135742</v>
      </c>
      <c r="T92" s="261">
        <f t="shared" si="36"/>
        <v>4.5497419455747279</v>
      </c>
      <c r="U92" s="261">
        <f t="shared" si="36"/>
        <v>4.3613706115684812</v>
      </c>
      <c r="V92" s="261">
        <f t="shared" si="36"/>
        <v>4.1807983483446565</v>
      </c>
      <c r="W92" s="261">
        <f t="shared" si="36"/>
        <v>4.0077022537727887</v>
      </c>
      <c r="X92" s="261">
        <f t="shared" si="36"/>
        <v>3.8417727947235107</v>
      </c>
    </row>
    <row r="93" spans="1:24" x14ac:dyDescent="0.25">
      <c r="A93" s="906" t="s">
        <v>488</v>
      </c>
      <c r="B93" s="1556" t="s">
        <v>432</v>
      </c>
      <c r="C93" s="764" t="s">
        <v>105</v>
      </c>
      <c r="D93" s="1543">
        <f t="shared" ref="D93:X93" si="37">D50</f>
        <v>6.7206611633300781</v>
      </c>
      <c r="E93" s="1543">
        <f t="shared" si="37"/>
        <v>6.7110260703594289</v>
      </c>
      <c r="F93" s="1543">
        <f t="shared" si="37"/>
        <v>6.7014047907643244</v>
      </c>
      <c r="G93" s="1543">
        <f t="shared" si="37"/>
        <v>6.6917973047411827</v>
      </c>
      <c r="H93" s="1543">
        <f t="shared" si="37"/>
        <v>6.6822035925148144</v>
      </c>
      <c r="I93" s="1543">
        <f t="shared" si="37"/>
        <v>6.6726236343383789</v>
      </c>
      <c r="J93" s="261">
        <f t="shared" si="37"/>
        <v>6.6275178635413914</v>
      </c>
      <c r="K93" s="261">
        <f t="shared" si="37"/>
        <v>6.5827169998799899</v>
      </c>
      <c r="L93" s="261">
        <f t="shared" si="37"/>
        <v>6.5382189822351711</v>
      </c>
      <c r="M93" s="261">
        <f t="shared" si="37"/>
        <v>6.4940217634207373</v>
      </c>
      <c r="N93" s="261">
        <f t="shared" si="37"/>
        <v>6.4501233100891113</v>
      </c>
      <c r="O93" s="284">
        <f t="shared" si="37"/>
        <v>6.3806906183709193</v>
      </c>
      <c r="P93" s="261">
        <f t="shared" si="37"/>
        <v>6.312005338515644</v>
      </c>
      <c r="Q93" s="261">
        <f t="shared" si="37"/>
        <v>6.244059424968964</v>
      </c>
      <c r="R93" s="261">
        <f t="shared" si="37"/>
        <v>6.1768449187833525</v>
      </c>
      <c r="S93" s="261">
        <f t="shared" si="37"/>
        <v>6.110353946685791</v>
      </c>
      <c r="T93" s="261">
        <f t="shared" si="37"/>
        <v>6.0200184968963066</v>
      </c>
      <c r="U93" s="261">
        <f t="shared" si="37"/>
        <v>5.9310185660570944</v>
      </c>
      <c r="V93" s="261">
        <f t="shared" si="37"/>
        <v>5.8433344098610114</v>
      </c>
      <c r="W93" s="261">
        <f t="shared" si="37"/>
        <v>5.7569465759006766</v>
      </c>
      <c r="X93" s="261">
        <f t="shared" si="37"/>
        <v>5.6718358993530273</v>
      </c>
    </row>
    <row r="94" spans="1:24" x14ac:dyDescent="0.25">
      <c r="A94" s="906" t="s">
        <v>488</v>
      </c>
      <c r="B94" s="1556" t="s">
        <v>433</v>
      </c>
      <c r="C94" s="764" t="s">
        <v>105</v>
      </c>
      <c r="D94" s="1543">
        <f t="shared" ref="D94:X94" si="38">D51</f>
        <v>0.82169580459594727</v>
      </c>
      <c r="E94" s="1543">
        <f t="shared" si="38"/>
        <v>0.85007456162170025</v>
      </c>
      <c r="F94" s="1543">
        <f t="shared" si="38"/>
        <v>0.8794334305645668</v>
      </c>
      <c r="G94" s="1543">
        <f t="shared" si="38"/>
        <v>0.90980626136974352</v>
      </c>
      <c r="H94" s="1543">
        <f t="shared" si="38"/>
        <v>0.94122807305176459</v>
      </c>
      <c r="I94" s="1543">
        <f t="shared" si="38"/>
        <v>0.97373509407043457</v>
      </c>
      <c r="J94" s="261">
        <f t="shared" si="38"/>
        <v>0.9635710992892661</v>
      </c>
      <c r="K94" s="261">
        <f t="shared" si="38"/>
        <v>0.95351319782910526</v>
      </c>
      <c r="L94" s="261">
        <f t="shared" si="38"/>
        <v>0.94356028227175637</v>
      </c>
      <c r="M94" s="261">
        <f t="shared" si="38"/>
        <v>0.93371125675842281</v>
      </c>
      <c r="N94" s="261">
        <f t="shared" si="38"/>
        <v>0.92396503686904907</v>
      </c>
      <c r="O94" s="284">
        <f t="shared" si="38"/>
        <v>0.9355064960598366</v>
      </c>
      <c r="P94" s="261">
        <f t="shared" si="38"/>
        <v>0.94719212226445826</v>
      </c>
      <c r="Q94" s="261">
        <f t="shared" si="38"/>
        <v>0.95902371630614924</v>
      </c>
      <c r="R94" s="261">
        <f t="shared" si="38"/>
        <v>0.97100310150264069</v>
      </c>
      <c r="S94" s="261">
        <f t="shared" si="38"/>
        <v>0.98313212394714355</v>
      </c>
      <c r="T94" s="261">
        <f t="shared" si="38"/>
        <v>0.98961747836037117</v>
      </c>
      <c r="U94" s="261">
        <f t="shared" si="38"/>
        <v>0.99614561422772951</v>
      </c>
      <c r="V94" s="261">
        <f t="shared" si="38"/>
        <v>1.0027168137624489</v>
      </c>
      <c r="W94" s="261">
        <f t="shared" si="38"/>
        <v>1.0093313610394143</v>
      </c>
      <c r="X94" s="261">
        <f t="shared" si="38"/>
        <v>1.0159895420074463</v>
      </c>
    </row>
    <row r="95" spans="1:24" x14ac:dyDescent="0.25">
      <c r="A95" s="906" t="s">
        <v>488</v>
      </c>
      <c r="B95" s="1556" t="s">
        <v>3</v>
      </c>
      <c r="C95" s="764" t="s">
        <v>105</v>
      </c>
      <c r="D95" s="1543">
        <f t="shared" ref="D95:X95" si="39">D52</f>
        <v>18.171916961669922</v>
      </c>
      <c r="E95" s="1543">
        <f t="shared" si="39"/>
        <v>18.289498615624773</v>
      </c>
      <c r="F95" s="1543">
        <f t="shared" si="39"/>
        <v>18.407841083387869</v>
      </c>
      <c r="G95" s="1543">
        <f t="shared" si="39"/>
        <v>18.526949287816063</v>
      </c>
      <c r="H95" s="1543">
        <f t="shared" si="39"/>
        <v>18.646828183619625</v>
      </c>
      <c r="I95" s="1543">
        <f t="shared" si="39"/>
        <v>18.767482757568359</v>
      </c>
      <c r="J95" s="261">
        <f t="shared" si="39"/>
        <v>18.937354427258434</v>
      </c>
      <c r="K95" s="261">
        <f t="shared" si="39"/>
        <v>19.108763670449228</v>
      </c>
      <c r="L95" s="261">
        <f t="shared" si="39"/>
        <v>19.281724404307006</v>
      </c>
      <c r="M95" s="261">
        <f t="shared" si="39"/>
        <v>19.456250671967627</v>
      </c>
      <c r="N95" s="261">
        <f t="shared" si="39"/>
        <v>19.632356643676758</v>
      </c>
      <c r="O95" s="284">
        <f t="shared" si="39"/>
        <v>20.098378127975682</v>
      </c>
      <c r="P95" s="261">
        <f t="shared" si="39"/>
        <v>20.575461759716703</v>
      </c>
      <c r="Q95" s="261">
        <f t="shared" si="39"/>
        <v>21.063870125733587</v>
      </c>
      <c r="R95" s="261">
        <f t="shared" si="39"/>
        <v>21.563872045993921</v>
      </c>
      <c r="S95" s="261">
        <f t="shared" si="39"/>
        <v>22.075742721557617</v>
      </c>
      <c r="T95" s="261">
        <f t="shared" si="39"/>
        <v>22.410623541402803</v>
      </c>
      <c r="U95" s="261">
        <f t="shared" si="39"/>
        <v>22.75058437893594</v>
      </c>
      <c r="V95" s="261">
        <f t="shared" si="39"/>
        <v>23.095702296139027</v>
      </c>
      <c r="W95" s="261">
        <f t="shared" si="39"/>
        <v>23.44605552399571</v>
      </c>
      <c r="X95" s="261">
        <f t="shared" si="39"/>
        <v>23.801723480224609</v>
      </c>
    </row>
    <row r="96" spans="1:24" x14ac:dyDescent="0.25">
      <c r="A96" s="906" t="s">
        <v>488</v>
      </c>
      <c r="B96" s="1556" t="s">
        <v>4</v>
      </c>
      <c r="C96" s="764" t="s">
        <v>105</v>
      </c>
      <c r="D96" s="1543">
        <f t="shared" ref="D96:X96" si="40">D53</f>
        <v>0.48644736409187317</v>
      </c>
      <c r="E96" s="1543">
        <f t="shared" si="40"/>
        <v>0.49879695383871586</v>
      </c>
      <c r="F96" s="1543">
        <f t="shared" si="40"/>
        <v>0.51146006644162345</v>
      </c>
      <c r="G96" s="1543">
        <f t="shared" si="40"/>
        <v>0.52444466140235191</v>
      </c>
      <c r="H96" s="1543">
        <f t="shared" si="40"/>
        <v>0.537758900292991</v>
      </c>
      <c r="I96" s="1543">
        <f t="shared" si="40"/>
        <v>0.55141115188598633</v>
      </c>
      <c r="J96" s="261">
        <f t="shared" si="40"/>
        <v>0.56038467631529409</v>
      </c>
      <c r="K96" s="261">
        <f t="shared" si="40"/>
        <v>0.56950423359215663</v>
      </c>
      <c r="L96" s="261">
        <f t="shared" si="40"/>
        <v>0.57877220021788434</v>
      </c>
      <c r="M96" s="261">
        <f t="shared" si="40"/>
        <v>0.58819099136836372</v>
      </c>
      <c r="N96" s="261">
        <f t="shared" si="40"/>
        <v>0.5977630615234375</v>
      </c>
      <c r="O96" s="284">
        <f t="shared" si="40"/>
        <v>0.6120038242035265</v>
      </c>
      <c r="P96" s="261">
        <f t="shared" si="40"/>
        <v>0.6265838506065925</v>
      </c>
      <c r="Q96" s="261">
        <f t="shared" si="40"/>
        <v>0.64151122315605025</v>
      </c>
      <c r="R96" s="261">
        <f t="shared" si="40"/>
        <v>0.65679421682631189</v>
      </c>
      <c r="S96" s="261">
        <f t="shared" si="40"/>
        <v>0.67244130373001099</v>
      </c>
      <c r="T96" s="261">
        <f t="shared" si="40"/>
        <v>0.68811244563786866</v>
      </c>
      <c r="U96" s="261">
        <f t="shared" si="40"/>
        <v>0.70414880111505052</v>
      </c>
      <c r="V96" s="261">
        <f t="shared" si="40"/>
        <v>0.72055888140802482</v>
      </c>
      <c r="W96" s="261">
        <f t="shared" si="40"/>
        <v>0.73735139611655931</v>
      </c>
      <c r="X96" s="261">
        <f t="shared" si="40"/>
        <v>0.7545352578163147</v>
      </c>
    </row>
    <row r="97" spans="1:29" x14ac:dyDescent="0.25">
      <c r="A97" s="906" t="s">
        <v>488</v>
      </c>
      <c r="B97" s="1557" t="s">
        <v>434</v>
      </c>
      <c r="C97" s="764" t="s">
        <v>105</v>
      </c>
      <c r="D97" s="1543">
        <f t="shared" ref="D97:X97" si="41">D54</f>
        <v>10.908831596374512</v>
      </c>
      <c r="E97" s="1543">
        <f t="shared" si="41"/>
        <v>11.276367120165792</v>
      </c>
      <c r="F97" s="1543">
        <f t="shared" si="41"/>
        <v>11.656285488082508</v>
      </c>
      <c r="G97" s="1543">
        <f t="shared" si="41"/>
        <v>12.049003897425898</v>
      </c>
      <c r="H97" s="1543">
        <f t="shared" si="41"/>
        <v>12.45495360152394</v>
      </c>
      <c r="I97" s="1543">
        <f t="shared" si="41"/>
        <v>12.874580383300781</v>
      </c>
      <c r="J97" s="261">
        <f t="shared" si="41"/>
        <v>12.653863215793653</v>
      </c>
      <c r="K97" s="261">
        <f t="shared" si="41"/>
        <v>12.436929943884051</v>
      </c>
      <c r="L97" s="261">
        <f t="shared" si="41"/>
        <v>12.223715697829151</v>
      </c>
      <c r="M97" s="261">
        <f t="shared" si="41"/>
        <v>12.014156719989629</v>
      </c>
      <c r="N97" s="261">
        <f t="shared" si="41"/>
        <v>11.80819034576416</v>
      </c>
      <c r="O97" s="284">
        <f t="shared" si="41"/>
        <v>11.943362423161521</v>
      </c>
      <c r="P97" s="261">
        <f t="shared" si="41"/>
        <v>12.080081857941588</v>
      </c>
      <c r="Q97" s="261">
        <f t="shared" si="41"/>
        <v>12.218366363192123</v>
      </c>
      <c r="R97" s="261">
        <f t="shared" si="41"/>
        <v>12.358233854768185</v>
      </c>
      <c r="S97" s="261">
        <f t="shared" si="41"/>
        <v>12.499702453613281</v>
      </c>
      <c r="T97" s="261">
        <f t="shared" si="41"/>
        <v>12.642246522971467</v>
      </c>
      <c r="U97" s="261">
        <f t="shared" si="41"/>
        <v>12.786416135960359</v>
      </c>
      <c r="V97" s="261">
        <f t="shared" si="41"/>
        <v>12.932229829949538</v>
      </c>
      <c r="W97" s="261">
        <f t="shared" si="41"/>
        <v>13.079706353704987</v>
      </c>
      <c r="X97" s="261">
        <f t="shared" si="41"/>
        <v>13.228864669799805</v>
      </c>
      <c r="AC97">
        <v>3.8417727947235107</v>
      </c>
    </row>
    <row r="98" spans="1:29" x14ac:dyDescent="0.25">
      <c r="A98" s="906" t="s">
        <v>488</v>
      </c>
      <c r="B98" s="1557" t="s">
        <v>5</v>
      </c>
      <c r="C98" s="764" t="s">
        <v>105</v>
      </c>
      <c r="D98" s="1543">
        <f t="shared" ref="D98:X98" si="42">D55</f>
        <v>18.840667724609375</v>
      </c>
      <c r="E98" s="1543">
        <f t="shared" si="42"/>
        <v>19.196622856845398</v>
      </c>
      <c r="F98" s="1543">
        <f t="shared" si="42"/>
        <v>19.559303019107805</v>
      </c>
      <c r="G98" s="1543">
        <f t="shared" si="42"/>
        <v>19.92883526681668</v>
      </c>
      <c r="H98" s="1543">
        <f t="shared" si="42"/>
        <v>20.30534905583934</v>
      </c>
      <c r="I98" s="1543">
        <f t="shared" si="42"/>
        <v>20.688976287841797</v>
      </c>
      <c r="J98" s="261">
        <f t="shared" si="42"/>
        <v>20.422642645017184</v>
      </c>
      <c r="K98" s="261">
        <f t="shared" si="42"/>
        <v>20.159737572476249</v>
      </c>
      <c r="L98" s="261">
        <f t="shared" si="42"/>
        <v>19.9002169334961</v>
      </c>
      <c r="M98" s="261">
        <f t="shared" si="42"/>
        <v>19.644037159535376</v>
      </c>
      <c r="N98" s="261">
        <f t="shared" si="42"/>
        <v>19.391155242919922</v>
      </c>
      <c r="O98" s="284">
        <f t="shared" si="42"/>
        <v>19.056194210768368</v>
      </c>
      <c r="P98" s="261">
        <f t="shared" si="42"/>
        <v>18.727019264677931</v>
      </c>
      <c r="Q98" s="261">
        <f t="shared" si="42"/>
        <v>18.403530456330174</v>
      </c>
      <c r="R98" s="261">
        <f t="shared" si="42"/>
        <v>18.085629563904714</v>
      </c>
      <c r="S98" s="261">
        <f t="shared" si="42"/>
        <v>17.773220062255859</v>
      </c>
      <c r="T98" s="261">
        <f t="shared" si="42"/>
        <v>17.699563687753123</v>
      </c>
      <c r="U98" s="261">
        <f t="shared" si="42"/>
        <v>17.626212562467234</v>
      </c>
      <c r="V98" s="261">
        <f t="shared" si="42"/>
        <v>17.553165421374157</v>
      </c>
      <c r="W98" s="261">
        <f t="shared" si="42"/>
        <v>17.480421004692406</v>
      </c>
      <c r="X98" s="261">
        <f t="shared" si="42"/>
        <v>17.407978057861328</v>
      </c>
    </row>
    <row r="99" spans="1:29" x14ac:dyDescent="0.25">
      <c r="A99" s="906" t="s">
        <v>488</v>
      </c>
      <c r="B99" s="1556" t="s">
        <v>435</v>
      </c>
      <c r="C99" s="764" t="s">
        <v>105</v>
      </c>
      <c r="D99" s="1543">
        <f t="shared" ref="D99:X99" si="43">D56</f>
        <v>1.0326658487319946</v>
      </c>
      <c r="E99" s="1543">
        <f t="shared" si="43"/>
        <v>1.055411794127787</v>
      </c>
      <c r="F99" s="1543">
        <f t="shared" si="43"/>
        <v>1.0786587515717494</v>
      </c>
      <c r="G99" s="1543">
        <f t="shared" si="43"/>
        <v>1.1024177565723225</v>
      </c>
      <c r="H99" s="1543">
        <f t="shared" si="43"/>
        <v>1.1267000877108377</v>
      </c>
      <c r="I99" s="1543">
        <f t="shared" si="43"/>
        <v>1.1515172719955444</v>
      </c>
      <c r="J99" s="261">
        <f t="shared" si="43"/>
        <v>1.1661090230894673</v>
      </c>
      <c r="K99" s="261">
        <f t="shared" si="43"/>
        <v>1.1808856773586747</v>
      </c>
      <c r="L99" s="261">
        <f t="shared" si="43"/>
        <v>1.1958495778519214</v>
      </c>
      <c r="M99" s="261">
        <f t="shared" si="43"/>
        <v>1.2110030973085149</v>
      </c>
      <c r="N99" s="261">
        <f t="shared" si="43"/>
        <v>1.2263486385345459</v>
      </c>
      <c r="O99" s="284">
        <f t="shared" si="43"/>
        <v>1.2499689226245012</v>
      </c>
      <c r="P99" s="261">
        <f t="shared" si="43"/>
        <v>1.2740441489739081</v>
      </c>
      <c r="Q99" s="261">
        <f t="shared" si="43"/>
        <v>1.2985830800709164</v>
      </c>
      <c r="R99" s="261">
        <f t="shared" si="43"/>
        <v>1.3235946471749804</v>
      </c>
      <c r="S99" s="261">
        <f t="shared" si="43"/>
        <v>1.3490879535675049</v>
      </c>
      <c r="T99" s="261">
        <f t="shared" si="43"/>
        <v>1.3739519867873742</v>
      </c>
      <c r="U99" s="261">
        <f t="shared" si="43"/>
        <v>1.3992742704469749</v>
      </c>
      <c r="V99" s="261">
        <f t="shared" si="43"/>
        <v>1.4250632502181602</v>
      </c>
      <c r="W99" s="261">
        <f t="shared" si="43"/>
        <v>1.4513275274286574</v>
      </c>
      <c r="X99" s="261">
        <f t="shared" si="43"/>
        <v>1.4780758619308472</v>
      </c>
    </row>
    <row r="100" spans="1:29" x14ac:dyDescent="0.25">
      <c r="A100" s="906"/>
      <c r="B100" s="1269" t="s">
        <v>436</v>
      </c>
      <c r="C100" s="764"/>
      <c r="D100" s="1543"/>
      <c r="E100" s="1543"/>
      <c r="F100" s="1543"/>
      <c r="G100" s="1543"/>
      <c r="H100" s="1543"/>
      <c r="I100" s="1543"/>
      <c r="J100" s="261"/>
      <c r="K100" s="261"/>
      <c r="L100" s="261"/>
      <c r="M100" s="261"/>
      <c r="N100" s="261"/>
      <c r="O100" s="284"/>
      <c r="P100" s="261"/>
      <c r="Q100" s="261"/>
      <c r="R100" s="261"/>
      <c r="S100" s="261"/>
      <c r="T100" s="261"/>
      <c r="U100" s="261"/>
      <c r="V100" s="261"/>
      <c r="W100" s="261"/>
      <c r="X100" s="261"/>
    </row>
    <row r="101" spans="1:29" x14ac:dyDescent="0.25">
      <c r="A101" s="103" t="s">
        <v>456</v>
      </c>
      <c r="B101" s="1558" t="s">
        <v>437</v>
      </c>
      <c r="C101" s="764" t="s">
        <v>105</v>
      </c>
      <c r="D101" s="1543">
        <f t="shared" ref="D101:X101" si="44">D58</f>
        <v>1.8933596611022949</v>
      </c>
      <c r="E101" s="1543">
        <f t="shared" si="44"/>
        <v>1.8520562965232965</v>
      </c>
      <c r="F101" s="1543">
        <f t="shared" si="44"/>
        <v>1.8116539588123537</v>
      </c>
      <c r="G101" s="1543">
        <f t="shared" si="44"/>
        <v>1.7721329921998885</v>
      </c>
      <c r="H101" s="1543">
        <f t="shared" si="44"/>
        <v>1.7334741697040665</v>
      </c>
      <c r="I101" s="1543">
        <f t="shared" si="44"/>
        <v>1.6956586837768555</v>
      </c>
      <c r="J101" s="261">
        <f t="shared" si="44"/>
        <v>1.7086813572735513</v>
      </c>
      <c r="K101" s="261">
        <f t="shared" si="44"/>
        <v>1.7218040450164065</v>
      </c>
      <c r="L101" s="261">
        <f t="shared" si="44"/>
        <v>1.7350275151157049</v>
      </c>
      <c r="M101" s="261">
        <f t="shared" si="44"/>
        <v>1.7483525415808239</v>
      </c>
      <c r="N101" s="261">
        <f t="shared" si="44"/>
        <v>1.7617799043655396</v>
      </c>
      <c r="O101" s="284">
        <f t="shared" si="44"/>
        <v>1.8088455707376501</v>
      </c>
      <c r="P101" s="261">
        <f t="shared" si="44"/>
        <v>1.8571685888059413</v>
      </c>
      <c r="Q101" s="261">
        <f t="shared" si="44"/>
        <v>1.9067825485184526</v>
      </c>
      <c r="R101" s="261">
        <f t="shared" si="44"/>
        <v>1.9577219371732753</v>
      </c>
      <c r="S101" s="261">
        <f t="shared" si="44"/>
        <v>2.0100221633911133</v>
      </c>
      <c r="T101" s="261">
        <f t="shared" si="44"/>
        <v>2.0633462698849883</v>
      </c>
      <c r="U101" s="261">
        <f t="shared" si="44"/>
        <v>2.1180850176625059</v>
      </c>
      <c r="V101" s="261">
        <f t="shared" si="44"/>
        <v>2.1742759359031121</v>
      </c>
      <c r="W101" s="261">
        <f t="shared" si="44"/>
        <v>2.2319575494021207</v>
      </c>
      <c r="X101" s="261">
        <f t="shared" si="44"/>
        <v>2.2911694049835205</v>
      </c>
    </row>
    <row r="102" spans="1:29" x14ac:dyDescent="0.25">
      <c r="A102" s="906" t="s">
        <v>488</v>
      </c>
      <c r="B102" s="1555" t="s">
        <v>438</v>
      </c>
      <c r="C102" s="764" t="s">
        <v>105</v>
      </c>
      <c r="D102" s="1543">
        <f t="shared" ref="D102:X102" si="45">D59</f>
        <v>31.043977737426758</v>
      </c>
      <c r="E102" s="1543">
        <f t="shared" si="45"/>
        <v>31.238174051491061</v>
      </c>
      <c r="F102" s="1543">
        <f t="shared" si="45"/>
        <v>31.43358516504772</v>
      </c>
      <c r="G102" s="1543">
        <f t="shared" si="45"/>
        <v>31.630218677302796</v>
      </c>
      <c r="H102" s="1543">
        <f t="shared" si="45"/>
        <v>31.828082234999357</v>
      </c>
      <c r="I102" s="1543">
        <f t="shared" si="45"/>
        <v>32.027183532714844</v>
      </c>
      <c r="J102" s="261">
        <f t="shared" si="45"/>
        <v>31.364894452241295</v>
      </c>
      <c r="K102" s="261">
        <f t="shared" si="45"/>
        <v>30.716300825995447</v>
      </c>
      <c r="L102" s="261">
        <f t="shared" si="45"/>
        <v>30.081119446127385</v>
      </c>
      <c r="M102" s="261">
        <f t="shared" si="45"/>
        <v>29.459072961233058</v>
      </c>
      <c r="N102" s="261">
        <f t="shared" si="45"/>
        <v>28.849889755249023</v>
      </c>
      <c r="O102" s="284">
        <f t="shared" si="45"/>
        <v>27.944684500842619</v>
      </c>
      <c r="P102" s="261">
        <f t="shared" si="45"/>
        <v>27.067881315198225</v>
      </c>
      <c r="Q102" s="261">
        <f t="shared" si="45"/>
        <v>26.218589044065425</v>
      </c>
      <c r="R102" s="261">
        <f t="shared" si="45"/>
        <v>25.395944494392854</v>
      </c>
      <c r="S102" s="261">
        <f t="shared" si="45"/>
        <v>24.599111557006836</v>
      </c>
      <c r="T102" s="261">
        <f t="shared" si="45"/>
        <v>23.6366178259618</v>
      </c>
      <c r="U102" s="261">
        <f t="shared" si="45"/>
        <v>22.71178375511035</v>
      </c>
      <c r="V102" s="261">
        <f t="shared" si="45"/>
        <v>21.823135828355547</v>
      </c>
      <c r="W102" s="261">
        <f t="shared" si="45"/>
        <v>20.969258184121944</v>
      </c>
      <c r="X102" s="261">
        <f t="shared" si="45"/>
        <v>20.14879035949707</v>
      </c>
    </row>
    <row r="103" spans="1:29" x14ac:dyDescent="0.25">
      <c r="A103" s="906" t="s">
        <v>488</v>
      </c>
      <c r="B103" s="1555" t="s">
        <v>439</v>
      </c>
      <c r="C103" s="764" t="s">
        <v>105</v>
      </c>
      <c r="D103" s="1543">
        <f t="shared" ref="D103:X103" si="46">D60</f>
        <v>18.393918991088867</v>
      </c>
      <c r="E103" s="1543">
        <f t="shared" si="46"/>
        <v>18.425950258445223</v>
      </c>
      <c r="F103" s="1543">
        <f t="shared" si="46"/>
        <v>18.458037305219165</v>
      </c>
      <c r="G103" s="1543">
        <f t="shared" si="46"/>
        <v>18.490180228545263</v>
      </c>
      <c r="H103" s="1543">
        <f t="shared" si="46"/>
        <v>18.522379125727245</v>
      </c>
      <c r="I103" s="1543">
        <f t="shared" si="46"/>
        <v>18.554634094238281</v>
      </c>
      <c r="J103" s="261">
        <f t="shared" si="46"/>
        <v>18.650411055756145</v>
      </c>
      <c r="K103" s="261">
        <f t="shared" si="46"/>
        <v>18.74668240731754</v>
      </c>
      <c r="L103" s="261">
        <f t="shared" si="46"/>
        <v>18.843450700908992</v>
      </c>
      <c r="M103" s="261">
        <f t="shared" si="46"/>
        <v>18.9407185016901</v>
      </c>
      <c r="N103" s="261">
        <f t="shared" si="46"/>
        <v>19.038488388061523</v>
      </c>
      <c r="O103" s="284">
        <f t="shared" si="46"/>
        <v>19.136375693121387</v>
      </c>
      <c r="P103" s="261">
        <f t="shared" si="46"/>
        <v>19.234766290475083</v>
      </c>
      <c r="Q103" s="261">
        <f t="shared" si="46"/>
        <v>19.333662767824176</v>
      </c>
      <c r="R103" s="261">
        <f t="shared" si="46"/>
        <v>19.433067726175036</v>
      </c>
      <c r="S103" s="261">
        <f t="shared" si="46"/>
        <v>19.532983779907227</v>
      </c>
      <c r="T103" s="261">
        <f t="shared" si="46"/>
        <v>19.744890463660269</v>
      </c>
      <c r="U103" s="261">
        <f t="shared" si="46"/>
        <v>19.959096050802838</v>
      </c>
      <c r="V103" s="261">
        <f t="shared" si="46"/>
        <v>20.175625481354292</v>
      </c>
      <c r="W103" s="261">
        <f t="shared" si="46"/>
        <v>20.394503965899755</v>
      </c>
      <c r="X103" s="261">
        <f t="shared" si="46"/>
        <v>20.615756988525391</v>
      </c>
    </row>
    <row r="104" spans="1:29" x14ac:dyDescent="0.25">
      <c r="A104" s="906" t="s">
        <v>488</v>
      </c>
      <c r="B104" s="1555" t="s">
        <v>9</v>
      </c>
      <c r="C104" s="764" t="s">
        <v>105</v>
      </c>
      <c r="D104" s="1543">
        <f t="shared" ref="D104:X104" si="47">D61</f>
        <v>1.2999999523162842</v>
      </c>
      <c r="E104" s="1543">
        <f t="shared" si="47"/>
        <v>1.3049396864330205</v>
      </c>
      <c r="F104" s="1543">
        <f t="shared" si="47"/>
        <v>1.3098981905297871</v>
      </c>
      <c r="G104" s="1543">
        <f t="shared" si="47"/>
        <v>1.3148755359286715</v>
      </c>
      <c r="H104" s="1543">
        <f t="shared" si="47"/>
        <v>1.3198717942227707</v>
      </c>
      <c r="I104" s="1543">
        <f t="shared" si="47"/>
        <v>1.3248870372772217</v>
      </c>
      <c r="J104" s="261">
        <f t="shared" si="47"/>
        <v>1.3353122513609459</v>
      </c>
      <c r="K104" s="261">
        <f t="shared" si="47"/>
        <v>1.3458194989204559</v>
      </c>
      <c r="L104" s="261">
        <f t="shared" si="47"/>
        <v>1.3564094254572345</v>
      </c>
      <c r="M104" s="261">
        <f t="shared" si="47"/>
        <v>1.3670826815520589</v>
      </c>
      <c r="N104" s="261">
        <f t="shared" si="47"/>
        <v>1.3778399229049683</v>
      </c>
      <c r="O104" s="284">
        <f t="shared" si="47"/>
        <v>1.3926371662842376</v>
      </c>
      <c r="P104" s="261">
        <f t="shared" si="47"/>
        <v>1.4075933239234188</v>
      </c>
      <c r="Q104" s="261">
        <f t="shared" si="47"/>
        <v>1.4227101024743087</v>
      </c>
      <c r="R104" s="261">
        <f t="shared" si="47"/>
        <v>1.4379892269172065</v>
      </c>
      <c r="S104" s="261">
        <f t="shared" si="47"/>
        <v>1.4534324407577515</v>
      </c>
      <c r="T104" s="261">
        <f t="shared" si="47"/>
        <v>1.4613129197836969</v>
      </c>
      <c r="U104" s="261">
        <f t="shared" si="47"/>
        <v>1.4692361265952187</v>
      </c>
      <c r="V104" s="261">
        <f t="shared" si="47"/>
        <v>1.4772022928614392</v>
      </c>
      <c r="W104" s="261">
        <f t="shared" si="47"/>
        <v>1.4852116515075859</v>
      </c>
      <c r="X104" s="261">
        <f t="shared" si="47"/>
        <v>1.4932644367218018</v>
      </c>
    </row>
    <row r="105" spans="1:29" x14ac:dyDescent="0.25">
      <c r="A105" s="103" t="s">
        <v>456</v>
      </c>
      <c r="B105" s="1558" t="s">
        <v>440</v>
      </c>
      <c r="C105" s="764" t="s">
        <v>105</v>
      </c>
      <c r="D105" s="1543">
        <f t="shared" ref="D105:X105" si="48">D62</f>
        <v>0.59029883146286011</v>
      </c>
      <c r="E105" s="1543">
        <f t="shared" si="48"/>
        <v>0.59009454420629004</v>
      </c>
      <c r="F105" s="1543">
        <f t="shared" si="48"/>
        <v>0.58989032764828986</v>
      </c>
      <c r="G105" s="1543">
        <f t="shared" si="48"/>
        <v>0.58968618176439258</v>
      </c>
      <c r="H105" s="1543">
        <f t="shared" si="48"/>
        <v>0.58948210653013977</v>
      </c>
      <c r="I105" s="1543">
        <f t="shared" si="48"/>
        <v>0.58927810192108154</v>
      </c>
      <c r="J105" s="261">
        <f t="shared" si="48"/>
        <v>0.59888343214117623</v>
      </c>
      <c r="K105" s="261">
        <f t="shared" si="48"/>
        <v>0.60864533082756256</v>
      </c>
      <c r="L105" s="261">
        <f t="shared" si="48"/>
        <v>0.61856635007205585</v>
      </c>
      <c r="M105" s="261">
        <f t="shared" si="48"/>
        <v>0.62864908356598859</v>
      </c>
      <c r="N105" s="261">
        <f t="shared" si="48"/>
        <v>0.63889616727828979</v>
      </c>
      <c r="O105" s="284">
        <f t="shared" si="48"/>
        <v>0.64888206519231584</v>
      </c>
      <c r="P105" s="261">
        <f t="shared" si="48"/>
        <v>0.65902404192205022</v>
      </c>
      <c r="Q105" s="261">
        <f t="shared" si="48"/>
        <v>0.66932453696736782</v>
      </c>
      <c r="R105" s="261">
        <f t="shared" si="48"/>
        <v>0.67978602795733889</v>
      </c>
      <c r="S105" s="261">
        <f t="shared" si="48"/>
        <v>0.6904110312461853</v>
      </c>
      <c r="T105" s="261">
        <f t="shared" si="48"/>
        <v>0.70106916888027027</v>
      </c>
      <c r="U105" s="261">
        <f t="shared" si="48"/>
        <v>0.71189184023801555</v>
      </c>
      <c r="V105" s="261">
        <f t="shared" si="48"/>
        <v>0.72288158528908109</v>
      </c>
      <c r="W105" s="261">
        <f t="shared" si="48"/>
        <v>0.73404098321360423</v>
      </c>
      <c r="X105" s="261">
        <f t="shared" si="48"/>
        <v>0.74537265300750732</v>
      </c>
    </row>
    <row r="106" spans="1:29" x14ac:dyDescent="0.25">
      <c r="A106" s="906" t="s">
        <v>488</v>
      </c>
      <c r="B106" s="1555" t="s">
        <v>441</v>
      </c>
      <c r="C106" s="764" t="s">
        <v>105</v>
      </c>
      <c r="D106" s="1543">
        <f t="shared" ref="D106:X106" si="49">D63</f>
        <v>6.6911654472351074</v>
      </c>
      <c r="E106" s="1543">
        <f t="shared" si="49"/>
        <v>6.6933303171408749</v>
      </c>
      <c r="F106" s="1543">
        <f t="shared" si="49"/>
        <v>6.6954958874719637</v>
      </c>
      <c r="G106" s="1543">
        <f t="shared" si="49"/>
        <v>6.6976621584549907</v>
      </c>
      <c r="H106" s="1543">
        <f t="shared" si="49"/>
        <v>6.6998291303166457</v>
      </c>
      <c r="I106" s="1543">
        <f t="shared" si="49"/>
        <v>6.7019968032836914</v>
      </c>
      <c r="J106" s="261">
        <f t="shared" si="49"/>
        <v>6.7349482194313497</v>
      </c>
      <c r="K106" s="261">
        <f t="shared" si="49"/>
        <v>6.768061646373404</v>
      </c>
      <c r="L106" s="261">
        <f t="shared" si="49"/>
        <v>6.8013378806612792</v>
      </c>
      <c r="M106" s="261">
        <f t="shared" si="49"/>
        <v>6.8347777227627704</v>
      </c>
      <c r="N106" s="261">
        <f t="shared" si="49"/>
        <v>6.8683819770812988</v>
      </c>
      <c r="O106" s="284">
        <f t="shared" si="49"/>
        <v>6.8895134319593447</v>
      </c>
      <c r="P106" s="261">
        <f t="shared" si="49"/>
        <v>6.910709900458758</v>
      </c>
      <c r="Q106" s="261">
        <f t="shared" si="49"/>
        <v>6.9319715826022525</v>
      </c>
      <c r="R106" s="261">
        <f t="shared" si="49"/>
        <v>6.953298679027939</v>
      </c>
      <c r="S106" s="261">
        <f t="shared" si="49"/>
        <v>6.9746913909912109</v>
      </c>
      <c r="T106" s="261">
        <f t="shared" si="49"/>
        <v>7.0391060150712903</v>
      </c>
      <c r="U106" s="261">
        <f t="shared" si="49"/>
        <v>7.1041155391351509</v>
      </c>
      <c r="V106" s="261">
        <f t="shared" si="49"/>
        <v>7.1697254573698004</v>
      </c>
      <c r="W106" s="261">
        <f t="shared" si="49"/>
        <v>7.2359413147036999</v>
      </c>
      <c r="X106" s="261">
        <f t="shared" si="49"/>
        <v>7.3027687072753906</v>
      </c>
    </row>
    <row r="107" spans="1:29" x14ac:dyDescent="0.25">
      <c r="A107" s="906" t="s">
        <v>488</v>
      </c>
      <c r="B107" s="1555" t="s">
        <v>442</v>
      </c>
      <c r="C107" s="764" t="s">
        <v>105</v>
      </c>
      <c r="D107" s="1543">
        <f t="shared" ref="D107:X107" si="50">D64</f>
        <v>0.96100658178329468</v>
      </c>
      <c r="E107" s="1543">
        <f t="shared" si="50"/>
        <v>0.95618225524780087</v>
      </c>
      <c r="F107" s="1543">
        <f t="shared" si="50"/>
        <v>0.95138214720046554</v>
      </c>
      <c r="G107" s="1543">
        <f t="shared" si="50"/>
        <v>0.94660613606262589</v>
      </c>
      <c r="H107" s="1543">
        <f t="shared" si="50"/>
        <v>0.94185410086595334</v>
      </c>
      <c r="I107" s="1543">
        <f t="shared" si="50"/>
        <v>0.93712592124938965</v>
      </c>
      <c r="J107" s="261">
        <f t="shared" si="50"/>
        <v>0.92999564450943628</v>
      </c>
      <c r="K107" s="261">
        <f t="shared" si="50"/>
        <v>0.92291961965307245</v>
      </c>
      <c r="L107" s="261">
        <f t="shared" si="50"/>
        <v>0.91589743389591671</v>
      </c>
      <c r="M107" s="261">
        <f t="shared" si="50"/>
        <v>0.90892867759432561</v>
      </c>
      <c r="N107" s="261">
        <f t="shared" si="50"/>
        <v>0.90201294422149658</v>
      </c>
      <c r="O107" s="284">
        <f t="shared" si="50"/>
        <v>0.90864086154773993</v>
      </c>
      <c r="P107" s="261">
        <f t="shared" si="50"/>
        <v>0.91531748026830906</v>
      </c>
      <c r="Q107" s="261">
        <f t="shared" si="50"/>
        <v>0.92204315823706551</v>
      </c>
      <c r="R107" s="261">
        <f t="shared" si="50"/>
        <v>0.92881825593735179</v>
      </c>
      <c r="S107" s="261">
        <f t="shared" si="50"/>
        <v>0.93564313650131226</v>
      </c>
      <c r="T107" s="261">
        <f t="shared" si="50"/>
        <v>0.9434100259176178</v>
      </c>
      <c r="U107" s="261">
        <f t="shared" si="50"/>
        <v>0.9512413892437418</v>
      </c>
      <c r="V107" s="261">
        <f t="shared" si="50"/>
        <v>0.95913776168558529</v>
      </c>
      <c r="W107" s="261">
        <f t="shared" si="50"/>
        <v>0.96709968289185955</v>
      </c>
      <c r="X107" s="261">
        <f t="shared" si="50"/>
        <v>0.9751276969909668</v>
      </c>
    </row>
    <row r="108" spans="1:29" x14ac:dyDescent="0.25">
      <c r="A108" s="103"/>
      <c r="B108" s="1559" t="s">
        <v>149</v>
      </c>
      <c r="C108" s="764"/>
      <c r="D108" s="1543"/>
      <c r="E108" s="1543"/>
      <c r="F108" s="1543"/>
      <c r="G108" s="1543"/>
      <c r="H108" s="1543"/>
      <c r="I108" s="1543"/>
      <c r="J108" s="261"/>
      <c r="K108" s="261"/>
      <c r="L108" s="261"/>
      <c r="M108" s="261"/>
      <c r="N108" s="261"/>
      <c r="O108" s="284"/>
      <c r="P108" s="261"/>
      <c r="Q108" s="261"/>
      <c r="R108" s="261"/>
      <c r="S108" s="261"/>
      <c r="T108" s="261"/>
      <c r="U108" s="261"/>
      <c r="V108" s="261"/>
      <c r="W108" s="261"/>
      <c r="X108" s="261"/>
    </row>
    <row r="109" spans="1:29" x14ac:dyDescent="0.25">
      <c r="A109" s="103" t="s">
        <v>456</v>
      </c>
      <c r="B109" s="1558" t="s">
        <v>443</v>
      </c>
      <c r="C109" s="764" t="s">
        <v>105</v>
      </c>
      <c r="D109" s="1543">
        <f t="shared" ref="D109:X109" si="51">D66</f>
        <v>0</v>
      </c>
      <c r="E109" s="1543">
        <f t="shared" si="51"/>
        <v>0</v>
      </c>
      <c r="F109" s="1543">
        <f t="shared" si="51"/>
        <v>0</v>
      </c>
      <c r="G109" s="1543">
        <f t="shared" si="51"/>
        <v>0</v>
      </c>
      <c r="H109" s="1543">
        <f t="shared" si="51"/>
        <v>0</v>
      </c>
      <c r="I109" s="1543">
        <f t="shared" si="51"/>
        <v>0</v>
      </c>
      <c r="J109" s="261">
        <f t="shared" si="51"/>
        <v>0</v>
      </c>
      <c r="K109" s="261">
        <f t="shared" si="51"/>
        <v>0</v>
      </c>
      <c r="L109" s="261">
        <f t="shared" si="51"/>
        <v>0</v>
      </c>
      <c r="M109" s="261">
        <f t="shared" si="51"/>
        <v>0</v>
      </c>
      <c r="N109" s="261">
        <f t="shared" si="51"/>
        <v>0</v>
      </c>
      <c r="O109" s="284">
        <f t="shared" si="51"/>
        <v>0</v>
      </c>
      <c r="P109" s="261">
        <f t="shared" si="51"/>
        <v>0</v>
      </c>
      <c r="Q109" s="261">
        <f t="shared" si="51"/>
        <v>0</v>
      </c>
      <c r="R109" s="261">
        <f t="shared" si="51"/>
        <v>0</v>
      </c>
      <c r="S109" s="261">
        <f t="shared" si="51"/>
        <v>0</v>
      </c>
      <c r="T109" s="261">
        <f t="shared" si="51"/>
        <v>0</v>
      </c>
      <c r="U109" s="261">
        <f t="shared" si="51"/>
        <v>0</v>
      </c>
      <c r="V109" s="261">
        <f t="shared" si="51"/>
        <v>0</v>
      </c>
      <c r="W109" s="261">
        <f t="shared" si="51"/>
        <v>0</v>
      </c>
      <c r="X109" s="261">
        <f t="shared" si="51"/>
        <v>0</v>
      </c>
    </row>
    <row r="110" spans="1:29" x14ac:dyDescent="0.25">
      <c r="A110" s="103" t="s">
        <v>456</v>
      </c>
      <c r="B110" s="1558" t="s">
        <v>13</v>
      </c>
      <c r="C110" s="764" t="s">
        <v>105</v>
      </c>
      <c r="D110" s="1543">
        <f t="shared" ref="D110:X110" si="52">D67</f>
        <v>1.4008268117904663</v>
      </c>
      <c r="E110" s="1543">
        <f t="shared" si="52"/>
        <v>1.4006484769763163</v>
      </c>
      <c r="F110" s="1543">
        <f t="shared" si="52"/>
        <v>1.4004701648654054</v>
      </c>
      <c r="G110" s="1543">
        <f t="shared" si="52"/>
        <v>1.4002918754548432</v>
      </c>
      <c r="H110" s="1543">
        <f t="shared" si="52"/>
        <v>1.4001136087417398</v>
      </c>
      <c r="I110" s="1543">
        <f t="shared" si="52"/>
        <v>1.3999353647232056</v>
      </c>
      <c r="J110" s="261">
        <f t="shared" si="52"/>
        <v>1.385471339634305</v>
      </c>
      <c r="K110" s="261">
        <f t="shared" si="52"/>
        <v>1.37115675574608</v>
      </c>
      <c r="L110" s="261">
        <f t="shared" si="52"/>
        <v>1.356990069043478</v>
      </c>
      <c r="M110" s="261">
        <f t="shared" si="52"/>
        <v>1.3429697514640915</v>
      </c>
      <c r="N110" s="261">
        <f t="shared" si="52"/>
        <v>1.3290942907333374</v>
      </c>
      <c r="O110" s="284">
        <f t="shared" si="52"/>
        <v>1.3272527517286064</v>
      </c>
      <c r="P110" s="261">
        <f t="shared" si="52"/>
        <v>1.3254137642854384</v>
      </c>
      <c r="Q110" s="261">
        <f t="shared" si="52"/>
        <v>1.3235773248684937</v>
      </c>
      <c r="R110" s="261">
        <f t="shared" si="52"/>
        <v>1.3217434299473305</v>
      </c>
      <c r="S110" s="261">
        <f t="shared" si="52"/>
        <v>1.3199120759963989</v>
      </c>
      <c r="T110" s="261">
        <f t="shared" si="52"/>
        <v>1.3190992124685561</v>
      </c>
      <c r="U110" s="261">
        <f t="shared" si="52"/>
        <v>1.3182868495400539</v>
      </c>
      <c r="V110" s="261">
        <f t="shared" si="52"/>
        <v>1.3174749869025999</v>
      </c>
      <c r="W110" s="261">
        <f t="shared" si="52"/>
        <v>1.3166636242480914</v>
      </c>
      <c r="X110" s="261">
        <f t="shared" si="52"/>
        <v>1.3158527612686157</v>
      </c>
    </row>
    <row r="111" spans="1:29" x14ac:dyDescent="0.25">
      <c r="A111" s="906" t="s">
        <v>488</v>
      </c>
      <c r="B111" s="1560" t="s">
        <v>31</v>
      </c>
      <c r="C111" s="764" t="s">
        <v>105</v>
      </c>
      <c r="D111" s="1543">
        <f t="shared" ref="D111:X111" si="53">D68</f>
        <v>0</v>
      </c>
      <c r="E111" s="1543">
        <v>0</v>
      </c>
      <c r="F111" s="1543">
        <v>0</v>
      </c>
      <c r="G111" s="1543">
        <v>0</v>
      </c>
      <c r="H111" s="1543">
        <v>0</v>
      </c>
      <c r="I111" s="1543">
        <f t="shared" si="53"/>
        <v>0</v>
      </c>
      <c r="J111" s="261">
        <v>0</v>
      </c>
      <c r="K111" s="261">
        <v>0</v>
      </c>
      <c r="L111" s="261">
        <v>0</v>
      </c>
      <c r="M111" s="261">
        <v>0</v>
      </c>
      <c r="N111" s="261">
        <f t="shared" si="53"/>
        <v>-5.7908430695533752E-2</v>
      </c>
      <c r="O111" s="284">
        <f t="shared" si="53"/>
        <v>-5.4333418027102898E-2</v>
      </c>
      <c r="P111" s="261">
        <f t="shared" si="53"/>
        <v>-5.0979110969684688E-2</v>
      </c>
      <c r="Q111" s="261">
        <f t="shared" si="53"/>
        <v>-4.7831884126322458E-2</v>
      </c>
      <c r="R111" s="261">
        <f t="shared" si="53"/>
        <v>-4.4878953272340469E-2</v>
      </c>
      <c r="S111" s="261">
        <f t="shared" si="53"/>
        <v>-4.210832342505455E-2</v>
      </c>
      <c r="T111" s="261">
        <f t="shared" si="53"/>
        <v>-4.3049823485815687E-2</v>
      </c>
      <c r="U111" s="261">
        <f t="shared" si="53"/>
        <v>-4.401237454771656E-2</v>
      </c>
      <c r="V111" s="261">
        <f t="shared" si="53"/>
        <v>-4.4996447290120298E-2</v>
      </c>
      <c r="W111" s="261">
        <f t="shared" si="53"/>
        <v>-4.6002522916310552E-2</v>
      </c>
      <c r="X111" s="261">
        <f t="shared" si="53"/>
        <v>-4.7031093388795853E-2</v>
      </c>
    </row>
    <row r="112" spans="1:29" x14ac:dyDescent="0.25">
      <c r="A112" s="906" t="s">
        <v>488</v>
      </c>
      <c r="B112" s="1545" t="s">
        <v>444</v>
      </c>
      <c r="C112" s="764"/>
      <c r="D112" s="1543"/>
      <c r="E112" s="1543"/>
      <c r="F112" s="1543"/>
      <c r="G112" s="1543"/>
      <c r="H112" s="1543"/>
      <c r="I112" s="1543"/>
      <c r="J112" s="261"/>
      <c r="K112" s="261"/>
      <c r="L112" s="261"/>
      <c r="M112" s="261"/>
      <c r="N112" s="261"/>
      <c r="O112" s="284"/>
      <c r="P112" s="261"/>
      <c r="Q112" s="261"/>
      <c r="R112" s="261"/>
      <c r="S112" s="261"/>
      <c r="T112" s="261"/>
      <c r="U112" s="261"/>
      <c r="V112" s="261"/>
      <c r="W112" s="261"/>
      <c r="X112" s="261"/>
    </row>
    <row r="113" spans="1:24" x14ac:dyDescent="0.25">
      <c r="A113" s="906" t="s">
        <v>488</v>
      </c>
      <c r="B113" s="1560" t="s">
        <v>15</v>
      </c>
      <c r="C113" s="764"/>
      <c r="D113" s="1543"/>
      <c r="E113" s="1543"/>
      <c r="F113" s="1543"/>
      <c r="G113" s="1543"/>
      <c r="H113" s="1543"/>
      <c r="I113" s="1543"/>
      <c r="J113" s="261"/>
      <c r="K113" s="261"/>
      <c r="L113" s="261"/>
      <c r="M113" s="261"/>
      <c r="N113" s="261"/>
      <c r="O113" s="284"/>
      <c r="P113" s="261"/>
      <c r="Q113" s="261"/>
      <c r="R113" s="261"/>
      <c r="S113" s="261"/>
      <c r="T113" s="261"/>
      <c r="U113" s="261"/>
      <c r="V113" s="261"/>
      <c r="W113" s="261"/>
      <c r="X113" s="261"/>
    </row>
    <row r="114" spans="1:24" x14ac:dyDescent="0.25">
      <c r="A114" s="906" t="s">
        <v>488</v>
      </c>
      <c r="B114" s="1556" t="s">
        <v>16</v>
      </c>
      <c r="C114" s="764" t="s">
        <v>105</v>
      </c>
      <c r="D114" s="1543">
        <f t="shared" ref="D114:X114" si="54">D71</f>
        <v>2.7136893272399902</v>
      </c>
      <c r="E114" s="1543">
        <f t="shared" si="54"/>
        <v>2.7397900490462384</v>
      </c>
      <c r="F114" s="1543">
        <f t="shared" si="54"/>
        <v>2.7661418119985637</v>
      </c>
      <c r="G114" s="1543">
        <f t="shared" si="54"/>
        <v>2.7927470306530648</v>
      </c>
      <c r="H114" s="1543">
        <f t="shared" si="54"/>
        <v>2.8196081427894488</v>
      </c>
      <c r="I114" s="1543">
        <f t="shared" si="54"/>
        <v>2.8467276096343994</v>
      </c>
      <c r="J114" s="261">
        <f t="shared" si="54"/>
        <v>2.9233705542879647</v>
      </c>
      <c r="K114" s="261">
        <f t="shared" si="54"/>
        <v>3.0020769703271624</v>
      </c>
      <c r="L114" s="261">
        <f t="shared" si="54"/>
        <v>3.0829024129525204</v>
      </c>
      <c r="M114" s="261">
        <f t="shared" si="54"/>
        <v>3.165903933086935</v>
      </c>
      <c r="N114" s="261">
        <f t="shared" si="54"/>
        <v>3.2511401176452637</v>
      </c>
      <c r="O114" s="284">
        <f t="shared" si="54"/>
        <v>3.3234803896871448</v>
      </c>
      <c r="P114" s="261">
        <f t="shared" si="54"/>
        <v>3.3974302862821757</v>
      </c>
      <c r="Q114" s="261">
        <f t="shared" si="54"/>
        <v>3.4730256227670839</v>
      </c>
      <c r="R114" s="261">
        <f t="shared" si="54"/>
        <v>3.5503030113963261</v>
      </c>
      <c r="S114" s="261">
        <f t="shared" si="54"/>
        <v>3.6292998790740967</v>
      </c>
      <c r="T114" s="261">
        <f t="shared" si="54"/>
        <v>3.7044150222832068</v>
      </c>
      <c r="U114" s="261">
        <f t="shared" si="54"/>
        <v>3.7810848137515745</v>
      </c>
      <c r="V114" s="261">
        <f t="shared" si="54"/>
        <v>3.8593414298301552</v>
      </c>
      <c r="W114" s="261">
        <f t="shared" si="54"/>
        <v>3.9392177128196177</v>
      </c>
      <c r="X114" s="261">
        <f t="shared" si="54"/>
        <v>4.020747184753418</v>
      </c>
    </row>
    <row r="115" spans="1:24" x14ac:dyDescent="0.25">
      <c r="A115" s="906" t="s">
        <v>488</v>
      </c>
      <c r="B115" s="1556" t="s">
        <v>17</v>
      </c>
      <c r="C115" s="764" t="s">
        <v>105</v>
      </c>
      <c r="D115" s="1543">
        <f t="shared" ref="D115:X115" si="55">D72</f>
        <v>0.60205632448196411</v>
      </c>
      <c r="E115" s="1543">
        <f t="shared" si="55"/>
        <v>0.61635972311340859</v>
      </c>
      <c r="F115" s="1543">
        <f t="shared" si="55"/>
        <v>0.63100293581887024</v>
      </c>
      <c r="G115" s="1543">
        <f t="shared" si="55"/>
        <v>0.64599403575689507</v>
      </c>
      <c r="H115" s="1543">
        <f t="shared" si="55"/>
        <v>0.6613412878847037</v>
      </c>
      <c r="I115" s="1543">
        <f t="shared" si="55"/>
        <v>0.67705315351486206</v>
      </c>
      <c r="J115" s="261">
        <f t="shared" si="55"/>
        <v>0.69390379513243594</v>
      </c>
      <c r="K115" s="261">
        <f t="shared" si="55"/>
        <v>0.71117381907095445</v>
      </c>
      <c r="L115" s="261">
        <f t="shared" si="55"/>
        <v>0.72887366300603318</v>
      </c>
      <c r="M115" s="261">
        <f t="shared" si="55"/>
        <v>0.74701402438835907</v>
      </c>
      <c r="N115" s="261">
        <f t="shared" si="55"/>
        <v>0.7656058669090271</v>
      </c>
      <c r="O115" s="284">
        <f t="shared" si="55"/>
        <v>0.78408513599609564</v>
      </c>
      <c r="P115" s="261">
        <f t="shared" si="55"/>
        <v>0.80301043534592975</v>
      </c>
      <c r="Q115" s="261">
        <f t="shared" si="55"/>
        <v>0.82239253069792984</v>
      </c>
      <c r="R115" s="261">
        <f t="shared" si="55"/>
        <v>0.84224244764190237</v>
      </c>
      <c r="S115" s="261">
        <f t="shared" si="55"/>
        <v>0.86257147789001465</v>
      </c>
      <c r="T115" s="261">
        <f t="shared" si="55"/>
        <v>0.8804196751927692</v>
      </c>
      <c r="U115" s="261">
        <f t="shared" si="55"/>
        <v>0.89863718466862885</v>
      </c>
      <c r="V115" s="261">
        <f t="shared" si="55"/>
        <v>0.91723164806868418</v>
      </c>
      <c r="W115" s="261">
        <f t="shared" si="55"/>
        <v>0.93621086526597252</v>
      </c>
      <c r="X115" s="261">
        <f t="shared" si="55"/>
        <v>0.95558279752731323</v>
      </c>
    </row>
    <row r="116" spans="1:24" x14ac:dyDescent="0.25">
      <c r="A116" s="906" t="s">
        <v>488</v>
      </c>
      <c r="B116" s="1560" t="s">
        <v>18</v>
      </c>
      <c r="C116" s="764"/>
      <c r="D116" s="1543"/>
      <c r="E116" s="1543"/>
      <c r="F116" s="1543"/>
      <c r="G116" s="1543"/>
      <c r="H116" s="1543"/>
      <c r="I116" s="1543"/>
      <c r="J116" s="261"/>
      <c r="K116" s="261"/>
      <c r="L116" s="261"/>
      <c r="M116" s="261"/>
      <c r="N116" s="261"/>
      <c r="O116" s="284"/>
      <c r="P116" s="261"/>
      <c r="Q116" s="261"/>
      <c r="R116" s="261"/>
      <c r="S116" s="261"/>
      <c r="T116" s="261"/>
      <c r="U116" s="261"/>
      <c r="V116" s="261"/>
      <c r="W116" s="261"/>
      <c r="X116" s="261"/>
    </row>
    <row r="117" spans="1:24" x14ac:dyDescent="0.25">
      <c r="A117" s="906" t="s">
        <v>488</v>
      </c>
      <c r="B117" s="1556" t="s">
        <v>19</v>
      </c>
      <c r="C117" s="764" t="s">
        <v>105</v>
      </c>
      <c r="D117" s="1543">
        <f t="shared" ref="D117:X117" si="56">D74</f>
        <v>8.3153486251831055</v>
      </c>
      <c r="E117" s="1543">
        <f t="shared" si="56"/>
        <v>8.0382397036935753</v>
      </c>
      <c r="F117" s="1543">
        <f t="shared" si="56"/>
        <v>7.7703654346317901</v>
      </c>
      <c r="G117" s="1543">
        <f t="shared" si="56"/>
        <v>7.511418073284938</v>
      </c>
      <c r="H117" s="1543">
        <f t="shared" si="56"/>
        <v>7.2611001305301182</v>
      </c>
      <c r="I117" s="1543">
        <f t="shared" si="56"/>
        <v>7.0191240310668945</v>
      </c>
      <c r="J117" s="261">
        <f t="shared" si="56"/>
        <v>7.293874817528466</v>
      </c>
      <c r="K117" s="261">
        <f t="shared" si="56"/>
        <v>7.5793802215644162</v>
      </c>
      <c r="L117" s="261">
        <f t="shared" si="56"/>
        <v>7.8760612130313215</v>
      </c>
      <c r="M117" s="261">
        <f t="shared" si="56"/>
        <v>8.184355239881695</v>
      </c>
      <c r="N117" s="261">
        <f t="shared" si="56"/>
        <v>8.5047168731689453</v>
      </c>
      <c r="O117" s="284">
        <f t="shared" si="56"/>
        <v>8.6162955296925272</v>
      </c>
      <c r="P117" s="261">
        <f t="shared" si="56"/>
        <v>8.7293380558283804</v>
      </c>
      <c r="Q117" s="261">
        <f t="shared" si="56"/>
        <v>8.8438636569900542</v>
      </c>
      <c r="R117" s="261">
        <f t="shared" si="56"/>
        <v>8.9598917905588316</v>
      </c>
      <c r="S117" s="261">
        <f t="shared" si="56"/>
        <v>9.0774421691894531</v>
      </c>
      <c r="T117" s="261">
        <f t="shared" si="56"/>
        <v>9.004782705464411</v>
      </c>
      <c r="U117" s="261">
        <f t="shared" si="56"/>
        <v>8.9327048370357538</v>
      </c>
      <c r="V117" s="261">
        <f t="shared" si="56"/>
        <v>8.861203908583013</v>
      </c>
      <c r="W117" s="261">
        <f t="shared" si="56"/>
        <v>8.7902753020487587</v>
      </c>
      <c r="X117" s="261">
        <f t="shared" si="56"/>
        <v>8.719914436340332</v>
      </c>
    </row>
    <row r="118" spans="1:24" x14ac:dyDescent="0.25">
      <c r="A118" s="906" t="s">
        <v>488</v>
      </c>
      <c r="B118" s="1556" t="s">
        <v>20</v>
      </c>
      <c r="C118" s="764" t="s">
        <v>105</v>
      </c>
      <c r="D118" s="1543">
        <f t="shared" ref="D118:X118" si="57">D75</f>
        <v>0</v>
      </c>
      <c r="E118" s="1543">
        <f t="shared" si="57"/>
        <v>0</v>
      </c>
      <c r="F118" s="1543">
        <f t="shared" si="57"/>
        <v>0</v>
      </c>
      <c r="G118" s="1543">
        <f t="shared" si="57"/>
        <v>0</v>
      </c>
      <c r="H118" s="1543">
        <f t="shared" si="57"/>
        <v>0</v>
      </c>
      <c r="I118" s="1543">
        <f t="shared" si="57"/>
        <v>0</v>
      </c>
      <c r="J118" s="261">
        <f t="shared" si="57"/>
        <v>0</v>
      </c>
      <c r="K118" s="261">
        <f t="shared" si="57"/>
        <v>0</v>
      </c>
      <c r="L118" s="261">
        <f t="shared" si="57"/>
        <v>0</v>
      </c>
      <c r="M118" s="261">
        <f t="shared" si="57"/>
        <v>0</v>
      </c>
      <c r="N118" s="261">
        <f t="shared" si="57"/>
        <v>0</v>
      </c>
      <c r="O118" s="284">
        <f t="shared" si="57"/>
        <v>0</v>
      </c>
      <c r="P118" s="261">
        <f t="shared" si="57"/>
        <v>0</v>
      </c>
      <c r="Q118" s="261">
        <f t="shared" si="57"/>
        <v>0</v>
      </c>
      <c r="R118" s="261">
        <f t="shared" si="57"/>
        <v>0</v>
      </c>
      <c r="S118" s="261">
        <f t="shared" si="57"/>
        <v>0</v>
      </c>
      <c r="T118" s="261">
        <f t="shared" si="57"/>
        <v>0</v>
      </c>
      <c r="U118" s="261">
        <f t="shared" si="57"/>
        <v>0</v>
      </c>
      <c r="V118" s="261">
        <f t="shared" si="57"/>
        <v>0</v>
      </c>
      <c r="W118" s="261">
        <f t="shared" si="57"/>
        <v>0</v>
      </c>
      <c r="X118" s="261">
        <f t="shared" si="57"/>
        <v>0</v>
      </c>
    </row>
    <row r="119" spans="1:24" x14ac:dyDescent="0.25">
      <c r="A119" s="906" t="s">
        <v>488</v>
      </c>
      <c r="B119" s="1617" t="s">
        <v>445</v>
      </c>
      <c r="C119" s="764" t="s">
        <v>105</v>
      </c>
      <c r="D119" s="1543">
        <f t="shared" ref="D119:X119" si="58">D76</f>
        <v>4.367344856262207</v>
      </c>
      <c r="E119" s="1543">
        <f t="shared" si="58"/>
        <v>4.4903417579433569</v>
      </c>
      <c r="F119" s="1543">
        <f t="shared" si="58"/>
        <v>4.6168026035815481</v>
      </c>
      <c r="G119" s="1543">
        <f t="shared" si="58"/>
        <v>4.7468249477295652</v>
      </c>
      <c r="H119" s="1543">
        <f t="shared" si="58"/>
        <v>4.8805090923549583</v>
      </c>
      <c r="I119" s="1543">
        <f t="shared" si="58"/>
        <v>5.0179581642150879</v>
      </c>
      <c r="J119" s="261">
        <f t="shared" si="58"/>
        <v>5.0559416327822673</v>
      </c>
      <c r="K119" s="261">
        <f t="shared" si="58"/>
        <v>5.0942126174739695</v>
      </c>
      <c r="L119" s="261">
        <f t="shared" si="58"/>
        <v>5.1327732946454612</v>
      </c>
      <c r="M119" s="261">
        <f t="shared" si="58"/>
        <v>5.171625857125945</v>
      </c>
      <c r="N119" s="261">
        <f t="shared" si="58"/>
        <v>5.2107725143432617</v>
      </c>
      <c r="O119" s="284">
        <f t="shared" si="58"/>
        <v>5.2806121455821584</v>
      </c>
      <c r="P119" s="261">
        <f t="shared" si="58"/>
        <v>5.3513878326703859</v>
      </c>
      <c r="Q119" s="261">
        <f t="shared" si="58"/>
        <v>5.4231121215011218</v>
      </c>
      <c r="R119" s="261">
        <f t="shared" si="58"/>
        <v>5.4957977261193003</v>
      </c>
      <c r="S119" s="261">
        <f t="shared" si="58"/>
        <v>5.5694575309753418</v>
      </c>
      <c r="T119" s="261">
        <f t="shared" si="58"/>
        <v>5.6467705847046705</v>
      </c>
      <c r="U119" s="261">
        <f t="shared" si="58"/>
        <v>5.7251568683210596</v>
      </c>
      <c r="V119" s="261">
        <f t="shared" si="58"/>
        <v>5.8046312799863964</v>
      </c>
      <c r="W119" s="261">
        <f t="shared" si="58"/>
        <v>5.8852089246730843</v>
      </c>
      <c r="X119" s="261">
        <f t="shared" si="58"/>
        <v>5.9669051170349121</v>
      </c>
    </row>
    <row r="120" spans="1:24" x14ac:dyDescent="0.25">
      <c r="A120" s="103" t="s">
        <v>456</v>
      </c>
      <c r="B120" s="1559" t="s">
        <v>446</v>
      </c>
      <c r="C120" s="764" t="s">
        <v>105</v>
      </c>
      <c r="D120" s="1543">
        <f t="shared" ref="D120:X120" si="59">D77</f>
        <v>3.5005562305450439</v>
      </c>
      <c r="E120" s="1543">
        <f t="shared" si="59"/>
        <v>3.5368540308409759</v>
      </c>
      <c r="F120" s="1543">
        <f t="shared" si="59"/>
        <v>3.5735282085522533</v>
      </c>
      <c r="G120" s="1543">
        <f t="shared" si="59"/>
        <v>3.6105826663935754</v>
      </c>
      <c r="H120" s="1543">
        <f t="shared" si="59"/>
        <v>3.648021347547485</v>
      </c>
      <c r="I120" s="1543">
        <f t="shared" si="59"/>
        <v>3.6858482360839844</v>
      </c>
      <c r="J120" s="261">
        <f t="shared" si="59"/>
        <v>3.7181825556896628</v>
      </c>
      <c r="K120" s="261">
        <f t="shared" si="59"/>
        <v>3.7508005300085565</v>
      </c>
      <c r="L120" s="261">
        <f t="shared" si="59"/>
        <v>3.783704647418257</v>
      </c>
      <c r="M120" s="261">
        <f t="shared" si="59"/>
        <v>3.8168974181257931</v>
      </c>
      <c r="N120" s="261">
        <f t="shared" si="59"/>
        <v>3.8503813743591309</v>
      </c>
      <c r="O120" s="284">
        <f t="shared" si="59"/>
        <v>3.9078462330709938</v>
      </c>
      <c r="P120" s="261">
        <f t="shared" si="59"/>
        <v>3.9661687237069994</v>
      </c>
      <c r="Q120" s="261">
        <f t="shared" si="59"/>
        <v>4.025361645959582</v>
      </c>
      <c r="R120" s="261">
        <f t="shared" si="59"/>
        <v>4.0854379905496607</v>
      </c>
      <c r="S120" s="261">
        <f t="shared" si="59"/>
        <v>4.1464109420776367</v>
      </c>
      <c r="T120" s="261">
        <f t="shared" si="59"/>
        <v>4.1931172042540545</v>
      </c>
      <c r="U120" s="261">
        <f t="shared" si="59"/>
        <v>4.2403495780380691</v>
      </c>
      <c r="V120" s="261">
        <f t="shared" si="59"/>
        <v>4.2881139896890454</v>
      </c>
      <c r="W120" s="261">
        <f t="shared" si="59"/>
        <v>4.3364164322212924</v>
      </c>
      <c r="X120" s="261">
        <f t="shared" si="59"/>
        <v>4.3852629661560059</v>
      </c>
    </row>
    <row r="121" spans="1:24" x14ac:dyDescent="0.25">
      <c r="A121" s="103" t="s">
        <v>456</v>
      </c>
      <c r="B121" s="819" t="s">
        <v>447</v>
      </c>
      <c r="C121" s="764"/>
      <c r="D121" s="1543">
        <f t="shared" ref="D121:X121" si="60">D78</f>
        <v>0</v>
      </c>
      <c r="E121" s="1543">
        <f t="shared" si="60"/>
        <v>0</v>
      </c>
      <c r="F121" s="1543">
        <f t="shared" si="60"/>
        <v>0</v>
      </c>
      <c r="G121" s="1543">
        <f t="shared" si="60"/>
        <v>0</v>
      </c>
      <c r="H121" s="1543">
        <f t="shared" si="60"/>
        <v>0</v>
      </c>
      <c r="I121" s="1543">
        <f t="shared" si="60"/>
        <v>0</v>
      </c>
      <c r="J121" s="261">
        <f t="shared" si="60"/>
        <v>0</v>
      </c>
      <c r="K121" s="261">
        <f t="shared" si="60"/>
        <v>0</v>
      </c>
      <c r="L121" s="261">
        <f t="shared" si="60"/>
        <v>0</v>
      </c>
      <c r="M121" s="261">
        <f t="shared" si="60"/>
        <v>0</v>
      </c>
      <c r="N121" s="261">
        <f t="shared" si="60"/>
        <v>0</v>
      </c>
      <c r="O121" s="284">
        <f t="shared" si="60"/>
        <v>0</v>
      </c>
      <c r="P121" s="261">
        <f t="shared" si="60"/>
        <v>0</v>
      </c>
      <c r="Q121" s="261">
        <f t="shared" si="60"/>
        <v>0</v>
      </c>
      <c r="R121" s="261">
        <f t="shared" si="60"/>
        <v>0</v>
      </c>
      <c r="S121" s="261">
        <f t="shared" si="60"/>
        <v>0</v>
      </c>
      <c r="T121" s="261">
        <f t="shared" si="60"/>
        <v>0</v>
      </c>
      <c r="U121" s="261">
        <f t="shared" si="60"/>
        <v>0</v>
      </c>
      <c r="V121" s="261">
        <f t="shared" si="60"/>
        <v>0</v>
      </c>
      <c r="W121" s="261">
        <f t="shared" si="60"/>
        <v>0</v>
      </c>
      <c r="X121" s="261">
        <f t="shared" si="60"/>
        <v>0</v>
      </c>
    </row>
    <row r="122" spans="1:24" x14ac:dyDescent="0.25">
      <c r="A122" s="103"/>
      <c r="B122" s="1559" t="s">
        <v>448</v>
      </c>
      <c r="C122" s="764" t="s">
        <v>105</v>
      </c>
      <c r="D122" s="1543">
        <f t="shared" ref="D122:X122" si="61">D79</f>
        <v>5.6066374778747559</v>
      </c>
      <c r="E122" s="1543">
        <f t="shared" si="61"/>
        <v>5.6072590403311571</v>
      </c>
      <c r="F122" s="1543">
        <f t="shared" si="61"/>
        <v>5.6078806716951508</v>
      </c>
      <c r="G122" s="1543">
        <f t="shared" si="61"/>
        <v>5.6085023719743754</v>
      </c>
      <c r="H122" s="1543">
        <f t="shared" si="61"/>
        <v>5.609124141176471</v>
      </c>
      <c r="I122" s="1543">
        <f t="shared" si="61"/>
        <v>5.609745979309082</v>
      </c>
      <c r="J122" s="261">
        <f t="shared" si="61"/>
        <v>5.5937972826637354</v>
      </c>
      <c r="K122" s="261">
        <f t="shared" si="61"/>
        <v>5.5778939286997904</v>
      </c>
      <c r="L122" s="261">
        <f t="shared" si="61"/>
        <v>5.5620357885064777</v>
      </c>
      <c r="M122" s="261">
        <f t="shared" si="61"/>
        <v>5.5462227335395253</v>
      </c>
      <c r="N122" s="261">
        <f t="shared" si="61"/>
        <v>5.5304546356201172</v>
      </c>
      <c r="O122" s="284">
        <f t="shared" si="61"/>
        <v>5.5206017042446556</v>
      </c>
      <c r="P122" s="261">
        <f t="shared" si="61"/>
        <v>5.5107663266261788</v>
      </c>
      <c r="Q122" s="261">
        <f t="shared" si="61"/>
        <v>5.5009484714913155</v>
      </c>
      <c r="R122" s="261">
        <f t="shared" si="61"/>
        <v>5.4911481076224096</v>
      </c>
      <c r="S122" s="261">
        <f t="shared" si="61"/>
        <v>5.4813652038574219</v>
      </c>
      <c r="T122" s="261">
        <f t="shared" si="61"/>
        <v>5.480037141188097</v>
      </c>
      <c r="U122" s="261">
        <f t="shared" si="61"/>
        <v>5.4787094002908834</v>
      </c>
      <c r="V122" s="261">
        <f t="shared" si="61"/>
        <v>5.4773819810878193</v>
      </c>
      <c r="W122" s="261">
        <f t="shared" si="61"/>
        <v>5.4760548835009635</v>
      </c>
      <c r="X122" s="261">
        <f t="shared" si="61"/>
        <v>5.4747281074523926</v>
      </c>
    </row>
    <row r="123" spans="1:24" x14ac:dyDescent="0.25">
      <c r="A123" s="103"/>
      <c r="B123" s="1559" t="s">
        <v>24</v>
      </c>
      <c r="C123" s="764" t="s">
        <v>105</v>
      </c>
      <c r="D123" s="1543">
        <f t="shared" ref="D123:X123" si="62">D80</f>
        <v>4.703789234161377</v>
      </c>
      <c r="E123" s="1543">
        <f t="shared" si="62"/>
        <v>4.5643640489560218</v>
      </c>
      <c r="F123" s="1543">
        <f t="shared" si="62"/>
        <v>4.429071570660315</v>
      </c>
      <c r="G123" s="1543">
        <f t="shared" si="62"/>
        <v>4.2977893015606918</v>
      </c>
      <c r="H123" s="1543">
        <f t="shared" si="62"/>
        <v>4.1703983749027023</v>
      </c>
      <c r="I123" s="1543">
        <f t="shared" si="62"/>
        <v>4.046783447265625</v>
      </c>
      <c r="J123" s="261">
        <f t="shared" si="62"/>
        <v>3.9821393194020924</v>
      </c>
      <c r="K123" s="261">
        <f t="shared" si="62"/>
        <v>3.9185278297614081</v>
      </c>
      <c r="L123" s="261">
        <f t="shared" si="62"/>
        <v>3.8559324827741444</v>
      </c>
      <c r="M123" s="261">
        <f t="shared" si="62"/>
        <v>3.7943370463743968</v>
      </c>
      <c r="N123" s="261">
        <f t="shared" si="62"/>
        <v>3.7337255477905273</v>
      </c>
      <c r="O123" s="284">
        <f t="shared" si="62"/>
        <v>3.7046670906150916</v>
      </c>
      <c r="P123" s="261">
        <f t="shared" si="62"/>
        <v>3.6758347866270311</v>
      </c>
      <c r="Q123" s="261">
        <f t="shared" si="62"/>
        <v>3.6472268757444577</v>
      </c>
      <c r="R123" s="261">
        <f t="shared" si="62"/>
        <v>3.6188416115836692</v>
      </c>
      <c r="S123" s="261">
        <f t="shared" si="62"/>
        <v>3.5906772613525391</v>
      </c>
      <c r="T123" s="261">
        <f t="shared" si="62"/>
        <v>3.5665214903720264</v>
      </c>
      <c r="U123" s="261">
        <f t="shared" si="62"/>
        <v>3.5425282239078464</v>
      </c>
      <c r="V123" s="261">
        <f t="shared" si="62"/>
        <v>3.5186963687339601</v>
      </c>
      <c r="W123" s="261">
        <f t="shared" si="62"/>
        <v>3.4950248389788512</v>
      </c>
      <c r="X123" s="261">
        <f t="shared" si="62"/>
        <v>3.4715125560760498</v>
      </c>
    </row>
    <row r="124" spans="1:24" x14ac:dyDescent="0.25">
      <c r="A124" s="103" t="s">
        <v>456</v>
      </c>
      <c r="B124" s="819" t="s">
        <v>449</v>
      </c>
      <c r="C124" s="764" t="s">
        <v>105</v>
      </c>
      <c r="D124" s="1543">
        <f t="shared" ref="D124:X124" si="63">D81</f>
        <v>8.3987522125244141</v>
      </c>
      <c r="E124" s="1543">
        <f t="shared" si="63"/>
        <v>8.4438025512637847</v>
      </c>
      <c r="F124" s="1543">
        <f t="shared" si="63"/>
        <v>8.4890945369727504</v>
      </c>
      <c r="G124" s="1543">
        <f t="shared" si="63"/>
        <v>8.53462946582931</v>
      </c>
      <c r="H124" s="1543">
        <f t="shared" si="63"/>
        <v>8.5804086409640732</v>
      </c>
      <c r="I124" s="1543">
        <f t="shared" si="63"/>
        <v>8.6264333724975586</v>
      </c>
      <c r="J124" s="261">
        <f t="shared" si="63"/>
        <v>8.62659129518212</v>
      </c>
      <c r="K124" s="261">
        <f t="shared" si="63"/>
        <v>8.6267492207577465</v>
      </c>
      <c r="L124" s="261">
        <f t="shared" si="63"/>
        <v>8.6269071492244898</v>
      </c>
      <c r="M124" s="261">
        <f t="shared" si="63"/>
        <v>8.627065080582403</v>
      </c>
      <c r="N124" s="261">
        <f t="shared" si="63"/>
        <v>8.627223014831543</v>
      </c>
      <c r="O124" s="284">
        <f t="shared" si="63"/>
        <v>8.6265770898701959</v>
      </c>
      <c r="P124" s="261">
        <f t="shared" si="63"/>
        <v>8.6259312132696078</v>
      </c>
      <c r="Q124" s="261">
        <f t="shared" si="63"/>
        <v>8.6252853850261584</v>
      </c>
      <c r="R124" s="261">
        <f t="shared" si="63"/>
        <v>8.6246396051362257</v>
      </c>
      <c r="S124" s="261">
        <f t="shared" si="63"/>
        <v>8.6239938735961914</v>
      </c>
      <c r="T124" s="261">
        <f t="shared" si="63"/>
        <v>8.6234315138824922</v>
      </c>
      <c r="U124" s="261">
        <f t="shared" si="63"/>
        <v>8.6228691908395572</v>
      </c>
      <c r="V124" s="261">
        <f t="shared" si="63"/>
        <v>8.6223069044649954</v>
      </c>
      <c r="W124" s="261">
        <f t="shared" si="63"/>
        <v>8.6217446547564158</v>
      </c>
      <c r="X124" s="261">
        <f t="shared" si="63"/>
        <v>8.6211824417114258</v>
      </c>
    </row>
    <row r="125" spans="1:24" x14ac:dyDescent="0.25">
      <c r="B125" s="764"/>
      <c r="C125" s="764"/>
      <c r="D125" s="1543"/>
      <c r="E125" s="1543"/>
      <c r="F125" s="1543"/>
      <c r="G125" s="1543"/>
      <c r="H125" s="1543"/>
      <c r="I125" s="1543"/>
      <c r="J125" s="261"/>
      <c r="K125" s="261"/>
      <c r="L125" s="261"/>
      <c r="M125" s="261"/>
      <c r="N125" s="261"/>
      <c r="O125" s="284"/>
      <c r="P125" s="261"/>
      <c r="Q125" s="261"/>
      <c r="R125" s="261"/>
      <c r="S125" s="261"/>
      <c r="T125" s="261"/>
      <c r="U125" s="261"/>
      <c r="V125" s="261"/>
      <c r="W125" s="261"/>
      <c r="X125" s="261"/>
    </row>
    <row r="126" spans="1:24" x14ac:dyDescent="0.25">
      <c r="B126" s="764" t="s">
        <v>81</v>
      </c>
      <c r="C126" s="764" t="s">
        <v>105</v>
      </c>
      <c r="D126" s="1543">
        <f t="shared" ref="D126:X126" si="64">D83</f>
        <v>175.93325850367546</v>
      </c>
      <c r="E126" s="1543">
        <f t="shared" si="64"/>
        <v>172.23969253923943</v>
      </c>
      <c r="F126" s="1543">
        <f t="shared" si="64"/>
        <v>169.73590844769566</v>
      </c>
      <c r="G126" s="1543">
        <f t="shared" si="64"/>
        <v>168.13601097112112</v>
      </c>
      <c r="H126" s="1543">
        <f t="shared" si="64"/>
        <v>167.22548443335833</v>
      </c>
      <c r="I126" s="1543">
        <f t="shared" si="64"/>
        <v>166.84340626001358</v>
      </c>
      <c r="J126" s="261">
        <f t="shared" si="64"/>
        <v>166.04583319289264</v>
      </c>
      <c r="K126" s="261">
        <f t="shared" si="64"/>
        <v>165.30594488135858</v>
      </c>
      <c r="L126" s="261">
        <f t="shared" si="64"/>
        <v>164.62265427020787</v>
      </c>
      <c r="M126" s="261">
        <f t="shared" si="64"/>
        <v>163.99497768372871</v>
      </c>
      <c r="N126" s="261">
        <f t="shared" si="64"/>
        <v>163.3641219586134</v>
      </c>
      <c r="O126" s="284">
        <f t="shared" si="64"/>
        <v>163.46341935887818</v>
      </c>
      <c r="P126" s="261">
        <f t="shared" si="64"/>
        <v>163.64167490988865</v>
      </c>
      <c r="Q126" s="261">
        <f t="shared" si="64"/>
        <v>163.90029020384674</v>
      </c>
      <c r="R126" s="261">
        <f t="shared" si="64"/>
        <v>164.2408723030978</v>
      </c>
      <c r="S126" s="261">
        <f t="shared" si="64"/>
        <v>164.66524735465646</v>
      </c>
      <c r="T126" s="261">
        <f t="shared" si="64"/>
        <v>164.33917352086846</v>
      </c>
      <c r="U126" s="261">
        <f t="shared" si="64"/>
        <v>164.07693523141242</v>
      </c>
      <c r="V126" s="261">
        <f t="shared" si="64"/>
        <v>163.87693964393245</v>
      </c>
      <c r="W126" s="261">
        <f t="shared" si="64"/>
        <v>163.73767004398849</v>
      </c>
      <c r="X126" s="261">
        <f t="shared" si="64"/>
        <v>163.65768308565021</v>
      </c>
    </row>
    <row r="127" spans="1:24" x14ac:dyDescent="0.25">
      <c r="B127" s="764"/>
      <c r="C127" s="764"/>
      <c r="D127" s="764"/>
      <c r="E127" s="764"/>
      <c r="F127" s="764"/>
      <c r="G127" s="764"/>
      <c r="H127" s="764"/>
      <c r="I127" s="764"/>
      <c r="K127" s="261">
        <f>K126-K92+'Electricity Sector Emissions'!$AI$16</f>
        <v>165.32425656298338</v>
      </c>
      <c r="L127" s="261">
        <f>L126-L92+'Electricity Sector Emissions'!$AI$16</f>
        <v>164.89004755104972</v>
      </c>
      <c r="M127" s="261">
        <f>M126-M92+'Electricity Sector Emissions'!$AI$16</f>
        <v>164.49534491489698</v>
      </c>
      <c r="N127" s="261">
        <f>N126-N92+'Electricity Sector Emissions'!$AI$16</f>
        <v>164.08239714324475</v>
      </c>
    </row>
    <row r="128" spans="1:24" hidden="1" x14ac:dyDescent="0.25">
      <c r="B128" s="764"/>
      <c r="C128" s="764"/>
      <c r="D128" s="1543">
        <f>D114+D115+D117+D118+D119</f>
        <v>15.998439133167267</v>
      </c>
      <c r="E128" s="1543">
        <f t="shared" ref="E128:X128" si="65">E114+E115+E117+E118+E119</f>
        <v>15.884731233796579</v>
      </c>
      <c r="F128" s="1543">
        <f t="shared" si="65"/>
        <v>15.784312786030771</v>
      </c>
      <c r="G128" s="1543">
        <f t="shared" si="65"/>
        <v>15.696984087424465</v>
      </c>
      <c r="H128" s="1543">
        <f t="shared" si="65"/>
        <v>15.622558653559228</v>
      </c>
      <c r="I128" s="1543">
        <f t="shared" si="65"/>
        <v>15.560862958431244</v>
      </c>
      <c r="J128" s="261">
        <f t="shared" si="65"/>
        <v>15.967090799731135</v>
      </c>
      <c r="K128" s="261">
        <f t="shared" si="65"/>
        <v>16.386843628436502</v>
      </c>
      <c r="L128" s="261">
        <f t="shared" si="65"/>
        <v>16.820610583635336</v>
      </c>
      <c r="M128" s="261">
        <f t="shared" si="65"/>
        <v>17.268899054482933</v>
      </c>
      <c r="N128" s="261">
        <f t="shared" si="65"/>
        <v>17.732235372066498</v>
      </c>
      <c r="O128" s="284">
        <f t="shared" si="65"/>
        <v>18.004473200957925</v>
      </c>
      <c r="P128" s="261">
        <f t="shared" si="65"/>
        <v>18.281166610126871</v>
      </c>
      <c r="Q128" s="261">
        <f t="shared" si="65"/>
        <v>18.562393931956187</v>
      </c>
      <c r="R128" s="261">
        <f t="shared" si="65"/>
        <v>18.848234975716359</v>
      </c>
      <c r="S128" s="261">
        <f t="shared" si="65"/>
        <v>19.138771057128906</v>
      </c>
      <c r="T128" s="261">
        <f t="shared" si="65"/>
        <v>19.23638798764506</v>
      </c>
      <c r="U128" s="261">
        <f t="shared" si="65"/>
        <v>19.337583703777014</v>
      </c>
      <c r="V128" s="261">
        <f t="shared" si="65"/>
        <v>19.442408266468249</v>
      </c>
      <c r="W128" s="261">
        <f t="shared" si="65"/>
        <v>19.550912804807432</v>
      </c>
      <c r="X128" s="261">
        <f t="shared" si="65"/>
        <v>19.663149535655975</v>
      </c>
    </row>
    <row r="129" spans="1:52" hidden="1" x14ac:dyDescent="0.25">
      <c r="B129" s="764"/>
      <c r="C129" s="764"/>
      <c r="D129" s="1543">
        <f>D114+D115+D117+D118</f>
        <v>11.63109427690506</v>
      </c>
      <c r="E129" s="1543">
        <f t="shared" ref="E129:X129" si="66">E114+E115+E117+E118</f>
        <v>11.394389475853222</v>
      </c>
      <c r="F129" s="1543">
        <f t="shared" si="66"/>
        <v>11.167510182449224</v>
      </c>
      <c r="G129" s="1543">
        <f t="shared" si="66"/>
        <v>10.950159139694899</v>
      </c>
      <c r="H129" s="1543">
        <f t="shared" si="66"/>
        <v>10.74204956120427</v>
      </c>
      <c r="I129" s="1543">
        <f t="shared" si="66"/>
        <v>10.542904794216156</v>
      </c>
      <c r="J129" s="261">
        <f t="shared" si="66"/>
        <v>10.911149166948867</v>
      </c>
      <c r="K129" s="261">
        <f t="shared" si="66"/>
        <v>11.292631010962534</v>
      </c>
      <c r="L129" s="261">
        <f t="shared" si="66"/>
        <v>11.687837288989876</v>
      </c>
      <c r="M129" s="261">
        <f t="shared" si="66"/>
        <v>12.097273197356989</v>
      </c>
      <c r="N129" s="261">
        <f t="shared" si="66"/>
        <v>12.521462857723236</v>
      </c>
      <c r="O129" s="284">
        <f t="shared" si="66"/>
        <v>12.723861055375767</v>
      </c>
      <c r="P129" s="261">
        <f t="shared" si="66"/>
        <v>12.929778777456486</v>
      </c>
      <c r="Q129" s="261">
        <f t="shared" si="66"/>
        <v>13.139281810455067</v>
      </c>
      <c r="R129" s="261">
        <f t="shared" si="66"/>
        <v>13.35243724959706</v>
      </c>
      <c r="S129" s="261">
        <f t="shared" si="66"/>
        <v>13.569313526153564</v>
      </c>
      <c r="T129" s="261">
        <f t="shared" si="66"/>
        <v>13.589617402940387</v>
      </c>
      <c r="U129" s="261">
        <f t="shared" si="66"/>
        <v>13.612426835455956</v>
      </c>
      <c r="V129" s="261">
        <f t="shared" si="66"/>
        <v>13.637776986481853</v>
      </c>
      <c r="W129" s="261">
        <f t="shared" si="66"/>
        <v>13.665703880134348</v>
      </c>
      <c r="X129" s="261">
        <f t="shared" si="66"/>
        <v>13.696244418621063</v>
      </c>
    </row>
    <row r="130" spans="1:52" hidden="1" x14ac:dyDescent="0.25">
      <c r="B130" s="764"/>
      <c r="C130" s="764"/>
      <c r="D130" s="1543"/>
      <c r="E130" s="1543"/>
      <c r="F130" s="1543"/>
      <c r="G130" s="1543"/>
      <c r="H130" s="1543"/>
      <c r="I130" s="1543"/>
      <c r="J130" s="261"/>
      <c r="K130" s="261"/>
      <c r="L130" s="261"/>
      <c r="M130" s="261"/>
      <c r="N130" s="261"/>
      <c r="O130" s="284"/>
      <c r="P130" s="261"/>
      <c r="Q130" s="261"/>
      <c r="R130" s="261"/>
      <c r="S130" s="261"/>
      <c r="T130" s="261"/>
      <c r="U130" s="261"/>
      <c r="V130" s="261"/>
      <c r="W130" s="261"/>
      <c r="X130" s="261"/>
      <c r="AE130" s="1568">
        <v>1</v>
      </c>
      <c r="AF130" s="1568">
        <v>2</v>
      </c>
      <c r="AG130" s="1568">
        <v>3</v>
      </c>
      <c r="AH130" s="1568">
        <v>4</v>
      </c>
      <c r="AI130" s="1568">
        <v>5</v>
      </c>
      <c r="AJ130" s="1568">
        <v>6</v>
      </c>
      <c r="AK130" s="1568">
        <v>7</v>
      </c>
      <c r="AL130" s="1568">
        <v>8</v>
      </c>
      <c r="AM130" s="1568">
        <v>9</v>
      </c>
      <c r="AN130" s="1568">
        <v>10</v>
      </c>
      <c r="AO130" s="1568">
        <v>11</v>
      </c>
      <c r="AP130" s="1568">
        <v>12</v>
      </c>
      <c r="AQ130" s="1568">
        <v>13</v>
      </c>
      <c r="AR130" s="1568">
        <v>14</v>
      </c>
      <c r="AS130" s="1568">
        <v>15</v>
      </c>
      <c r="AT130" s="1568">
        <v>16</v>
      </c>
      <c r="AU130" s="1568">
        <v>17</v>
      </c>
      <c r="AV130" s="1568">
        <v>18</v>
      </c>
      <c r="AW130" s="1568">
        <v>19</v>
      </c>
      <c r="AX130" s="1568">
        <v>20</v>
      </c>
      <c r="AY130" s="1568">
        <v>21</v>
      </c>
      <c r="AZ130" s="1568">
        <v>22</v>
      </c>
    </row>
    <row r="131" spans="1:52" hidden="1" outlineLevel="1" x14ac:dyDescent="0.25">
      <c r="A131" s="184" t="s">
        <v>691</v>
      </c>
      <c r="B131" s="764"/>
      <c r="C131" s="764"/>
      <c r="D131" s="364">
        <v>2010</v>
      </c>
      <c r="E131" s="764">
        <v>2011</v>
      </c>
      <c r="F131" s="764">
        <v>2012</v>
      </c>
      <c r="G131" s="764">
        <v>2013</v>
      </c>
      <c r="H131" s="764">
        <v>2014</v>
      </c>
      <c r="I131" s="364">
        <v>2015</v>
      </c>
      <c r="J131">
        <v>2016</v>
      </c>
      <c r="K131">
        <v>2017</v>
      </c>
      <c r="L131">
        <v>2018</v>
      </c>
      <c r="M131">
        <v>2019</v>
      </c>
      <c r="N131" s="157">
        <v>2020</v>
      </c>
      <c r="O131" s="285">
        <v>2021</v>
      </c>
      <c r="P131">
        <v>2022</v>
      </c>
      <c r="Q131">
        <v>2023</v>
      </c>
      <c r="R131">
        <v>2024</v>
      </c>
      <c r="S131" s="157">
        <v>2025</v>
      </c>
      <c r="T131">
        <v>2026</v>
      </c>
      <c r="U131">
        <v>2027</v>
      </c>
      <c r="V131">
        <v>2028</v>
      </c>
      <c r="W131">
        <v>2029</v>
      </c>
      <c r="X131" s="157">
        <v>2030</v>
      </c>
      <c r="AE131" s="1566"/>
      <c r="AF131" s="1566"/>
      <c r="AG131" s="1566"/>
      <c r="AH131" s="1566"/>
      <c r="AI131" s="1566"/>
      <c r="AJ131" s="1566"/>
      <c r="AK131" s="1566"/>
      <c r="AL131" s="1566"/>
      <c r="AM131" s="1566"/>
      <c r="AN131" s="1566"/>
      <c r="AO131" s="1566"/>
      <c r="AP131" s="1566"/>
      <c r="AQ131" s="1566"/>
      <c r="AR131" s="1566"/>
      <c r="AS131" s="1566"/>
      <c r="AT131" s="1566"/>
      <c r="AU131" s="1566"/>
      <c r="AV131" s="1566"/>
      <c r="AW131" s="1566"/>
      <c r="AX131" s="1566"/>
      <c r="AY131" s="1566"/>
      <c r="AZ131" s="1566"/>
    </row>
    <row r="132" spans="1:52" collapsed="1" x14ac:dyDescent="0.25">
      <c r="A132" s="184"/>
      <c r="B132" s="1155"/>
      <c r="C132" s="764"/>
      <c r="D132" s="364">
        <v>2010</v>
      </c>
      <c r="E132" s="764">
        <v>2011</v>
      </c>
      <c r="F132" s="764">
        <v>2012</v>
      </c>
      <c r="G132" s="764">
        <v>2013</v>
      </c>
      <c r="H132" s="764">
        <v>2014</v>
      </c>
      <c r="I132" s="364">
        <v>2015</v>
      </c>
      <c r="J132">
        <v>2016</v>
      </c>
      <c r="K132">
        <v>2017</v>
      </c>
      <c r="L132">
        <v>2018</v>
      </c>
      <c r="M132">
        <v>2019</v>
      </c>
      <c r="N132" s="157">
        <v>2020</v>
      </c>
      <c r="O132" s="285">
        <v>2021</v>
      </c>
      <c r="P132">
        <v>2022</v>
      </c>
      <c r="Q132">
        <v>2023</v>
      </c>
      <c r="R132">
        <v>2024</v>
      </c>
      <c r="S132" s="157">
        <v>2025</v>
      </c>
      <c r="T132">
        <v>2026</v>
      </c>
      <c r="U132">
        <v>2027</v>
      </c>
      <c r="V132">
        <v>2028</v>
      </c>
      <c r="W132">
        <v>2029</v>
      </c>
      <c r="X132" s="157">
        <v>2030</v>
      </c>
    </row>
    <row r="133" spans="1:52" x14ac:dyDescent="0.25">
      <c r="A133" s="906" t="s">
        <v>457</v>
      </c>
      <c r="B133" s="1544" t="s">
        <v>2</v>
      </c>
      <c r="C133" s="764"/>
      <c r="D133" s="1543">
        <f>D92</f>
        <v>18.467643737792969</v>
      </c>
      <c r="E133" s="1543">
        <f t="shared" ref="E133:X133" si="67">E92</f>
        <v>13.863507775003447</v>
      </c>
      <c r="F133" s="1543">
        <f t="shared" si="67"/>
        <v>10.407220897068814</v>
      </c>
      <c r="G133" s="1543">
        <f t="shared" si="67"/>
        <v>7.8126148560809598</v>
      </c>
      <c r="H133" s="1543">
        <f t="shared" si="67"/>
        <v>5.8648655095471192</v>
      </c>
      <c r="I133" s="1543">
        <f t="shared" si="67"/>
        <v>4.4027061462402344</v>
      </c>
      <c r="J133" s="261">
        <f t="shared" si="67"/>
        <v>4.1179912375710792</v>
      </c>
      <c r="K133" s="261">
        <f t="shared" si="67"/>
        <v>3.8516883183751962</v>
      </c>
      <c r="L133" s="261">
        <f t="shared" si="67"/>
        <v>3.6026067191581479</v>
      </c>
      <c r="M133" s="261">
        <f t="shared" si="67"/>
        <v>3.3696327688317282</v>
      </c>
      <c r="N133" s="261">
        <f t="shared" si="67"/>
        <v>3.1517248153686523</v>
      </c>
      <c r="O133" s="284">
        <f t="shared" si="67"/>
        <v>3.4206507935681891</v>
      </c>
      <c r="P133" s="261">
        <f t="shared" si="67"/>
        <v>3.7125233124675741</v>
      </c>
      <c r="Q133" s="261">
        <f t="shared" si="67"/>
        <v>4.0293003224798349</v>
      </c>
      <c r="R133" s="261">
        <f t="shared" si="67"/>
        <v>4.3731068392793846</v>
      </c>
      <c r="S133" s="261">
        <f t="shared" si="67"/>
        <v>4.7462491989135742</v>
      </c>
      <c r="T133" s="261">
        <f t="shared" si="67"/>
        <v>4.5497419455747279</v>
      </c>
      <c r="U133" s="261">
        <f t="shared" si="67"/>
        <v>4.3613706115684812</v>
      </c>
      <c r="V133" s="261">
        <f t="shared" si="67"/>
        <v>4.1807983483446565</v>
      </c>
      <c r="W133" s="261">
        <f t="shared" si="67"/>
        <v>4.0077022537727887</v>
      </c>
      <c r="X133" s="261">
        <f t="shared" si="67"/>
        <v>3.8417727947235107</v>
      </c>
      <c r="AE133" s="1566"/>
      <c r="AF133" s="1566">
        <v>2010</v>
      </c>
      <c r="AG133" s="1566">
        <v>2011</v>
      </c>
      <c r="AH133" s="1566">
        <v>2012</v>
      </c>
      <c r="AI133" s="1566">
        <v>2013</v>
      </c>
      <c r="AJ133" s="1566">
        <v>2014</v>
      </c>
      <c r="AK133" s="1566">
        <v>2015</v>
      </c>
      <c r="AL133" s="1566">
        <v>2016</v>
      </c>
      <c r="AM133" s="1566">
        <v>2017</v>
      </c>
      <c r="AN133" s="1566">
        <v>2018</v>
      </c>
      <c r="AO133" s="1566">
        <v>2019</v>
      </c>
      <c r="AP133" s="1566">
        <v>2020</v>
      </c>
      <c r="AQ133" s="1566">
        <v>2021</v>
      </c>
      <c r="AR133" s="1566">
        <v>2022</v>
      </c>
      <c r="AS133" s="1566">
        <v>2023</v>
      </c>
      <c r="AT133" s="1566">
        <v>2024</v>
      </c>
      <c r="AU133" s="1566">
        <v>2025</v>
      </c>
      <c r="AV133" s="1566">
        <v>2026</v>
      </c>
      <c r="AW133" s="1566">
        <v>2027</v>
      </c>
      <c r="AX133" s="1566">
        <v>2028</v>
      </c>
      <c r="AY133" s="1566">
        <v>2029</v>
      </c>
      <c r="AZ133" s="1566">
        <v>2030</v>
      </c>
    </row>
    <row r="134" spans="1:52" x14ac:dyDescent="0.25">
      <c r="A134" s="906"/>
      <c r="B134" s="1545" t="s">
        <v>760</v>
      </c>
      <c r="C134" s="1569"/>
      <c r="D134" s="1551">
        <f>VLOOKUP($B$134, $AE$134:$AZ$135, AF130)</f>
        <v>43.231826275587082</v>
      </c>
      <c r="E134" s="1551">
        <f t="shared" ref="E134:X134" si="68">VLOOKUP($B$134, $AE$134:$AZ$135, AG130)</f>
        <v>43.289539229368984</v>
      </c>
      <c r="F134" s="1551">
        <f t="shared" si="68"/>
        <v>43.363110908760909</v>
      </c>
      <c r="G134" s="1551">
        <f t="shared" si="68"/>
        <v>43.45239935932613</v>
      </c>
      <c r="H134" s="1551">
        <f t="shared" si="68"/>
        <v>43.557277490749257</v>
      </c>
      <c r="I134" s="1551">
        <f t="shared" si="68"/>
        <v>43.677632868289948</v>
      </c>
      <c r="J134" s="1551">
        <f t="shared" si="68"/>
        <v>44.222027889224982</v>
      </c>
      <c r="K134" s="1551">
        <f t="shared" si="68"/>
        <v>44.782227407545655</v>
      </c>
      <c r="L134" s="1551">
        <f t="shared" si="68"/>
        <v>45.358736030519069</v>
      </c>
      <c r="M134" s="1551">
        <f t="shared" si="68"/>
        <v>45.952076835306606</v>
      </c>
      <c r="N134" s="1551">
        <f t="shared" si="68"/>
        <v>46.504883632063866</v>
      </c>
      <c r="O134" s="1603">
        <f t="shared" si="68"/>
        <v>47.226687772165292</v>
      </c>
      <c r="P134" s="1551">
        <f t="shared" si="68"/>
        <v>47.965474719234486</v>
      </c>
      <c r="Q134" s="1551">
        <f t="shared" si="68"/>
        <v>48.721609618065536</v>
      </c>
      <c r="R134" s="1551">
        <f t="shared" si="68"/>
        <v>49.495464952725222</v>
      </c>
      <c r="S134" s="1551">
        <f t="shared" si="68"/>
        <v>50.287420783191919</v>
      </c>
      <c r="T134" s="1551">
        <f t="shared" si="68"/>
        <v>50.675662113243959</v>
      </c>
      <c r="U134" s="1551">
        <f t="shared" si="68"/>
        <v>51.074742960012081</v>
      </c>
      <c r="V134" s="1551">
        <f t="shared" si="68"/>
        <v>51.4847874705668</v>
      </c>
      <c r="W134" s="1551">
        <f t="shared" si="68"/>
        <v>51.905922666372142</v>
      </c>
      <c r="X134" s="1551">
        <f t="shared" si="68"/>
        <v>52.338278483599424</v>
      </c>
      <c r="AE134" s="1566" t="s">
        <v>760</v>
      </c>
      <c r="AF134" s="1567">
        <f>D93+D94+D95+D96+D99+D111+D114+D115+D117+D118+D119</f>
        <v>43.231826275587082</v>
      </c>
      <c r="AG134" s="1567">
        <f t="shared" ref="AG134:AZ134" si="69">E93+E94+E95+E96+E99+E111+E114+E115+E117+E118+E119</f>
        <v>43.289539229368984</v>
      </c>
      <c r="AH134" s="1567">
        <f t="shared" si="69"/>
        <v>43.363110908760909</v>
      </c>
      <c r="AI134" s="1567">
        <f t="shared" si="69"/>
        <v>43.45239935932613</v>
      </c>
      <c r="AJ134" s="1567">
        <f t="shared" si="69"/>
        <v>43.557277490749257</v>
      </c>
      <c r="AK134" s="1567">
        <f t="shared" si="69"/>
        <v>43.677632868289948</v>
      </c>
      <c r="AL134" s="1567">
        <f t="shared" si="69"/>
        <v>44.222027889224982</v>
      </c>
      <c r="AM134" s="1567">
        <f t="shared" si="69"/>
        <v>44.782227407545655</v>
      </c>
      <c r="AN134" s="1567">
        <f t="shared" si="69"/>
        <v>45.358736030519069</v>
      </c>
      <c r="AO134" s="1567">
        <f t="shared" si="69"/>
        <v>45.952076835306606</v>
      </c>
      <c r="AP134" s="1567">
        <f t="shared" si="69"/>
        <v>46.504883632063866</v>
      </c>
      <c r="AQ134" s="1567">
        <f t="shared" si="69"/>
        <v>47.226687772165292</v>
      </c>
      <c r="AR134" s="1567">
        <f t="shared" si="69"/>
        <v>47.965474719234486</v>
      </c>
      <c r="AS134" s="1567">
        <f t="shared" si="69"/>
        <v>48.721609618065536</v>
      </c>
      <c r="AT134" s="1567">
        <f t="shared" si="69"/>
        <v>49.495464952725222</v>
      </c>
      <c r="AU134" s="1567">
        <f t="shared" si="69"/>
        <v>50.287420783191919</v>
      </c>
      <c r="AV134" s="1567">
        <f t="shared" si="69"/>
        <v>50.675662113243959</v>
      </c>
      <c r="AW134" s="1567">
        <f t="shared" si="69"/>
        <v>51.074742960012081</v>
      </c>
      <c r="AX134" s="1567">
        <f t="shared" si="69"/>
        <v>51.4847874705668</v>
      </c>
      <c r="AY134" s="1567">
        <f t="shared" si="69"/>
        <v>51.905922666372142</v>
      </c>
      <c r="AZ134" s="1567">
        <f t="shared" si="69"/>
        <v>52.338278483599424</v>
      </c>
    </row>
    <row r="135" spans="1:52" x14ac:dyDescent="0.25">
      <c r="A135" s="906"/>
      <c r="B135" s="1546" t="s">
        <v>102</v>
      </c>
      <c r="C135" s="764"/>
      <c r="D135" s="1543">
        <f>D97+D98</f>
        <v>29.749499320983887</v>
      </c>
      <c r="E135" s="1543">
        <f t="shared" ref="E135:X135" si="70">E97+E98</f>
        <v>30.472989977011189</v>
      </c>
      <c r="F135" s="1543">
        <f t="shared" si="70"/>
        <v>31.215588507190311</v>
      </c>
      <c r="G135" s="1543">
        <f t="shared" si="70"/>
        <v>31.977839164242578</v>
      </c>
      <c r="H135" s="1543">
        <f t="shared" si="70"/>
        <v>32.760302657363283</v>
      </c>
      <c r="I135" s="1543">
        <f t="shared" si="70"/>
        <v>33.563556671142578</v>
      </c>
      <c r="J135" s="261">
        <f t="shared" si="70"/>
        <v>33.07650586081084</v>
      </c>
      <c r="K135" s="261">
        <f t="shared" si="70"/>
        <v>32.596667516360299</v>
      </c>
      <c r="L135" s="261">
        <f t="shared" si="70"/>
        <v>32.123932631325253</v>
      </c>
      <c r="M135" s="261">
        <f t="shared" si="70"/>
        <v>31.658193879525005</v>
      </c>
      <c r="N135" s="261">
        <f t="shared" si="70"/>
        <v>31.199345588684082</v>
      </c>
      <c r="O135" s="284">
        <f t="shared" si="70"/>
        <v>30.999556633929888</v>
      </c>
      <c r="P135" s="261">
        <f t="shared" si="70"/>
        <v>30.807101122619521</v>
      </c>
      <c r="Q135" s="261">
        <f t="shared" si="70"/>
        <v>30.621896819522298</v>
      </c>
      <c r="R135" s="261">
        <f t="shared" si="70"/>
        <v>30.443863418672898</v>
      </c>
      <c r="S135" s="261">
        <f t="shared" si="70"/>
        <v>30.272922515869141</v>
      </c>
      <c r="T135" s="261">
        <f t="shared" si="70"/>
        <v>30.341810210724589</v>
      </c>
      <c r="U135" s="261">
        <f t="shared" si="70"/>
        <v>30.412628698427593</v>
      </c>
      <c r="V135" s="261">
        <f t="shared" si="70"/>
        <v>30.485395251323695</v>
      </c>
      <c r="W135" s="261">
        <f t="shared" si="70"/>
        <v>30.560127358397395</v>
      </c>
      <c r="X135" s="261">
        <f t="shared" si="70"/>
        <v>30.636842727661133</v>
      </c>
      <c r="AE135" s="1566" t="s">
        <v>761</v>
      </c>
      <c r="AF135" s="1567">
        <f>D93+D94+D95+D96+D99+D111+D114+D115+D117+D118</f>
        <v>38.864481419324875</v>
      </c>
      <c r="AG135" s="1567">
        <f t="shared" ref="AG135:AZ135" si="71">E93+E94+E95+E96+E99+E111+E114+E115+E117+E118</f>
        <v>38.799197471425629</v>
      </c>
      <c r="AH135" s="1567">
        <f t="shared" si="71"/>
        <v>38.746308305179362</v>
      </c>
      <c r="AI135" s="1567">
        <f t="shared" si="71"/>
        <v>38.705574411596565</v>
      </c>
      <c r="AJ135" s="1567">
        <f t="shared" si="71"/>
        <v>38.676768398394302</v>
      </c>
      <c r="AK135" s="1567">
        <f t="shared" si="71"/>
        <v>38.65967470407486</v>
      </c>
      <c r="AL135" s="1567">
        <f t="shared" si="71"/>
        <v>39.166086256442718</v>
      </c>
      <c r="AM135" s="1567">
        <f t="shared" si="71"/>
        <v>39.688014790071684</v>
      </c>
      <c r="AN135" s="1567">
        <f t="shared" si="71"/>
        <v>40.225962735873608</v>
      </c>
      <c r="AO135" s="1567">
        <f t="shared" si="71"/>
        <v>40.78045097818066</v>
      </c>
      <c r="AP135" s="1567">
        <f t="shared" si="71"/>
        <v>41.294111117720604</v>
      </c>
      <c r="AQ135" s="1567">
        <f t="shared" si="71"/>
        <v>41.946075626583131</v>
      </c>
      <c r="AR135" s="1567">
        <f t="shared" si="71"/>
        <v>42.614086886564102</v>
      </c>
      <c r="AS135" s="1567">
        <f t="shared" si="71"/>
        <v>43.298497496564416</v>
      </c>
      <c r="AT135" s="1567">
        <f t="shared" si="71"/>
        <v>43.999667226605922</v>
      </c>
      <c r="AU135" s="1567">
        <f t="shared" si="71"/>
        <v>44.717963252216578</v>
      </c>
      <c r="AV135" s="1567">
        <f t="shared" si="71"/>
        <v>45.02889152853929</v>
      </c>
      <c r="AW135" s="1567">
        <f t="shared" si="71"/>
        <v>45.349586091691023</v>
      </c>
      <c r="AX135" s="1567">
        <f t="shared" si="71"/>
        <v>45.680156190580405</v>
      </c>
      <c r="AY135" s="1567">
        <f t="shared" si="71"/>
        <v>46.020713741699055</v>
      </c>
      <c r="AZ135" s="1567">
        <f t="shared" si="71"/>
        <v>46.371373366564512</v>
      </c>
    </row>
    <row r="136" spans="1:52" x14ac:dyDescent="0.25">
      <c r="A136" s="906"/>
      <c r="B136" s="1544" t="s">
        <v>39</v>
      </c>
      <c r="C136" s="764"/>
      <c r="D136" s="1543">
        <f>D102+D103+D104+D106+D107</f>
        <v>58.390068709850311</v>
      </c>
      <c r="E136" s="1543">
        <f t="shared" ref="E136:X136" si="72">E102+E103+E104+E106+E107</f>
        <v>58.618576568757987</v>
      </c>
      <c r="F136" s="1543">
        <f t="shared" si="72"/>
        <v>58.848398695469093</v>
      </c>
      <c r="G136" s="1543">
        <f t="shared" si="72"/>
        <v>59.07954273629435</v>
      </c>
      <c r="H136" s="1543">
        <f t="shared" si="72"/>
        <v>59.312016386131965</v>
      </c>
      <c r="I136" s="1543">
        <f t="shared" si="72"/>
        <v>59.545827388763428</v>
      </c>
      <c r="J136" s="261">
        <f t="shared" si="72"/>
        <v>59.015561623299178</v>
      </c>
      <c r="K136" s="261">
        <f t="shared" si="72"/>
        <v>58.499783998259915</v>
      </c>
      <c r="L136" s="261">
        <f t="shared" si="72"/>
        <v>57.998214887050807</v>
      </c>
      <c r="M136" s="261">
        <f t="shared" si="72"/>
        <v>57.510580544832315</v>
      </c>
      <c r="N136" s="261">
        <f t="shared" si="72"/>
        <v>57.036612987518311</v>
      </c>
      <c r="O136" s="284">
        <f t="shared" si="72"/>
        <v>56.271851653755327</v>
      </c>
      <c r="P136" s="261">
        <f t="shared" si="72"/>
        <v>55.536268310323791</v>
      </c>
      <c r="Q136" s="261">
        <f t="shared" si="72"/>
        <v>54.828976655203235</v>
      </c>
      <c r="R136" s="261">
        <f t="shared" si="72"/>
        <v>54.149118382450382</v>
      </c>
      <c r="S136" s="261">
        <f t="shared" si="72"/>
        <v>53.495862305164337</v>
      </c>
      <c r="T136" s="261">
        <f t="shared" si="72"/>
        <v>52.825337250394668</v>
      </c>
      <c r="U136" s="261">
        <f t="shared" si="72"/>
        <v>52.1954728608873</v>
      </c>
      <c r="V136" s="261">
        <f t="shared" si="72"/>
        <v>51.604826821626659</v>
      </c>
      <c r="W136" s="261">
        <f t="shared" si="72"/>
        <v>51.052014799124841</v>
      </c>
      <c r="X136" s="261">
        <f t="shared" si="72"/>
        <v>50.53570818901062</v>
      </c>
    </row>
    <row r="137" spans="1:52" s="157" customFormat="1" x14ac:dyDescent="0.25">
      <c r="A137" s="1619"/>
      <c r="B137" s="1547" t="s">
        <v>68</v>
      </c>
      <c r="C137" s="364"/>
      <c r="D137" s="1561">
        <f>SUM(D133:D136)</f>
        <v>149.83903804421425</v>
      </c>
      <c r="E137" s="1561">
        <f t="shared" ref="E137:X137" si="73">SUM(E133:E136)</f>
        <v>146.24461355014159</v>
      </c>
      <c r="F137" s="1561">
        <f t="shared" si="73"/>
        <v>143.83431900848913</v>
      </c>
      <c r="G137" s="1561">
        <f t="shared" si="73"/>
        <v>142.32239611594403</v>
      </c>
      <c r="H137" s="1561">
        <f t="shared" si="73"/>
        <v>141.49446204379163</v>
      </c>
      <c r="I137" s="1561">
        <f t="shared" si="73"/>
        <v>141.18972307443619</v>
      </c>
      <c r="J137" s="766">
        <f t="shared" si="73"/>
        <v>140.43208661090608</v>
      </c>
      <c r="K137" s="766">
        <f t="shared" si="73"/>
        <v>139.73036724054106</v>
      </c>
      <c r="L137" s="766">
        <f t="shared" si="73"/>
        <v>139.08349026805328</v>
      </c>
      <c r="M137" s="766">
        <f t="shared" si="73"/>
        <v>138.49048402849564</v>
      </c>
      <c r="N137" s="766">
        <f t="shared" si="73"/>
        <v>137.89256702363491</v>
      </c>
      <c r="O137" s="1604">
        <f t="shared" si="73"/>
        <v>137.9187468534187</v>
      </c>
      <c r="P137" s="766">
        <f t="shared" si="73"/>
        <v>138.02136746464538</v>
      </c>
      <c r="Q137" s="766">
        <f t="shared" si="73"/>
        <v>138.20178341527091</v>
      </c>
      <c r="R137" s="766">
        <f t="shared" si="73"/>
        <v>138.46155359312789</v>
      </c>
      <c r="S137" s="766">
        <f t="shared" si="73"/>
        <v>138.80245480313897</v>
      </c>
      <c r="T137" s="766">
        <f t="shared" si="73"/>
        <v>138.39255151993797</v>
      </c>
      <c r="U137" s="766">
        <f t="shared" si="73"/>
        <v>138.04421513089545</v>
      </c>
      <c r="V137" s="766">
        <f t="shared" si="73"/>
        <v>137.75580789186182</v>
      </c>
      <c r="W137" s="766">
        <f t="shared" si="73"/>
        <v>137.52576707766715</v>
      </c>
      <c r="X137" s="766">
        <f t="shared" si="73"/>
        <v>137.35260219499469</v>
      </c>
      <c r="AF137" s="766"/>
      <c r="AG137" s="766"/>
      <c r="AH137" s="766"/>
      <c r="AI137" s="766"/>
      <c r="AJ137" s="766"/>
      <c r="AK137" s="766"/>
      <c r="AL137" s="766"/>
      <c r="AM137" s="766"/>
      <c r="AN137" s="766"/>
      <c r="AO137" s="766"/>
      <c r="AP137" s="766"/>
      <c r="AQ137" s="766"/>
      <c r="AR137" s="766"/>
      <c r="AS137" s="766"/>
      <c r="AT137" s="766"/>
      <c r="AU137" s="766"/>
      <c r="AV137" s="766"/>
      <c r="AW137" s="766"/>
      <c r="AX137" s="766"/>
      <c r="AY137" s="766"/>
      <c r="AZ137" s="766"/>
    </row>
    <row r="138" spans="1:52" x14ac:dyDescent="0.25">
      <c r="B138" s="1544"/>
      <c r="C138" s="764"/>
      <c r="D138" s="764"/>
      <c r="E138" s="764"/>
      <c r="F138" s="764"/>
      <c r="G138" s="764"/>
      <c r="H138" s="764"/>
      <c r="I138" s="764"/>
      <c r="O138" s="284"/>
    </row>
    <row r="139" spans="1:52" x14ac:dyDescent="0.25">
      <c r="A139" s="103" t="s">
        <v>27</v>
      </c>
      <c r="B139" s="1553" t="s">
        <v>436</v>
      </c>
      <c r="C139" s="764"/>
      <c r="D139" s="764"/>
      <c r="E139" s="764"/>
      <c r="F139" s="764"/>
      <c r="G139" s="764"/>
      <c r="H139" s="764"/>
      <c r="I139" s="764"/>
    </row>
    <row r="140" spans="1:52" x14ac:dyDescent="0.25">
      <c r="A140" s="103"/>
      <c r="B140" s="776" t="s">
        <v>437</v>
      </c>
      <c r="C140" s="764"/>
      <c r="D140" s="1543">
        <f>D101</f>
        <v>1.8933596611022949</v>
      </c>
      <c r="E140" s="1543">
        <f t="shared" ref="E140:X140" si="74">E101</f>
        <v>1.8520562965232965</v>
      </c>
      <c r="F140" s="1543">
        <f t="shared" si="74"/>
        <v>1.8116539588123537</v>
      </c>
      <c r="G140" s="1543">
        <f t="shared" si="74"/>
        <v>1.7721329921998885</v>
      </c>
      <c r="H140" s="1543">
        <f t="shared" si="74"/>
        <v>1.7334741697040665</v>
      </c>
      <c r="I140" s="1543">
        <f t="shared" si="74"/>
        <v>1.6956586837768555</v>
      </c>
      <c r="J140" s="261">
        <f t="shared" si="74"/>
        <v>1.7086813572735513</v>
      </c>
      <c r="K140" s="261">
        <f t="shared" si="74"/>
        <v>1.7218040450164065</v>
      </c>
      <c r="L140" s="261">
        <f t="shared" si="74"/>
        <v>1.7350275151157049</v>
      </c>
      <c r="M140" s="261">
        <f t="shared" si="74"/>
        <v>1.7483525415808239</v>
      </c>
      <c r="N140" s="261">
        <f t="shared" si="74"/>
        <v>1.7617799043655396</v>
      </c>
      <c r="O140" s="284">
        <f t="shared" si="74"/>
        <v>1.8088455707376501</v>
      </c>
      <c r="P140" s="261">
        <f t="shared" si="74"/>
        <v>1.8571685888059413</v>
      </c>
      <c r="Q140" s="261">
        <f t="shared" si="74"/>
        <v>1.9067825485184526</v>
      </c>
      <c r="R140" s="261">
        <f t="shared" si="74"/>
        <v>1.9577219371732753</v>
      </c>
      <c r="S140" s="261">
        <f t="shared" si="74"/>
        <v>2.0100221633911133</v>
      </c>
      <c r="T140" s="261">
        <f t="shared" si="74"/>
        <v>2.0633462698849883</v>
      </c>
      <c r="U140" s="261">
        <f t="shared" si="74"/>
        <v>2.1180850176625059</v>
      </c>
      <c r="V140" s="261">
        <f t="shared" si="74"/>
        <v>2.1742759359031121</v>
      </c>
      <c r="W140" s="261">
        <f t="shared" si="74"/>
        <v>2.2319575494021207</v>
      </c>
      <c r="X140" s="261">
        <f t="shared" si="74"/>
        <v>2.2911694049835205</v>
      </c>
    </row>
    <row r="141" spans="1:52" x14ac:dyDescent="0.25">
      <c r="A141" s="103"/>
      <c r="B141" s="776" t="s">
        <v>440</v>
      </c>
      <c r="C141" s="764"/>
      <c r="D141" s="1543">
        <f>D105</f>
        <v>0.59029883146286011</v>
      </c>
      <c r="E141" s="1543">
        <f t="shared" ref="E141:X141" si="75">E105</f>
        <v>0.59009454420629004</v>
      </c>
      <c r="F141" s="1543">
        <f t="shared" si="75"/>
        <v>0.58989032764828986</v>
      </c>
      <c r="G141" s="1543">
        <f t="shared" si="75"/>
        <v>0.58968618176439258</v>
      </c>
      <c r="H141" s="1543">
        <f t="shared" si="75"/>
        <v>0.58948210653013977</v>
      </c>
      <c r="I141" s="1543">
        <f t="shared" si="75"/>
        <v>0.58927810192108154</v>
      </c>
      <c r="J141" s="261">
        <f t="shared" si="75"/>
        <v>0.59888343214117623</v>
      </c>
      <c r="K141" s="261">
        <f t="shared" si="75"/>
        <v>0.60864533082756256</v>
      </c>
      <c r="L141" s="261">
        <f t="shared" si="75"/>
        <v>0.61856635007205585</v>
      </c>
      <c r="M141" s="261">
        <f t="shared" si="75"/>
        <v>0.62864908356598859</v>
      </c>
      <c r="N141" s="261">
        <f t="shared" si="75"/>
        <v>0.63889616727828979</v>
      </c>
      <c r="O141" s="284">
        <f t="shared" si="75"/>
        <v>0.64888206519231584</v>
      </c>
      <c r="P141" s="261">
        <f t="shared" si="75"/>
        <v>0.65902404192205022</v>
      </c>
      <c r="Q141" s="261">
        <f t="shared" si="75"/>
        <v>0.66932453696736782</v>
      </c>
      <c r="R141" s="261">
        <f t="shared" si="75"/>
        <v>0.67978602795733889</v>
      </c>
      <c r="S141" s="261">
        <f t="shared" si="75"/>
        <v>0.6904110312461853</v>
      </c>
      <c r="T141" s="261">
        <f t="shared" si="75"/>
        <v>0.70106916888027027</v>
      </c>
      <c r="U141" s="261">
        <f t="shared" si="75"/>
        <v>0.71189184023801555</v>
      </c>
      <c r="V141" s="261">
        <f t="shared" si="75"/>
        <v>0.72288158528908109</v>
      </c>
      <c r="W141" s="261">
        <f t="shared" si="75"/>
        <v>0.73404098321360423</v>
      </c>
      <c r="X141" s="261">
        <f t="shared" si="75"/>
        <v>0.74537265300750732</v>
      </c>
    </row>
    <row r="142" spans="1:52" x14ac:dyDescent="0.25">
      <c r="A142" s="103"/>
      <c r="B142" s="1553" t="s">
        <v>149</v>
      </c>
      <c r="C142" s="764"/>
      <c r="D142" s="764"/>
      <c r="E142" s="764"/>
      <c r="F142" s="764"/>
      <c r="G142" s="764"/>
      <c r="H142" s="764"/>
      <c r="I142" s="764"/>
    </row>
    <row r="143" spans="1:52" x14ac:dyDescent="0.25">
      <c r="A143" s="103"/>
      <c r="B143" s="776" t="s">
        <v>443</v>
      </c>
      <c r="C143" s="764"/>
      <c r="D143" s="1543">
        <f>D109</f>
        <v>0</v>
      </c>
      <c r="E143" s="1543">
        <f t="shared" ref="E143:X143" si="76">E109</f>
        <v>0</v>
      </c>
      <c r="F143" s="1543">
        <f t="shared" si="76"/>
        <v>0</v>
      </c>
      <c r="G143" s="1543">
        <f t="shared" si="76"/>
        <v>0</v>
      </c>
      <c r="H143" s="1543">
        <f t="shared" si="76"/>
        <v>0</v>
      </c>
      <c r="I143" s="1543">
        <f t="shared" si="76"/>
        <v>0</v>
      </c>
      <c r="J143" s="261">
        <f t="shared" si="76"/>
        <v>0</v>
      </c>
      <c r="K143" s="261">
        <f t="shared" si="76"/>
        <v>0</v>
      </c>
      <c r="L143" s="261">
        <f t="shared" si="76"/>
        <v>0</v>
      </c>
      <c r="M143" s="261">
        <f t="shared" si="76"/>
        <v>0</v>
      </c>
      <c r="N143" s="261">
        <f t="shared" si="76"/>
        <v>0</v>
      </c>
      <c r="O143" s="284">
        <f t="shared" si="76"/>
        <v>0</v>
      </c>
      <c r="P143" s="261">
        <f t="shared" si="76"/>
        <v>0</v>
      </c>
      <c r="Q143" s="261">
        <f t="shared" si="76"/>
        <v>0</v>
      </c>
      <c r="R143" s="261">
        <f t="shared" si="76"/>
        <v>0</v>
      </c>
      <c r="S143" s="261">
        <f t="shared" si="76"/>
        <v>0</v>
      </c>
      <c r="T143" s="261">
        <f t="shared" si="76"/>
        <v>0</v>
      </c>
      <c r="U143" s="261">
        <f t="shared" si="76"/>
        <v>0</v>
      </c>
      <c r="V143" s="261">
        <f t="shared" si="76"/>
        <v>0</v>
      </c>
      <c r="W143" s="261">
        <f t="shared" si="76"/>
        <v>0</v>
      </c>
      <c r="X143" s="261">
        <f t="shared" si="76"/>
        <v>0</v>
      </c>
    </row>
    <row r="144" spans="1:52" x14ac:dyDescent="0.25">
      <c r="A144" s="103"/>
      <c r="B144" s="776" t="s">
        <v>13</v>
      </c>
      <c r="C144" s="764"/>
      <c r="D144" s="1543">
        <f>D110</f>
        <v>1.4008268117904663</v>
      </c>
      <c r="E144" s="1543">
        <f t="shared" ref="E144:X144" si="77">E110</f>
        <v>1.4006484769763163</v>
      </c>
      <c r="F144" s="1543">
        <f t="shared" si="77"/>
        <v>1.4004701648654054</v>
      </c>
      <c r="G144" s="1543">
        <f t="shared" si="77"/>
        <v>1.4002918754548432</v>
      </c>
      <c r="H144" s="1543">
        <f t="shared" si="77"/>
        <v>1.4001136087417398</v>
      </c>
      <c r="I144" s="1543">
        <f t="shared" si="77"/>
        <v>1.3999353647232056</v>
      </c>
      <c r="J144" s="261">
        <f t="shared" si="77"/>
        <v>1.385471339634305</v>
      </c>
      <c r="K144" s="261">
        <f t="shared" si="77"/>
        <v>1.37115675574608</v>
      </c>
      <c r="L144" s="261">
        <f t="shared" si="77"/>
        <v>1.356990069043478</v>
      </c>
      <c r="M144" s="261">
        <f t="shared" si="77"/>
        <v>1.3429697514640915</v>
      </c>
      <c r="N144" s="261">
        <f t="shared" si="77"/>
        <v>1.3290942907333374</v>
      </c>
      <c r="O144" s="284">
        <f t="shared" si="77"/>
        <v>1.3272527517286064</v>
      </c>
      <c r="P144" s="261">
        <f t="shared" si="77"/>
        <v>1.3254137642854384</v>
      </c>
      <c r="Q144" s="261">
        <f t="shared" si="77"/>
        <v>1.3235773248684937</v>
      </c>
      <c r="R144" s="261">
        <f t="shared" si="77"/>
        <v>1.3217434299473305</v>
      </c>
      <c r="S144" s="261">
        <f t="shared" si="77"/>
        <v>1.3199120759963989</v>
      </c>
      <c r="T144" s="261">
        <f t="shared" si="77"/>
        <v>1.3190992124685561</v>
      </c>
      <c r="U144" s="261">
        <f t="shared" si="77"/>
        <v>1.3182868495400539</v>
      </c>
      <c r="V144" s="261">
        <f t="shared" si="77"/>
        <v>1.3174749869025999</v>
      </c>
      <c r="W144" s="261">
        <f t="shared" si="77"/>
        <v>1.3166636242480914</v>
      </c>
      <c r="X144" s="261">
        <f t="shared" si="77"/>
        <v>1.3158527612686157</v>
      </c>
    </row>
    <row r="145" spans="1:24" x14ac:dyDescent="0.25">
      <c r="A145" s="103"/>
      <c r="B145" s="1553" t="s">
        <v>460</v>
      </c>
      <c r="C145" s="764"/>
      <c r="D145" s="764"/>
      <c r="E145" s="764"/>
      <c r="F145" s="764"/>
      <c r="G145" s="764"/>
      <c r="H145" s="764"/>
      <c r="I145" s="764"/>
    </row>
    <row r="146" spans="1:24" x14ac:dyDescent="0.25">
      <c r="A146" s="103"/>
      <c r="B146" s="1570" t="s">
        <v>445</v>
      </c>
      <c r="C146" s="764"/>
      <c r="D146" s="1551">
        <f>D126-D137-D101-D105-D109-D110-D120-D122-D123-D124</f>
        <v>0</v>
      </c>
      <c r="E146" s="1551">
        <f t="shared" ref="E146:X146" si="78">E126-E137-E101-E105-E109-E110-E120-E122-E123-E124</f>
        <v>0</v>
      </c>
      <c r="F146" s="1551">
        <f t="shared" si="78"/>
        <v>0</v>
      </c>
      <c r="G146" s="1551">
        <f t="shared" si="78"/>
        <v>1.5987211554602254E-14</v>
      </c>
      <c r="H146" s="1551">
        <f t="shared" si="78"/>
        <v>2.4868995751603507E-14</v>
      </c>
      <c r="I146" s="1551">
        <f t="shared" si="78"/>
        <v>0</v>
      </c>
      <c r="J146" s="1551">
        <f t="shared" si="78"/>
        <v>-7.9936057773011271E-14</v>
      </c>
      <c r="K146" s="1551">
        <f t="shared" si="78"/>
        <v>-2.3092638912203256E-14</v>
      </c>
      <c r="L146" s="1551">
        <f t="shared" si="78"/>
        <v>0</v>
      </c>
      <c r="M146" s="1551">
        <f t="shared" si="78"/>
        <v>3.5527136788005009E-14</v>
      </c>
      <c r="N146" s="1551">
        <f t="shared" si="78"/>
        <v>0</v>
      </c>
      <c r="O146" s="1605">
        <f t="shared" si="78"/>
        <v>-1.9539925233402755E-14</v>
      </c>
      <c r="P146" s="1551">
        <f t="shared" si="78"/>
        <v>2.3092638912203256E-14</v>
      </c>
      <c r="Q146" s="1551">
        <f t="shared" si="78"/>
        <v>0</v>
      </c>
      <c r="R146" s="1551">
        <f t="shared" si="78"/>
        <v>0</v>
      </c>
      <c r="S146" s="1551">
        <f t="shared" si="78"/>
        <v>0</v>
      </c>
      <c r="T146" s="1551">
        <f t="shared" si="78"/>
        <v>0</v>
      </c>
      <c r="U146" s="1551">
        <f t="shared" si="78"/>
        <v>4.0856207306205761E-14</v>
      </c>
      <c r="V146" s="1551">
        <f t="shared" si="78"/>
        <v>1.4210854715202004E-14</v>
      </c>
      <c r="W146" s="1551">
        <f t="shared" si="78"/>
        <v>0</v>
      </c>
      <c r="X146" s="1551">
        <f t="shared" si="78"/>
        <v>0</v>
      </c>
    </row>
    <row r="147" spans="1:24" x14ac:dyDescent="0.25">
      <c r="A147" s="103"/>
      <c r="B147" s="776" t="s">
        <v>446</v>
      </c>
      <c r="C147" s="764"/>
      <c r="D147" s="1543">
        <f>D120</f>
        <v>3.5005562305450439</v>
      </c>
      <c r="E147" s="1543">
        <f t="shared" ref="E147:X147" si="79">E120</f>
        <v>3.5368540308409759</v>
      </c>
      <c r="F147" s="1543">
        <f t="shared" si="79"/>
        <v>3.5735282085522533</v>
      </c>
      <c r="G147" s="1543">
        <f t="shared" si="79"/>
        <v>3.6105826663935754</v>
      </c>
      <c r="H147" s="1543">
        <f t="shared" si="79"/>
        <v>3.648021347547485</v>
      </c>
      <c r="I147" s="1543">
        <f t="shared" si="79"/>
        <v>3.6858482360839844</v>
      </c>
      <c r="J147" s="261">
        <f t="shared" si="79"/>
        <v>3.7181825556896628</v>
      </c>
      <c r="K147" s="261">
        <f t="shared" si="79"/>
        <v>3.7508005300085565</v>
      </c>
      <c r="L147" s="261">
        <f t="shared" si="79"/>
        <v>3.783704647418257</v>
      </c>
      <c r="M147" s="261">
        <f t="shared" si="79"/>
        <v>3.8168974181257931</v>
      </c>
      <c r="N147" s="261">
        <f t="shared" si="79"/>
        <v>3.8503813743591309</v>
      </c>
      <c r="O147" s="284">
        <f t="shared" si="79"/>
        <v>3.9078462330709938</v>
      </c>
      <c r="P147" s="261">
        <f t="shared" si="79"/>
        <v>3.9661687237069994</v>
      </c>
      <c r="Q147" s="261">
        <f t="shared" si="79"/>
        <v>4.025361645959582</v>
      </c>
      <c r="R147" s="261">
        <f t="shared" si="79"/>
        <v>4.0854379905496607</v>
      </c>
      <c r="S147" s="261">
        <f t="shared" si="79"/>
        <v>4.1464109420776367</v>
      </c>
      <c r="T147" s="261">
        <f t="shared" si="79"/>
        <v>4.1931172042540545</v>
      </c>
      <c r="U147" s="261">
        <f t="shared" si="79"/>
        <v>4.2403495780380691</v>
      </c>
      <c r="V147" s="261">
        <f t="shared" si="79"/>
        <v>4.2881139896890454</v>
      </c>
      <c r="W147" s="261">
        <f t="shared" si="79"/>
        <v>4.3364164322212924</v>
      </c>
      <c r="X147" s="261">
        <f t="shared" si="79"/>
        <v>4.3852629661560059</v>
      </c>
    </row>
    <row r="148" spans="1:24" x14ac:dyDescent="0.25">
      <c r="A148" s="103"/>
      <c r="B148" s="1554" t="s">
        <v>447</v>
      </c>
      <c r="C148" s="764"/>
      <c r="D148" s="1543">
        <f t="shared" ref="D148:X148" si="80">D122+D123</f>
        <v>10.310426712036133</v>
      </c>
      <c r="E148" s="1543">
        <f t="shared" si="80"/>
        <v>10.171623089287179</v>
      </c>
      <c r="F148" s="1543">
        <f t="shared" si="80"/>
        <v>10.036952242355465</v>
      </c>
      <c r="G148" s="1543">
        <f t="shared" si="80"/>
        <v>9.9062916735350672</v>
      </c>
      <c r="H148" s="1543">
        <f t="shared" si="80"/>
        <v>9.7795225160791723</v>
      </c>
      <c r="I148" s="1543">
        <f t="shared" si="80"/>
        <v>9.656529426574707</v>
      </c>
      <c r="J148" s="261">
        <f t="shared" si="80"/>
        <v>9.575936602065827</v>
      </c>
      <c r="K148" s="261">
        <f t="shared" si="80"/>
        <v>9.4964217584611994</v>
      </c>
      <c r="L148" s="261">
        <f t="shared" si="80"/>
        <v>9.4179682712806212</v>
      </c>
      <c r="M148" s="261">
        <f t="shared" si="80"/>
        <v>9.3405597799139226</v>
      </c>
      <c r="N148" s="261">
        <f t="shared" si="80"/>
        <v>9.2641801834106445</v>
      </c>
      <c r="O148" s="284">
        <f t="shared" si="80"/>
        <v>9.2252687948597476</v>
      </c>
      <c r="P148" s="261">
        <f t="shared" si="80"/>
        <v>9.1866011132532108</v>
      </c>
      <c r="Q148" s="261">
        <f t="shared" si="80"/>
        <v>9.1481753472357727</v>
      </c>
      <c r="R148" s="261">
        <f t="shared" si="80"/>
        <v>9.1099897192060784</v>
      </c>
      <c r="S148" s="261">
        <f t="shared" si="80"/>
        <v>9.0720424652099609</v>
      </c>
      <c r="T148" s="261">
        <f t="shared" si="80"/>
        <v>9.0465586315601243</v>
      </c>
      <c r="U148" s="261">
        <f t="shared" si="80"/>
        <v>9.0212376241987293</v>
      </c>
      <c r="V148" s="261">
        <f t="shared" si="80"/>
        <v>8.9960783498217793</v>
      </c>
      <c r="W148" s="261">
        <f t="shared" si="80"/>
        <v>8.9710797224798142</v>
      </c>
      <c r="X148" s="261">
        <f t="shared" si="80"/>
        <v>8.9462406635284424</v>
      </c>
    </row>
    <row r="149" spans="1:24" x14ac:dyDescent="0.25">
      <c r="A149" s="103"/>
      <c r="B149" s="1554" t="s">
        <v>449</v>
      </c>
      <c r="C149" s="764"/>
      <c r="D149" s="1543">
        <f t="shared" ref="D149:X149" si="81">D124</f>
        <v>8.3987522125244141</v>
      </c>
      <c r="E149" s="1543">
        <f t="shared" si="81"/>
        <v>8.4438025512637847</v>
      </c>
      <c r="F149" s="1543">
        <f t="shared" si="81"/>
        <v>8.4890945369727504</v>
      </c>
      <c r="G149" s="1543">
        <f t="shared" si="81"/>
        <v>8.53462946582931</v>
      </c>
      <c r="H149" s="1543">
        <f t="shared" si="81"/>
        <v>8.5804086409640732</v>
      </c>
      <c r="I149" s="1543">
        <f t="shared" si="81"/>
        <v>8.6264333724975586</v>
      </c>
      <c r="J149" s="261">
        <f t="shared" si="81"/>
        <v>8.62659129518212</v>
      </c>
      <c r="K149" s="261">
        <f t="shared" si="81"/>
        <v>8.6267492207577465</v>
      </c>
      <c r="L149" s="261">
        <f t="shared" si="81"/>
        <v>8.6269071492244898</v>
      </c>
      <c r="M149" s="261">
        <f t="shared" si="81"/>
        <v>8.627065080582403</v>
      </c>
      <c r="N149" s="261">
        <f t="shared" si="81"/>
        <v>8.627223014831543</v>
      </c>
      <c r="O149" s="284">
        <f t="shared" si="81"/>
        <v>8.6265770898701959</v>
      </c>
      <c r="P149" s="261">
        <f t="shared" si="81"/>
        <v>8.6259312132696078</v>
      </c>
      <c r="Q149" s="261">
        <f t="shared" si="81"/>
        <v>8.6252853850261584</v>
      </c>
      <c r="R149" s="261">
        <f t="shared" si="81"/>
        <v>8.6246396051362257</v>
      </c>
      <c r="S149" s="261">
        <f t="shared" si="81"/>
        <v>8.6239938735961914</v>
      </c>
      <c r="T149" s="261">
        <f t="shared" si="81"/>
        <v>8.6234315138824922</v>
      </c>
      <c r="U149" s="261">
        <f t="shared" si="81"/>
        <v>8.6228691908395572</v>
      </c>
      <c r="V149" s="261">
        <f t="shared" si="81"/>
        <v>8.6223069044649954</v>
      </c>
      <c r="W149" s="261">
        <f t="shared" si="81"/>
        <v>8.6217446547564158</v>
      </c>
      <c r="X149" s="261">
        <f t="shared" si="81"/>
        <v>8.6211824417114258</v>
      </c>
    </row>
    <row r="150" spans="1:24" s="157" customFormat="1" x14ac:dyDescent="0.25">
      <c r="A150" s="1620"/>
      <c r="B150" s="774" t="s">
        <v>106</v>
      </c>
      <c r="C150" s="364"/>
      <c r="D150" s="1561">
        <f t="shared" ref="D150:X150" si="82">SUM(D140:D149)</f>
        <v>26.094220459461212</v>
      </c>
      <c r="E150" s="1561">
        <f t="shared" si="82"/>
        <v>25.995078989097841</v>
      </c>
      <c r="F150" s="1561">
        <f t="shared" si="82"/>
        <v>25.901589439206518</v>
      </c>
      <c r="G150" s="1561">
        <f t="shared" si="82"/>
        <v>25.813614855177093</v>
      </c>
      <c r="H150" s="1561">
        <f t="shared" si="82"/>
        <v>25.731022389566704</v>
      </c>
      <c r="I150" s="1561">
        <f t="shared" si="82"/>
        <v>25.653683185577393</v>
      </c>
      <c r="J150" s="766">
        <f t="shared" si="82"/>
        <v>25.613746581986565</v>
      </c>
      <c r="K150" s="766">
        <f t="shared" si="82"/>
        <v>25.575577640817528</v>
      </c>
      <c r="L150" s="766">
        <f t="shared" si="82"/>
        <v>25.539164002154607</v>
      </c>
      <c r="M150" s="766">
        <f t="shared" si="82"/>
        <v>25.504493655233055</v>
      </c>
      <c r="N150" s="766">
        <f t="shared" si="82"/>
        <v>25.471554934978485</v>
      </c>
      <c r="O150" s="1604">
        <f t="shared" si="82"/>
        <v>25.544672505459488</v>
      </c>
      <c r="P150" s="766">
        <f t="shared" si="82"/>
        <v>25.62030744524327</v>
      </c>
      <c r="Q150" s="766">
        <f t="shared" si="82"/>
        <v>25.698506788575827</v>
      </c>
      <c r="R150" s="766">
        <f t="shared" si="82"/>
        <v>25.779318709969907</v>
      </c>
      <c r="S150" s="766">
        <f t="shared" si="82"/>
        <v>25.862792551517487</v>
      </c>
      <c r="T150" s="766">
        <f t="shared" si="82"/>
        <v>25.946622000930489</v>
      </c>
      <c r="U150" s="766">
        <f t="shared" si="82"/>
        <v>26.032720100516975</v>
      </c>
      <c r="V150" s="766">
        <f t="shared" si="82"/>
        <v>26.121131752070628</v>
      </c>
      <c r="W150" s="766">
        <f t="shared" si="82"/>
        <v>26.21190296632134</v>
      </c>
      <c r="X150" s="766">
        <f t="shared" si="82"/>
        <v>26.305080890655518</v>
      </c>
    </row>
    <row r="151" spans="1:24" x14ac:dyDescent="0.25">
      <c r="B151" s="764"/>
      <c r="C151" s="764"/>
      <c r="D151" s="764"/>
      <c r="E151" s="764"/>
      <c r="F151" s="764"/>
      <c r="G151" s="764"/>
      <c r="H151" s="764"/>
      <c r="I151" s="764"/>
    </row>
    <row r="152" spans="1:24" s="157" customFormat="1" x14ac:dyDescent="0.25">
      <c r="B152" s="1547" t="s">
        <v>458</v>
      </c>
      <c r="C152" s="364"/>
      <c r="D152" s="1561">
        <f>D137+D150</f>
        <v>175.93325850367546</v>
      </c>
      <c r="E152" s="1561">
        <f t="shared" ref="E152:X152" si="83">E137+E150</f>
        <v>172.23969253923943</v>
      </c>
      <c r="F152" s="1561">
        <f t="shared" si="83"/>
        <v>169.73590844769564</v>
      </c>
      <c r="G152" s="1561">
        <f t="shared" si="83"/>
        <v>168.13601097112112</v>
      </c>
      <c r="H152" s="1561">
        <f t="shared" si="83"/>
        <v>167.22548443335833</v>
      </c>
      <c r="I152" s="1561">
        <f t="shared" si="83"/>
        <v>166.84340626001358</v>
      </c>
      <c r="J152" s="766">
        <f t="shared" si="83"/>
        <v>166.04583319289264</v>
      </c>
      <c r="K152" s="766">
        <f t="shared" si="83"/>
        <v>165.30594488135858</v>
      </c>
      <c r="L152" s="766">
        <f t="shared" si="83"/>
        <v>164.62265427020787</v>
      </c>
      <c r="M152" s="766">
        <f t="shared" si="83"/>
        <v>163.99497768372871</v>
      </c>
      <c r="N152" s="766">
        <f t="shared" si="83"/>
        <v>163.3641219586134</v>
      </c>
      <c r="O152" s="1604">
        <f t="shared" si="83"/>
        <v>163.46341935887818</v>
      </c>
      <c r="P152" s="766">
        <f t="shared" si="83"/>
        <v>163.64167490988865</v>
      </c>
      <c r="Q152" s="766">
        <f t="shared" si="83"/>
        <v>163.90029020384674</v>
      </c>
      <c r="R152" s="766">
        <f t="shared" si="83"/>
        <v>164.2408723030978</v>
      </c>
      <c r="S152" s="766">
        <f t="shared" si="83"/>
        <v>164.66524735465646</v>
      </c>
      <c r="T152" s="766">
        <f t="shared" si="83"/>
        <v>164.33917352086846</v>
      </c>
      <c r="U152" s="766">
        <f t="shared" si="83"/>
        <v>164.07693523141242</v>
      </c>
      <c r="V152" s="766">
        <f t="shared" si="83"/>
        <v>163.87693964393245</v>
      </c>
      <c r="W152" s="766">
        <f t="shared" si="83"/>
        <v>163.73767004398849</v>
      </c>
      <c r="X152" s="766">
        <f t="shared" si="83"/>
        <v>163.65768308565021</v>
      </c>
    </row>
    <row r="153" spans="1:24" x14ac:dyDescent="0.25">
      <c r="B153" s="764"/>
      <c r="C153" s="764"/>
      <c r="D153" s="764"/>
      <c r="E153" s="764"/>
      <c r="F153" s="764"/>
      <c r="G153" s="764"/>
      <c r="H153" s="764"/>
      <c r="I153" s="764"/>
    </row>
    <row r="154" spans="1:24" x14ac:dyDescent="0.25">
      <c r="A154" s="184" t="s">
        <v>691</v>
      </c>
      <c r="B154" s="1155" t="s">
        <v>687</v>
      </c>
      <c r="C154" s="764"/>
      <c r="D154" s="364">
        <v>2010</v>
      </c>
      <c r="E154" s="764">
        <v>2011</v>
      </c>
      <c r="F154" s="764">
        <v>2012</v>
      </c>
      <c r="G154" s="764">
        <v>2013</v>
      </c>
      <c r="H154" s="764">
        <v>2014</v>
      </c>
      <c r="I154" s="364">
        <v>2015</v>
      </c>
      <c r="J154">
        <v>2016</v>
      </c>
      <c r="K154">
        <v>2017</v>
      </c>
      <c r="L154">
        <v>2018</v>
      </c>
      <c r="M154">
        <v>2019</v>
      </c>
      <c r="N154" s="157">
        <v>2020</v>
      </c>
      <c r="O154" s="285">
        <v>2021</v>
      </c>
      <c r="P154">
        <v>2022</v>
      </c>
      <c r="Q154">
        <v>2023</v>
      </c>
      <c r="R154">
        <v>2024</v>
      </c>
      <c r="S154" s="157">
        <v>2025</v>
      </c>
      <c r="T154">
        <v>2026</v>
      </c>
      <c r="U154">
        <v>2027</v>
      </c>
      <c r="V154">
        <v>2028</v>
      </c>
      <c r="W154">
        <v>2029</v>
      </c>
      <c r="X154" s="157">
        <v>2030</v>
      </c>
    </row>
    <row r="155" spans="1:24" x14ac:dyDescent="0.25">
      <c r="B155" s="364" t="s">
        <v>591</v>
      </c>
      <c r="C155" s="764"/>
      <c r="D155" s="1543">
        <f t="shared" ref="D155:X155" si="84">D93+D94+D95+D96+D99</f>
        <v>27.233387142419815</v>
      </c>
      <c r="E155" s="1543">
        <f t="shared" si="84"/>
        <v>27.404807995572405</v>
      </c>
      <c r="F155" s="1543">
        <f t="shared" si="84"/>
        <v>27.578798122730134</v>
      </c>
      <c r="G155" s="1543">
        <f t="shared" si="84"/>
        <v>27.755415271901665</v>
      </c>
      <c r="H155" s="1543">
        <f t="shared" si="84"/>
        <v>27.934718837190033</v>
      </c>
      <c r="I155" s="1552">
        <f t="shared" si="84"/>
        <v>28.116769909858704</v>
      </c>
      <c r="J155" s="261">
        <f t="shared" si="84"/>
        <v>28.254937089493854</v>
      </c>
      <c r="K155" s="261">
        <f t="shared" si="84"/>
        <v>28.395383779109153</v>
      </c>
      <c r="L155" s="261">
        <f t="shared" si="84"/>
        <v>28.538125446883736</v>
      </c>
      <c r="M155" s="261">
        <f t="shared" si="84"/>
        <v>28.683177780823669</v>
      </c>
      <c r="N155" s="261">
        <f t="shared" si="84"/>
        <v>28.830556690692902</v>
      </c>
      <c r="O155" s="284">
        <f t="shared" si="84"/>
        <v>29.276547989234466</v>
      </c>
      <c r="P155" s="261">
        <f t="shared" si="84"/>
        <v>29.735287220077304</v>
      </c>
      <c r="Q155" s="261">
        <f t="shared" si="84"/>
        <v>30.20704757023567</v>
      </c>
      <c r="R155" s="261">
        <f t="shared" si="84"/>
        <v>30.692108930281211</v>
      </c>
      <c r="S155" s="261">
        <f t="shared" si="84"/>
        <v>31.190758049488068</v>
      </c>
      <c r="T155" s="261">
        <f t="shared" si="84"/>
        <v>31.482323949084726</v>
      </c>
      <c r="U155" s="261">
        <f t="shared" si="84"/>
        <v>31.781171630782787</v>
      </c>
      <c r="V155" s="261">
        <f t="shared" si="84"/>
        <v>32.087375651388669</v>
      </c>
      <c r="W155" s="261">
        <f t="shared" si="84"/>
        <v>32.401012384481021</v>
      </c>
      <c r="X155" s="261">
        <f t="shared" si="84"/>
        <v>32.722160041332245</v>
      </c>
    </row>
    <row r="156" spans="1:24" x14ac:dyDescent="0.25">
      <c r="B156" s="764" t="s">
        <v>756</v>
      </c>
      <c r="C156" s="764"/>
      <c r="D156" s="1543">
        <f t="shared" ref="D156:X156" si="85">D114+D115+D117+D119</f>
        <v>15.998439133167267</v>
      </c>
      <c r="E156" s="1543">
        <f t="shared" si="85"/>
        <v>15.884731233796579</v>
      </c>
      <c r="F156" s="1543">
        <f t="shared" si="85"/>
        <v>15.784312786030771</v>
      </c>
      <c r="G156" s="1543">
        <f t="shared" si="85"/>
        <v>15.696984087424465</v>
      </c>
      <c r="H156" s="1543">
        <f t="shared" si="85"/>
        <v>15.622558653559228</v>
      </c>
      <c r="I156" s="1543">
        <f t="shared" si="85"/>
        <v>15.560862958431244</v>
      </c>
      <c r="J156" s="261">
        <f t="shared" si="85"/>
        <v>15.967090799731135</v>
      </c>
      <c r="K156" s="261">
        <f t="shared" si="85"/>
        <v>16.386843628436502</v>
      </c>
      <c r="L156" s="261">
        <f t="shared" si="85"/>
        <v>16.820610583635336</v>
      </c>
      <c r="M156" s="261">
        <f t="shared" si="85"/>
        <v>17.268899054482933</v>
      </c>
      <c r="N156" s="261">
        <f t="shared" si="85"/>
        <v>17.732235372066498</v>
      </c>
      <c r="O156" s="284">
        <f t="shared" si="85"/>
        <v>18.004473200957925</v>
      </c>
      <c r="P156" s="261">
        <f t="shared" si="85"/>
        <v>18.281166610126871</v>
      </c>
      <c r="Q156" s="261">
        <f t="shared" si="85"/>
        <v>18.562393931956187</v>
      </c>
      <c r="R156" s="261">
        <f t="shared" si="85"/>
        <v>18.848234975716359</v>
      </c>
      <c r="S156" s="261">
        <f t="shared" si="85"/>
        <v>19.138771057128906</v>
      </c>
      <c r="T156" s="261">
        <f t="shared" si="85"/>
        <v>19.23638798764506</v>
      </c>
      <c r="U156" s="261">
        <f t="shared" si="85"/>
        <v>19.337583703777014</v>
      </c>
      <c r="V156" s="261">
        <f t="shared" si="85"/>
        <v>19.442408266468249</v>
      </c>
      <c r="W156" s="261">
        <f t="shared" si="85"/>
        <v>19.550912804807432</v>
      </c>
      <c r="X156" s="261">
        <f t="shared" si="85"/>
        <v>19.663149535655975</v>
      </c>
    </row>
    <row r="157" spans="1:24" x14ac:dyDescent="0.25">
      <c r="B157" s="764" t="s">
        <v>757</v>
      </c>
      <c r="C157" s="764"/>
      <c r="D157" s="1543">
        <f t="shared" ref="D157:X157" si="86">D114+D115+D117</f>
        <v>11.63109427690506</v>
      </c>
      <c r="E157" s="1543">
        <f t="shared" si="86"/>
        <v>11.394389475853222</v>
      </c>
      <c r="F157" s="1543">
        <f t="shared" si="86"/>
        <v>11.167510182449224</v>
      </c>
      <c r="G157" s="1543">
        <f t="shared" si="86"/>
        <v>10.950159139694899</v>
      </c>
      <c r="H157" s="1543">
        <f t="shared" si="86"/>
        <v>10.74204956120427</v>
      </c>
      <c r="I157" s="1543">
        <f t="shared" si="86"/>
        <v>10.542904794216156</v>
      </c>
      <c r="J157" s="261">
        <f t="shared" si="86"/>
        <v>10.911149166948867</v>
      </c>
      <c r="K157" s="261">
        <f t="shared" si="86"/>
        <v>11.292631010962534</v>
      </c>
      <c r="L157" s="261">
        <f t="shared" si="86"/>
        <v>11.687837288989876</v>
      </c>
      <c r="M157" s="261">
        <f t="shared" si="86"/>
        <v>12.097273197356989</v>
      </c>
      <c r="N157" s="261">
        <f t="shared" si="86"/>
        <v>12.521462857723236</v>
      </c>
      <c r="O157" s="284">
        <f t="shared" si="86"/>
        <v>12.723861055375767</v>
      </c>
      <c r="P157" s="261">
        <f t="shared" si="86"/>
        <v>12.929778777456486</v>
      </c>
      <c r="Q157" s="261">
        <f t="shared" si="86"/>
        <v>13.139281810455067</v>
      </c>
      <c r="R157" s="261">
        <f t="shared" si="86"/>
        <v>13.35243724959706</v>
      </c>
      <c r="S157" s="261">
        <f t="shared" si="86"/>
        <v>13.569313526153564</v>
      </c>
      <c r="T157" s="261">
        <f t="shared" si="86"/>
        <v>13.589617402940387</v>
      </c>
      <c r="U157" s="261">
        <f t="shared" si="86"/>
        <v>13.612426835455956</v>
      </c>
      <c r="V157" s="261">
        <f t="shared" si="86"/>
        <v>13.637776986481853</v>
      </c>
      <c r="W157" s="261">
        <f t="shared" si="86"/>
        <v>13.665703880134348</v>
      </c>
      <c r="X157" s="261">
        <f t="shared" si="86"/>
        <v>13.696244418621063</v>
      </c>
    </row>
    <row r="158" spans="1:24" x14ac:dyDescent="0.25">
      <c r="B158" s="764"/>
      <c r="C158" s="764"/>
      <c r="D158" s="764"/>
      <c r="E158" s="764"/>
      <c r="F158" s="764"/>
      <c r="G158" s="764"/>
      <c r="H158" s="764"/>
      <c r="I158" s="764"/>
    </row>
    <row r="159" spans="1:24" ht="23.25" x14ac:dyDescent="0.35">
      <c r="A159" s="1548" t="s">
        <v>686</v>
      </c>
      <c r="B159" s="764"/>
      <c r="C159" s="764"/>
      <c r="D159" s="764"/>
      <c r="E159" s="764"/>
      <c r="F159" s="764"/>
      <c r="G159" s="764"/>
      <c r="H159" s="764"/>
      <c r="I159" s="764"/>
    </row>
    <row r="160" spans="1:24" x14ac:dyDescent="0.25">
      <c r="B160" s="1155" t="s">
        <v>488</v>
      </c>
      <c r="C160" s="764"/>
      <c r="D160" s="764"/>
      <c r="E160" s="764"/>
      <c r="F160" s="764"/>
      <c r="G160" s="764"/>
      <c r="H160" s="764"/>
      <c r="I160" s="764"/>
      <c r="K160">
        <v>2017</v>
      </c>
      <c r="L160">
        <v>2018</v>
      </c>
      <c r="M160">
        <v>2019</v>
      </c>
      <c r="N160">
        <v>2020</v>
      </c>
      <c r="O160" s="285">
        <v>2021</v>
      </c>
      <c r="P160">
        <v>2022</v>
      </c>
      <c r="Q160">
        <v>2023</v>
      </c>
      <c r="R160">
        <v>2024</v>
      </c>
      <c r="S160">
        <v>2025</v>
      </c>
      <c r="T160">
        <v>2026</v>
      </c>
      <c r="U160">
        <v>2027</v>
      </c>
      <c r="V160">
        <v>2028</v>
      </c>
      <c r="W160">
        <v>2029</v>
      </c>
      <c r="X160">
        <v>2030</v>
      </c>
    </row>
    <row r="161" spans="1:37" s="242" customFormat="1" x14ac:dyDescent="0.25">
      <c r="A161" s="1549" t="s">
        <v>688</v>
      </c>
      <c r="B161" s="1562" t="s">
        <v>689</v>
      </c>
      <c r="C161" s="807"/>
      <c r="D161" s="807"/>
      <c r="E161" s="807"/>
      <c r="F161" s="807"/>
      <c r="G161" s="807"/>
      <c r="H161" s="807"/>
      <c r="I161" s="807"/>
      <c r="K161" s="1598">
        <v>21.799100324378376</v>
      </c>
      <c r="L161" s="247">
        <v>21.144535078143967</v>
      </c>
      <c r="M161" s="247">
        <v>20.290214027802826</v>
      </c>
      <c r="N161" s="247">
        <v>19.440225145697063</v>
      </c>
      <c r="O161" s="1606">
        <v>19.083115662142347</v>
      </c>
      <c r="P161" s="247">
        <v>18.719518155785625</v>
      </c>
      <c r="Q161" s="247">
        <v>18.348828881748606</v>
      </c>
      <c r="R161" s="247">
        <v>17.970394870727851</v>
      </c>
      <c r="S161" s="247">
        <v>16.978806882179558</v>
      </c>
      <c r="T161" s="247">
        <v>17.583508515034971</v>
      </c>
      <c r="U161" s="247">
        <v>16.367448406859559</v>
      </c>
      <c r="V161" s="247">
        <v>15.749433089074948</v>
      </c>
      <c r="W161" s="247">
        <v>15.124760928825745</v>
      </c>
      <c r="X161" s="247">
        <v>14.675306692502231</v>
      </c>
    </row>
    <row r="162" spans="1:37" s="242" customFormat="1" x14ac:dyDescent="0.25">
      <c r="B162" s="1562" t="s">
        <v>690</v>
      </c>
      <c r="C162" s="807"/>
      <c r="D162" s="807"/>
      <c r="E162" s="807"/>
      <c r="F162" s="807"/>
      <c r="G162" s="807"/>
      <c r="H162" s="807"/>
      <c r="I162" s="807"/>
      <c r="K162" s="1598">
        <v>12.230901558896287</v>
      </c>
      <c r="L162" s="247">
        <v>13.034013518870387</v>
      </c>
      <c r="M162" s="247">
        <v>13.45429782049424</v>
      </c>
      <c r="N162" s="247">
        <v>13.889026213928405</v>
      </c>
      <c r="O162" s="1606">
        <v>14.120710578402061</v>
      </c>
      <c r="P162" s="247">
        <v>14.356828330122891</v>
      </c>
      <c r="Q162" s="247">
        <v>14.597465128041513</v>
      </c>
      <c r="R162" s="247">
        <v>14.842708415340109</v>
      </c>
      <c r="S162" s="247">
        <v>15.109388154580515</v>
      </c>
      <c r="T162" s="247">
        <v>15.092647457723142</v>
      </c>
      <c r="U162" s="247">
        <v>15.128763104894668</v>
      </c>
      <c r="V162" s="247">
        <v>15.150807852478572</v>
      </c>
      <c r="W162" s="247">
        <v>15.175558851245498</v>
      </c>
      <c r="X162" s="247">
        <v>15.203053482552299</v>
      </c>
    </row>
    <row r="163" spans="1:37" x14ac:dyDescent="0.25">
      <c r="B163" s="764" t="s">
        <v>624</v>
      </c>
      <c r="C163" s="764"/>
      <c r="D163" s="764"/>
      <c r="E163" s="764"/>
      <c r="F163" s="764"/>
      <c r="G163" s="764"/>
      <c r="H163" s="764"/>
      <c r="I163" s="764"/>
      <c r="K163" s="261">
        <v>34.030001883274657</v>
      </c>
      <c r="L163" s="261">
        <v>34.178548597014363</v>
      </c>
      <c r="M163" s="261">
        <v>33.744511848297059</v>
      </c>
      <c r="N163" s="261">
        <v>33.329251359625466</v>
      </c>
      <c r="O163" s="284">
        <v>33.203826240544402</v>
      </c>
      <c r="P163" s="261">
        <v>33.076346485908516</v>
      </c>
      <c r="Q163" s="261">
        <v>32.946294009790115</v>
      </c>
      <c r="R163" s="261">
        <v>32.813103286067957</v>
      </c>
      <c r="S163" s="261">
        <v>32.088195036760077</v>
      </c>
      <c r="T163" s="261">
        <v>32.676155972758117</v>
      </c>
      <c r="U163" s="261">
        <v>31.496211511754229</v>
      </c>
      <c r="V163" s="261">
        <v>30.900240941553523</v>
      </c>
      <c r="W163" s="261">
        <v>30.300319780071241</v>
      </c>
      <c r="X163" s="261">
        <v>29.878360175054532</v>
      </c>
    </row>
    <row r="164" spans="1:37" x14ac:dyDescent="0.25">
      <c r="B164" s="764" t="s">
        <v>625</v>
      </c>
      <c r="C164" s="764"/>
      <c r="D164" s="764"/>
      <c r="E164" s="764"/>
      <c r="F164" s="764"/>
      <c r="G164" s="764"/>
      <c r="H164" s="764"/>
      <c r="I164" s="764"/>
      <c r="K164" s="261">
        <v>33.097622057616903</v>
      </c>
      <c r="L164" s="261">
        <v>33.62007679606694</v>
      </c>
      <c r="M164" s="261">
        <v>34.180933219274628</v>
      </c>
      <c r="N164" s="261">
        <v>34.778501603848461</v>
      </c>
      <c r="O164" s="284">
        <v>35.318158558468674</v>
      </c>
      <c r="P164" s="261">
        <v>35.876935312010517</v>
      </c>
      <c r="Q164" s="261">
        <v>36.455786127177333</v>
      </c>
      <c r="R164" s="261">
        <v>37.055733582354669</v>
      </c>
      <c r="S164" s="261">
        <v>37.847784215938951</v>
      </c>
      <c r="T164" s="261">
        <v>37.677874150263158</v>
      </c>
      <c r="U164" s="261">
        <v>38.028330784351517</v>
      </c>
      <c r="V164" s="261">
        <v>38.219728110003814</v>
      </c>
      <c r="W164" s="261">
        <v>38.422198130379329</v>
      </c>
      <c r="X164" s="261">
        <v>38.635970722361627</v>
      </c>
    </row>
    <row r="165" spans="1:37" x14ac:dyDescent="0.25">
      <c r="B165" s="764"/>
      <c r="C165" s="764"/>
      <c r="D165" s="764"/>
      <c r="E165" s="764"/>
      <c r="F165" s="764"/>
      <c r="G165" s="764"/>
      <c r="H165" s="764"/>
      <c r="I165" s="764"/>
    </row>
    <row r="166" spans="1:37" x14ac:dyDescent="0.25">
      <c r="B166" s="764"/>
      <c r="C166" s="764"/>
      <c r="D166" s="764"/>
      <c r="E166" s="764"/>
      <c r="F166" s="764"/>
      <c r="G166" s="764"/>
      <c r="H166" s="764"/>
      <c r="I166" s="764"/>
    </row>
    <row r="167" spans="1:37" x14ac:dyDescent="0.25">
      <c r="A167" s="1353" t="s">
        <v>692</v>
      </c>
      <c r="B167" s="364" t="s">
        <v>457</v>
      </c>
      <c r="C167" s="764"/>
      <c r="D167" s="764"/>
      <c r="E167" s="764"/>
      <c r="F167" s="764"/>
      <c r="G167" s="764"/>
      <c r="H167" s="764"/>
      <c r="I167" s="764"/>
    </row>
    <row r="168" spans="1:37" x14ac:dyDescent="0.25">
      <c r="B168" s="764"/>
      <c r="C168" s="764"/>
      <c r="D168" s="364">
        <v>2010</v>
      </c>
      <c r="E168" s="764">
        <v>2011</v>
      </c>
      <c r="F168" s="764">
        <v>2012</v>
      </c>
      <c r="G168" s="764">
        <v>2013</v>
      </c>
      <c r="H168" s="764">
        <v>2014</v>
      </c>
      <c r="I168" s="364">
        <v>2015</v>
      </c>
      <c r="J168" t="s">
        <v>755</v>
      </c>
      <c r="AE168" s="1568">
        <v>1</v>
      </c>
      <c r="AF168" s="1568">
        <v>2</v>
      </c>
      <c r="AG168" s="1568">
        <v>3</v>
      </c>
      <c r="AH168" s="1568">
        <v>4</v>
      </c>
      <c r="AI168" s="1568">
        <v>5</v>
      </c>
      <c r="AJ168" s="1568">
        <v>6</v>
      </c>
      <c r="AK168" s="1568">
        <v>7</v>
      </c>
    </row>
    <row r="169" spans="1:37" x14ac:dyDescent="0.25">
      <c r="B169" s="1544" t="s">
        <v>2</v>
      </c>
      <c r="C169" s="764"/>
      <c r="D169" s="1543">
        <f>'2017 NIR'!AC73</f>
        <v>18.646284063432901</v>
      </c>
      <c r="E169" s="1543">
        <f>'2017 NIR'!AD73</f>
        <v>13.833843295348</v>
      </c>
      <c r="F169" s="1543">
        <f>'2017 NIR'!AE73</f>
        <v>13.912456764649701</v>
      </c>
      <c r="G169" s="1543">
        <f>'2017 NIR'!AF73</f>
        <v>10.0580327945951</v>
      </c>
      <c r="H169" s="1543">
        <f>'2017 NIR'!AG73</f>
        <v>6.0074201464293298</v>
      </c>
      <c r="I169" s="1543">
        <f>'2017 NIR'!AH73</f>
        <v>6.2075188031322002</v>
      </c>
      <c r="J169" s="707">
        <v>6.1</v>
      </c>
      <c r="AE169" s="1566"/>
      <c r="AF169" s="1566"/>
      <c r="AG169" s="1566"/>
      <c r="AH169" s="1566"/>
      <c r="AI169" s="1566"/>
      <c r="AJ169" s="1566"/>
      <c r="AK169" s="1566"/>
    </row>
    <row r="170" spans="1:37" x14ac:dyDescent="0.25">
      <c r="B170" s="1545" t="s">
        <v>760</v>
      </c>
      <c r="C170" s="1569"/>
      <c r="D170" s="1543">
        <f>VLOOKUP($B$170, $AE$171:$AK$172, AF168)</f>
        <v>41.863654306777391</v>
      </c>
      <c r="E170" s="1543">
        <f t="shared" ref="E170:I170" si="87">VLOOKUP($B$170, $AE$171:$AK$172, AG168)</f>
        <v>43.792058405890849</v>
      </c>
      <c r="F170" s="1543">
        <f t="shared" si="87"/>
        <v>45.93211571765211</v>
      </c>
      <c r="G170" s="1543">
        <f t="shared" si="87"/>
        <v>43.283917746704034</v>
      </c>
      <c r="H170" s="1543">
        <f t="shared" si="87"/>
        <v>43.824916850169053</v>
      </c>
      <c r="I170" s="1543">
        <f t="shared" si="87"/>
        <v>41.594326450018031</v>
      </c>
      <c r="J170" s="707">
        <v>37.299999999999997</v>
      </c>
      <c r="AE170" s="1566"/>
      <c r="AF170" s="1566">
        <v>2010</v>
      </c>
      <c r="AG170" s="1566">
        <v>2011</v>
      </c>
      <c r="AH170" s="1566">
        <v>2012</v>
      </c>
      <c r="AI170" s="1566">
        <v>2013</v>
      </c>
      <c r="AJ170" s="1566">
        <v>2014</v>
      </c>
      <c r="AK170" s="1566">
        <v>2015</v>
      </c>
    </row>
    <row r="171" spans="1:37" x14ac:dyDescent="0.25">
      <c r="B171" s="1546" t="s">
        <v>102</v>
      </c>
      <c r="C171" s="764"/>
      <c r="D171" s="1543">
        <f>'2017 NIR'!AC85</f>
        <v>29.831184823771899</v>
      </c>
      <c r="E171" s="1543">
        <f>'2017 NIR'!AD85</f>
        <v>32.359943225652501</v>
      </c>
      <c r="F171" s="1543">
        <f>'2017 NIR'!AE85</f>
        <v>29.278381435084</v>
      </c>
      <c r="G171" s="1543">
        <f>'2017 NIR'!AF85</f>
        <v>32.147860537132601</v>
      </c>
      <c r="H171" s="1543">
        <f>'2017 NIR'!AG85</f>
        <v>34.938121836796498</v>
      </c>
      <c r="I171" s="1543">
        <f>'2017 NIR'!AH85</f>
        <v>33.175708563280097</v>
      </c>
      <c r="J171" s="707">
        <v>26.9</v>
      </c>
      <c r="AE171" s="1566" t="s">
        <v>760</v>
      </c>
      <c r="AF171" s="1567">
        <f>'2017 NIR'!AC82</f>
        <v>41.863654306777391</v>
      </c>
      <c r="AG171" s="1567">
        <f>'2017 NIR'!AD82</f>
        <v>43.792058405890849</v>
      </c>
      <c r="AH171" s="1567">
        <f>'2017 NIR'!AE82</f>
        <v>45.93211571765211</v>
      </c>
      <c r="AI171" s="1567">
        <f>'2017 NIR'!AF82</f>
        <v>43.283917746704034</v>
      </c>
      <c r="AJ171" s="1567">
        <f>'2017 NIR'!AG82</f>
        <v>43.824916850169053</v>
      </c>
      <c r="AK171" s="1567">
        <f>'2017 NIR'!AH82</f>
        <v>41.594326450018031</v>
      </c>
    </row>
    <row r="172" spans="1:37" x14ac:dyDescent="0.25">
      <c r="B172" s="1544" t="s">
        <v>39</v>
      </c>
      <c r="C172" s="764"/>
      <c r="D172" s="1543">
        <f>'2017 NIR'!AC84</f>
        <v>58.769171753709543</v>
      </c>
      <c r="E172" s="1543">
        <f>'2017 NIR'!AD84</f>
        <v>58.648529734134748</v>
      </c>
      <c r="F172" s="1543">
        <f>'2017 NIR'!AE84</f>
        <v>55.800638224639513</v>
      </c>
      <c r="G172" s="1543">
        <f>'2017 NIR'!AF84</f>
        <v>58.123906320159286</v>
      </c>
      <c r="H172" s="1543">
        <f>'2017 NIR'!AG84</f>
        <v>56.472753978547793</v>
      </c>
      <c r="I172" s="1543">
        <f>'2017 NIR'!AH84</f>
        <v>58.019357056255082</v>
      </c>
      <c r="J172" s="707">
        <v>60.7</v>
      </c>
      <c r="AE172" s="1566" t="s">
        <v>761</v>
      </c>
      <c r="AF172" s="1567">
        <f>'2017 NIR'!AC82-'2017 NIR'!AC53</f>
        <v>37.360095091702021</v>
      </c>
      <c r="AG172" s="1567">
        <f>'2017 NIR'!AD82-'2017 NIR'!AD53</f>
        <v>39.249438856665137</v>
      </c>
      <c r="AH172" s="1567">
        <f>'2017 NIR'!AE82-'2017 NIR'!AE53</f>
        <v>39.897252481503202</v>
      </c>
      <c r="AI172" s="1567">
        <f>'2017 NIR'!AF82-'2017 NIR'!AF53</f>
        <v>36.517308130159336</v>
      </c>
      <c r="AJ172" s="1567">
        <f>'2017 NIR'!AG82-'2017 NIR'!AG53</f>
        <v>37.695957077368874</v>
      </c>
      <c r="AK172" s="1567">
        <f>'2017 NIR'!AH82-'2017 NIR'!AH53</f>
        <v>35.76394821582587</v>
      </c>
    </row>
    <row r="173" spans="1:37" x14ac:dyDescent="0.25">
      <c r="B173" s="1547" t="s">
        <v>68</v>
      </c>
      <c r="C173" s="764"/>
      <c r="D173" s="1543">
        <f>SUM(D169:D172)</f>
        <v>149.11029494769173</v>
      </c>
      <c r="E173" s="1543">
        <f t="shared" ref="E173:I173" si="88">SUM(E169:E172)</f>
        <v>148.6343746610261</v>
      </c>
      <c r="F173" s="1543">
        <f t="shared" si="88"/>
        <v>144.92359214202531</v>
      </c>
      <c r="G173" s="1543">
        <f t="shared" si="88"/>
        <v>143.61371739859101</v>
      </c>
      <c r="H173" s="1543">
        <f t="shared" si="88"/>
        <v>141.24321281194267</v>
      </c>
      <c r="I173" s="1543">
        <f t="shared" si="88"/>
        <v>138.99691087268542</v>
      </c>
      <c r="J173" s="1551">
        <f>SUM(J169:J172)</f>
        <v>131</v>
      </c>
    </row>
    <row r="174" spans="1:37" x14ac:dyDescent="0.25">
      <c r="B174" s="764"/>
      <c r="C174" s="764"/>
      <c r="D174" s="764"/>
      <c r="E174" s="764"/>
      <c r="F174" s="764"/>
      <c r="G174" s="764"/>
      <c r="H174" s="764"/>
      <c r="I174" s="764"/>
    </row>
    <row r="175" spans="1:37" x14ac:dyDescent="0.25">
      <c r="B175" s="1563" t="s">
        <v>750</v>
      </c>
      <c r="C175" s="764"/>
      <c r="D175" s="1543">
        <f>'2017 NIR'!AC90</f>
        <v>24.632176836351057</v>
      </c>
      <c r="E175" s="1543">
        <f>'2017 NIR'!AD90</f>
        <v>25.564833712584651</v>
      </c>
      <c r="F175" s="1543">
        <f>'2017 NIR'!AE90</f>
        <v>25.818009569243241</v>
      </c>
      <c r="G175" s="1543">
        <f>'2017 NIR'!AF90</f>
        <v>24.940970708120268</v>
      </c>
      <c r="H175" s="1543">
        <f>'2017 NIR'!AG90</f>
        <v>25.184378269339906</v>
      </c>
      <c r="I175" s="1552">
        <f>'2017 NIR'!AH90</f>
        <v>24.095455547482612</v>
      </c>
    </row>
    <row r="176" spans="1:37" x14ac:dyDescent="0.25">
      <c r="B176" s="1563" t="s">
        <v>758</v>
      </c>
      <c r="C176" s="764"/>
      <c r="D176" s="1543">
        <f>'2017 NIR'!AC91</f>
        <v>17.231477470426334</v>
      </c>
      <c r="E176" s="1543">
        <f>'2017 NIR'!AD91</f>
        <v>18.227224693306241</v>
      </c>
      <c r="F176" s="1543">
        <f>'2017 NIR'!AE91</f>
        <v>20.114106148408876</v>
      </c>
      <c r="G176" s="1543">
        <f>'2017 NIR'!AF91</f>
        <v>18.342947038583766</v>
      </c>
      <c r="H176" s="1543">
        <f>'2017 NIR'!AG91</f>
        <v>18.640538580829151</v>
      </c>
      <c r="I176" s="1543">
        <f>'2017 NIR'!AH91</f>
        <v>17.498870902535415</v>
      </c>
    </row>
    <row r="177" spans="1:10" x14ac:dyDescent="0.25">
      <c r="B177" s="1563" t="s">
        <v>759</v>
      </c>
      <c r="C177" s="764"/>
      <c r="D177" s="1543">
        <f>'2017 NIR'!AC92</f>
        <v>12.727918255350966</v>
      </c>
      <c r="E177" s="1543">
        <f>'2017 NIR'!AD92</f>
        <v>13.684605144080528</v>
      </c>
      <c r="F177" s="1543">
        <f>'2017 NIR'!AE92</f>
        <v>14.079242912259966</v>
      </c>
      <c r="G177" s="1543">
        <f>'2017 NIR'!AF92</f>
        <v>11.576337422039066</v>
      </c>
      <c r="H177" s="1543">
        <f>'2017 NIR'!AG92</f>
        <v>12.51157880802897</v>
      </c>
      <c r="I177" s="1543">
        <f>'2017 NIR'!AH92</f>
        <v>11.668492668343255</v>
      </c>
    </row>
    <row r="178" spans="1:10" x14ac:dyDescent="0.25">
      <c r="B178" s="764"/>
      <c r="C178" s="764"/>
      <c r="D178" s="764"/>
      <c r="E178" s="764"/>
      <c r="F178" s="764"/>
      <c r="G178" s="764"/>
      <c r="H178" s="764"/>
      <c r="I178" s="764"/>
    </row>
    <row r="179" spans="1:10" x14ac:dyDescent="0.25">
      <c r="B179" s="764"/>
      <c r="C179" s="764"/>
      <c r="D179" s="764"/>
      <c r="E179" s="764"/>
      <c r="F179" s="764"/>
      <c r="G179" s="764"/>
      <c r="H179" s="764"/>
      <c r="I179" s="764"/>
    </row>
    <row r="180" spans="1:10" x14ac:dyDescent="0.25">
      <c r="A180" s="1550" t="s">
        <v>753</v>
      </c>
      <c r="B180" s="1564" t="s">
        <v>457</v>
      </c>
      <c r="C180" s="764"/>
      <c r="D180" s="364">
        <v>2010</v>
      </c>
      <c r="E180" s="764">
        <v>2011</v>
      </c>
      <c r="F180" s="764">
        <v>2012</v>
      </c>
      <c r="G180" s="764">
        <v>2013</v>
      </c>
      <c r="H180" s="764">
        <v>2014</v>
      </c>
      <c r="I180" s="364">
        <v>2015</v>
      </c>
      <c r="J180">
        <v>2016</v>
      </c>
    </row>
    <row r="181" spans="1:10" x14ac:dyDescent="0.25">
      <c r="B181" s="1544" t="s">
        <v>2</v>
      </c>
      <c r="C181" s="764"/>
      <c r="D181" s="1543">
        <f t="shared" ref="D181:I185" si="89">D133-D169</f>
        <v>-0.17864032563993248</v>
      </c>
      <c r="E181" s="1543">
        <f t="shared" si="89"/>
        <v>2.9664479655446385E-2</v>
      </c>
      <c r="F181" s="1543">
        <f t="shared" si="89"/>
        <v>-3.5052358675808861</v>
      </c>
      <c r="G181" s="1543">
        <f t="shared" si="89"/>
        <v>-2.24541793851414</v>
      </c>
      <c r="H181" s="1543">
        <f t="shared" si="89"/>
        <v>-0.14255463688221059</v>
      </c>
      <c r="I181" s="1543">
        <f t="shared" si="89"/>
        <v>-1.8048126568919658</v>
      </c>
      <c r="J181" s="261">
        <f t="shared" ref="J181" si="90">J133-J169</f>
        <v>-1.9820087624289204</v>
      </c>
    </row>
    <row r="182" spans="1:10" x14ac:dyDescent="0.25">
      <c r="B182" s="1545" t="str">
        <f>B134</f>
        <v>Industry (with Non-Energy Products from Fuels and Solvent Use)</v>
      </c>
      <c r="C182" s="764"/>
      <c r="D182" s="1543">
        <f t="shared" si="89"/>
        <v>1.3681719688096905</v>
      </c>
      <c r="E182" s="1543">
        <f t="shared" si="89"/>
        <v>-0.50251917652186506</v>
      </c>
      <c r="F182" s="1543">
        <f t="shared" si="89"/>
        <v>-2.5690048088912008</v>
      </c>
      <c r="G182" s="1543">
        <f t="shared" si="89"/>
        <v>0.16848161262209516</v>
      </c>
      <c r="H182" s="1543">
        <f t="shared" si="89"/>
        <v>-0.26763935941979611</v>
      </c>
      <c r="I182" s="1543">
        <f t="shared" si="89"/>
        <v>2.083306418271917</v>
      </c>
      <c r="J182" s="261">
        <f t="shared" ref="J182" si="91">J134-J170</f>
        <v>6.9220278892249851</v>
      </c>
    </row>
    <row r="183" spans="1:10" x14ac:dyDescent="0.25">
      <c r="B183" s="1546" t="s">
        <v>102</v>
      </c>
      <c r="C183" s="764"/>
      <c r="D183" s="1543">
        <f t="shared" si="89"/>
        <v>-8.1685502788012343E-2</v>
      </c>
      <c r="E183" s="1543">
        <f t="shared" si="89"/>
        <v>-1.8869532486413121</v>
      </c>
      <c r="F183" s="1543">
        <f t="shared" si="89"/>
        <v>1.937207072106311</v>
      </c>
      <c r="G183" s="1543">
        <f t="shared" si="89"/>
        <v>-0.17002137289002306</v>
      </c>
      <c r="H183" s="1543">
        <f t="shared" si="89"/>
        <v>-2.1778191794332145</v>
      </c>
      <c r="I183" s="1543">
        <f t="shared" si="89"/>
        <v>0.38784810786248158</v>
      </c>
      <c r="J183" s="261">
        <f t="shared" ref="J183" si="92">J135-J171</f>
        <v>6.1765058608108419</v>
      </c>
    </row>
    <row r="184" spans="1:10" x14ac:dyDescent="0.25">
      <c r="B184" s="1544" t="s">
        <v>39</v>
      </c>
      <c r="C184" s="764"/>
      <c r="D184" s="1543">
        <f t="shared" si="89"/>
        <v>-0.37910304385923155</v>
      </c>
      <c r="E184" s="1543">
        <f t="shared" si="89"/>
        <v>-2.9953165376760182E-2</v>
      </c>
      <c r="F184" s="1543">
        <f t="shared" si="89"/>
        <v>3.04776047082958</v>
      </c>
      <c r="G184" s="1543">
        <f t="shared" si="89"/>
        <v>0.95563641613506434</v>
      </c>
      <c r="H184" s="1543">
        <f t="shared" si="89"/>
        <v>2.8392624075841724</v>
      </c>
      <c r="I184" s="1543">
        <f t="shared" si="89"/>
        <v>1.526470332508346</v>
      </c>
      <c r="J184" s="261">
        <f t="shared" ref="J184" si="93">J136-J172</f>
        <v>-1.6844383767008253</v>
      </c>
    </row>
    <row r="185" spans="1:10" x14ac:dyDescent="0.25">
      <c r="B185" s="1547" t="s">
        <v>68</v>
      </c>
      <c r="C185" s="764"/>
      <c r="D185" s="1543">
        <f t="shared" si="89"/>
        <v>0.72874309652252123</v>
      </c>
      <c r="E185" s="1543">
        <f t="shared" si="89"/>
        <v>-2.3897611108845069</v>
      </c>
      <c r="F185" s="1543">
        <f t="shared" si="89"/>
        <v>-1.0892731335361816</v>
      </c>
      <c r="G185" s="1543">
        <f t="shared" si="89"/>
        <v>-1.291321282646976</v>
      </c>
      <c r="H185" s="1543">
        <f t="shared" si="89"/>
        <v>0.2512492318489592</v>
      </c>
      <c r="I185" s="1543">
        <f t="shared" si="89"/>
        <v>2.192812201750769</v>
      </c>
      <c r="J185" s="261">
        <f>J137-J173</f>
        <v>9.432086610906083</v>
      </c>
    </row>
    <row r="186" spans="1:10" x14ac:dyDescent="0.25">
      <c r="B186" s="764"/>
      <c r="C186" s="764"/>
      <c r="D186" s="764"/>
      <c r="E186" s="764"/>
      <c r="F186" s="764"/>
      <c r="G186" s="764"/>
      <c r="H186" s="764"/>
      <c r="I186" s="764"/>
    </row>
    <row r="187" spans="1:10" x14ac:dyDescent="0.25">
      <c r="B187" s="1563" t="s">
        <v>750</v>
      </c>
      <c r="C187" s="764"/>
      <c r="D187" s="1565">
        <f t="shared" ref="D187:I187" si="94">D155-D175</f>
        <v>2.6012103060687579</v>
      </c>
      <c r="E187" s="1543">
        <f t="shared" si="94"/>
        <v>1.8399742829877539</v>
      </c>
      <c r="F187" s="1543">
        <f t="shared" si="94"/>
        <v>1.7607885534868934</v>
      </c>
      <c r="G187" s="1543">
        <f t="shared" si="94"/>
        <v>2.8144445637813966</v>
      </c>
      <c r="H187" s="1543">
        <f t="shared" si="94"/>
        <v>2.7503405678501274</v>
      </c>
      <c r="I187" s="1552">
        <f t="shared" si="94"/>
        <v>4.0213143623760921</v>
      </c>
    </row>
    <row r="188" spans="1:10" x14ac:dyDescent="0.25">
      <c r="B188" s="1563" t="s">
        <v>758</v>
      </c>
      <c r="C188" s="764"/>
      <c r="D188" s="1543">
        <f>D156-D176</f>
        <v>-1.2330383372590674</v>
      </c>
      <c r="E188" s="1543">
        <f t="shared" ref="E188:I188" si="95">E156-E176</f>
        <v>-2.3424934595096616</v>
      </c>
      <c r="F188" s="1543">
        <f t="shared" si="95"/>
        <v>-4.3297933623781049</v>
      </c>
      <c r="G188" s="1543">
        <f t="shared" si="95"/>
        <v>-2.6459629511593015</v>
      </c>
      <c r="H188" s="1543">
        <f t="shared" si="95"/>
        <v>-3.0179799272699235</v>
      </c>
      <c r="I188" s="1552">
        <f t="shared" si="95"/>
        <v>-1.9380079441041715</v>
      </c>
    </row>
    <row r="189" spans="1:10" x14ac:dyDescent="0.25">
      <c r="B189" s="1563" t="s">
        <v>759</v>
      </c>
      <c r="C189" s="764"/>
      <c r="D189" s="1543">
        <f>D157-D177</f>
        <v>-1.0968239784459062</v>
      </c>
      <c r="E189" s="1543">
        <f t="shared" ref="E189:I189" si="96">E157-E177</f>
        <v>-2.2902156682273063</v>
      </c>
      <c r="F189" s="1543">
        <f t="shared" si="96"/>
        <v>-2.9117327298107423</v>
      </c>
      <c r="G189" s="1543">
        <f t="shared" si="96"/>
        <v>-0.62617828234416706</v>
      </c>
      <c r="H189" s="1543">
        <f t="shared" si="96"/>
        <v>-1.7695292468246997</v>
      </c>
      <c r="I189" s="1543">
        <f t="shared" si="96"/>
        <v>-1.125587874127099</v>
      </c>
    </row>
    <row r="191" spans="1:10" hidden="1" x14ac:dyDescent="0.25"/>
    <row r="192" spans="1:10" hidden="1" x14ac:dyDescent="0.25"/>
    <row r="193" spans="8:9" hidden="1" x14ac:dyDescent="0.25"/>
    <row r="194" spans="8:9" hidden="1" x14ac:dyDescent="0.25"/>
    <row r="195" spans="8:9" x14ac:dyDescent="0.25">
      <c r="H195" s="1597" t="s">
        <v>750</v>
      </c>
    </row>
    <row r="196" spans="8:9" x14ac:dyDescent="0.25">
      <c r="H196" s="162"/>
      <c r="I196" s="1595">
        <v>2015</v>
      </c>
    </row>
    <row r="197" spans="8:9" x14ac:dyDescent="0.25">
      <c r="H197" s="1599" t="s">
        <v>762</v>
      </c>
      <c r="I197" s="1594">
        <f>I155</f>
        <v>28.116769909858704</v>
      </c>
    </row>
    <row r="198" spans="8:9" x14ac:dyDescent="0.25">
      <c r="H198" s="1599" t="s">
        <v>763</v>
      </c>
      <c r="I198" s="1594">
        <f>I175</f>
        <v>24.095455547482612</v>
      </c>
    </row>
    <row r="199" spans="8:9" x14ac:dyDescent="0.25">
      <c r="H199" s="1600" t="s">
        <v>753</v>
      </c>
      <c r="I199" s="1596">
        <f>I197-I198</f>
        <v>4.0213143623760921</v>
      </c>
    </row>
    <row r="201" spans="8:9" x14ac:dyDescent="0.25">
      <c r="H201" s="1597" t="s">
        <v>764</v>
      </c>
    </row>
    <row r="202" spans="8:9" x14ac:dyDescent="0.25">
      <c r="H202" s="162"/>
      <c r="I202" s="1595">
        <v>2015</v>
      </c>
    </row>
    <row r="203" spans="8:9" x14ac:dyDescent="0.25">
      <c r="H203" s="1599" t="s">
        <v>762</v>
      </c>
      <c r="I203" s="1594">
        <f>I156</f>
        <v>15.560862958431244</v>
      </c>
    </row>
    <row r="204" spans="8:9" x14ac:dyDescent="0.25">
      <c r="H204" s="1599" t="s">
        <v>763</v>
      </c>
      <c r="I204" s="1594">
        <f>I176</f>
        <v>17.498870902535415</v>
      </c>
    </row>
    <row r="205" spans="8:9" x14ac:dyDescent="0.25">
      <c r="H205" s="1600" t="s">
        <v>753</v>
      </c>
      <c r="I205" s="1596">
        <f>I203-I204</f>
        <v>-1.9380079441041715</v>
      </c>
    </row>
    <row r="218" spans="4:10" x14ac:dyDescent="0.25">
      <c r="H218" t="s">
        <v>673</v>
      </c>
    </row>
    <row r="219" spans="4:10" ht="15.75" thickBot="1" x14ac:dyDescent="0.3">
      <c r="H219" t="s">
        <v>122</v>
      </c>
      <c r="I219" t="s">
        <v>674</v>
      </c>
    </row>
    <row r="220" spans="4:10" ht="15.75" thickBot="1" x14ac:dyDescent="0.3">
      <c r="D220" s="1345"/>
      <c r="E220" s="1346"/>
      <c r="F220" s="1629" t="s">
        <v>664</v>
      </c>
      <c r="G220" s="1630"/>
    </row>
    <row r="221" spans="4:10" ht="15.75" thickBot="1" x14ac:dyDescent="0.3">
      <c r="D221" s="1347" t="s">
        <v>665</v>
      </c>
      <c r="E221" s="1348" t="s">
        <v>666</v>
      </c>
      <c r="F221" s="1349">
        <v>2015</v>
      </c>
      <c r="G221" s="1349">
        <v>2030</v>
      </c>
      <c r="H221">
        <v>2030</v>
      </c>
      <c r="I221">
        <v>2030</v>
      </c>
    </row>
    <row r="222" spans="4:10" ht="15.75" thickBot="1" x14ac:dyDescent="0.3">
      <c r="D222" s="1347" t="s">
        <v>667</v>
      </c>
      <c r="E222" s="1348" t="s">
        <v>668</v>
      </c>
      <c r="F222" s="1349">
        <v>1.5</v>
      </c>
      <c r="G222" s="1349">
        <v>1.5</v>
      </c>
      <c r="H222" s="261">
        <f>X110+X111</f>
        <v>1.2688216678798199</v>
      </c>
      <c r="I222" s="261">
        <f>X110+X111</f>
        <v>1.2688216678798199</v>
      </c>
      <c r="J222" t="s">
        <v>675</v>
      </c>
    </row>
    <row r="223" spans="4:10" ht="15.75" thickBot="1" x14ac:dyDescent="0.3">
      <c r="D223" s="1347" t="s">
        <v>669</v>
      </c>
      <c r="E223" s="1348" t="s">
        <v>668</v>
      </c>
      <c r="F223" s="1349">
        <v>21.8</v>
      </c>
      <c r="G223" s="1349">
        <v>21.8</v>
      </c>
      <c r="H223" s="261">
        <f>SUM(X113:X120)</f>
        <v>24.048412501811981</v>
      </c>
      <c r="I223" s="261">
        <f>X120</f>
        <v>4.3852629661560059</v>
      </c>
      <c r="J223" t="s">
        <v>675</v>
      </c>
    </row>
    <row r="224" spans="4:10" ht="15.75" thickBot="1" x14ac:dyDescent="0.3">
      <c r="D224" s="1347" t="s">
        <v>447</v>
      </c>
      <c r="E224" s="1348" t="s">
        <v>668</v>
      </c>
      <c r="F224" s="1349">
        <v>9.6999999999999993</v>
      </c>
      <c r="G224" s="1349">
        <v>9.6999999999999993</v>
      </c>
      <c r="H224" s="261">
        <f>SUM(X122:X123)</f>
        <v>8.9462406635284424</v>
      </c>
      <c r="I224" s="261">
        <f>X122+X123</f>
        <v>8.9462406635284424</v>
      </c>
      <c r="J224" t="s">
        <v>675</v>
      </c>
    </row>
    <row r="225" spans="4:9" ht="15.75" thickBot="1" x14ac:dyDescent="0.3">
      <c r="D225" s="1347" t="s">
        <v>449</v>
      </c>
      <c r="E225" s="1348" t="s">
        <v>670</v>
      </c>
      <c r="F225" s="1349">
        <v>8.6</v>
      </c>
      <c r="G225" s="1349">
        <v>4.3</v>
      </c>
      <c r="H225" s="261">
        <f>X124</f>
        <v>8.6211824417114258</v>
      </c>
      <c r="I225" s="261">
        <f>X124</f>
        <v>8.6211824417114258</v>
      </c>
    </row>
    <row r="226" spans="4:9" ht="15.75" thickBot="1" x14ac:dyDescent="0.3">
      <c r="D226" s="1347" t="s">
        <v>671</v>
      </c>
      <c r="E226" s="1348" t="s">
        <v>672</v>
      </c>
      <c r="F226" s="1349">
        <v>124.7</v>
      </c>
      <c r="G226" s="1349">
        <v>77</v>
      </c>
      <c r="H226" s="261">
        <f>X92+SUM(X93:X99)+SUM(X101:X107)</f>
        <v>120.77302581071854</v>
      </c>
      <c r="I226" s="261">
        <f>'Post-2020Caps_July25Navius FP 2'!X61+'Post-2020Caps_July25Navius FP 2'!X64+'Post-2020Caps_July25Navius FP 2'!X65</f>
        <v>87.753146314620977</v>
      </c>
    </row>
    <row r="227" spans="4:9" ht="15.75" thickBot="1" x14ac:dyDescent="0.3">
      <c r="D227" s="1347" t="s">
        <v>81</v>
      </c>
      <c r="E227" s="1348"/>
      <c r="F227" s="1349">
        <v>166.2</v>
      </c>
      <c r="G227" s="1349">
        <v>114.2</v>
      </c>
      <c r="H227" s="261">
        <f>SUM(H222:H226)</f>
        <v>163.65768308565021</v>
      </c>
      <c r="I227" s="261">
        <f>SUM(I222:I226)</f>
        <v>110.97465405389667</v>
      </c>
    </row>
  </sheetData>
  <mergeCells count="1">
    <mergeCell ref="F220:G220"/>
  </mergeCells>
  <dataValidations count="2">
    <dataValidation type="list" allowBlank="1" showInputMessage="1" showErrorMessage="1" sqref="B134">
      <formula1>$AE$134:$AE$135</formula1>
    </dataValidation>
    <dataValidation type="list" allowBlank="1" showInputMessage="1" showErrorMessage="1" sqref="B170">
      <formula1>$AE$171:$AE$172</formula1>
    </dataValidation>
  </dataValidations>
  <pageMargins left="0.7" right="0.7" top="0.75" bottom="0.75" header="0.3" footer="0.3"/>
  <pageSetup paperSize="17" scale="19" fitToHeight="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06"/>
  <sheetViews>
    <sheetView workbookViewId="0">
      <selection activeCell="AH104" sqref="B1:AH104"/>
    </sheetView>
  </sheetViews>
  <sheetFormatPr defaultColWidth="9.140625" defaultRowHeight="11.25" x14ac:dyDescent="0.2"/>
  <cols>
    <col min="1" max="1" width="1.42578125" style="1355" customWidth="1"/>
    <col min="2" max="2" width="12" style="1354" customWidth="1"/>
    <col min="3" max="3" width="15" style="1355" customWidth="1"/>
    <col min="4" max="4" width="4.5703125" style="1355" customWidth="1"/>
    <col min="5" max="5" width="3.28515625" style="1355" customWidth="1"/>
    <col min="6" max="6" width="38.42578125" style="1355" customWidth="1"/>
    <col min="7" max="7" width="1.140625" style="1355" customWidth="1"/>
    <col min="8" max="8" width="1.28515625" style="1355" customWidth="1"/>
    <col min="9" max="28" width="13.85546875" style="1357" hidden="1" customWidth="1"/>
    <col min="29" max="29" width="6.7109375" style="1357" customWidth="1"/>
    <col min="30" max="30" width="9" style="1357" customWidth="1"/>
    <col min="31" max="31" width="9.28515625" style="1357" customWidth="1"/>
    <col min="32" max="32" width="13.85546875" style="1357" customWidth="1"/>
    <col min="33" max="33" width="7.85546875" style="1355" customWidth="1"/>
    <col min="34" max="34" width="9.140625" style="1358"/>
    <col min="35" max="16384" width="9.140625" style="1355"/>
  </cols>
  <sheetData>
    <row r="1" spans="2:87" x14ac:dyDescent="0.2">
      <c r="D1" s="1356" t="s">
        <v>693</v>
      </c>
      <c r="E1" s="1356"/>
      <c r="AI1" s="1359"/>
    </row>
    <row r="2" spans="2:87" s="1361" customFormat="1" x14ac:dyDescent="0.2">
      <c r="B2" s="1360"/>
      <c r="D2" s="1362" t="s">
        <v>694</v>
      </c>
      <c r="E2" s="1363"/>
      <c r="F2" s="1363"/>
      <c r="G2" s="1363"/>
      <c r="H2" s="1363"/>
      <c r="I2" s="1364"/>
      <c r="J2" s="1364"/>
      <c r="K2" s="1364"/>
      <c r="L2" s="1364"/>
      <c r="M2" s="1364"/>
      <c r="N2" s="1364"/>
      <c r="O2" s="1364"/>
      <c r="P2" s="1364"/>
      <c r="Q2" s="1364"/>
      <c r="R2" s="1364"/>
      <c r="S2" s="1364"/>
      <c r="T2" s="1364"/>
      <c r="U2" s="1364" t="e">
        <f>#REF!-#REF!</f>
        <v>#REF!</v>
      </c>
      <c r="V2" s="1364"/>
      <c r="W2" s="1364"/>
      <c r="X2" s="1364"/>
      <c r="Y2" s="1364"/>
      <c r="Z2" s="1364"/>
      <c r="AA2" s="1364"/>
      <c r="AB2" s="1364"/>
      <c r="AC2" s="1364"/>
      <c r="AD2" s="1364"/>
      <c r="AE2" s="1364"/>
      <c r="AF2" s="1364"/>
      <c r="AH2" s="1365"/>
      <c r="AI2" s="1366"/>
    </row>
    <row r="3" spans="2:87" s="1361" customFormat="1" x14ac:dyDescent="0.2">
      <c r="B3" s="1360"/>
      <c r="D3" s="1361" t="s">
        <v>105</v>
      </c>
      <c r="E3" s="1367"/>
      <c r="F3" s="1367"/>
      <c r="G3" s="1367"/>
      <c r="H3" s="1367"/>
      <c r="I3" s="1368"/>
      <c r="J3" s="1368"/>
      <c r="K3" s="1368"/>
      <c r="L3" s="1368"/>
      <c r="M3" s="1368"/>
      <c r="N3" s="1368"/>
      <c r="O3" s="1368"/>
      <c r="P3" s="1368"/>
      <c r="Q3" s="1368"/>
      <c r="R3" s="1368"/>
      <c r="S3" s="1368"/>
      <c r="T3" s="1368"/>
      <c r="U3" s="1369" t="e">
        <f>#REF!-#REF!</f>
        <v>#REF!</v>
      </c>
      <c r="V3" s="1368"/>
      <c r="W3" s="1368"/>
      <c r="X3" s="1368"/>
      <c r="Y3" s="1368"/>
      <c r="Z3" s="1368"/>
      <c r="AA3" s="1368"/>
      <c r="AB3" s="1368"/>
      <c r="AC3" s="1368"/>
      <c r="AD3" s="1368"/>
      <c r="AE3" s="1368"/>
      <c r="AF3" s="1368"/>
      <c r="AH3" s="1365"/>
      <c r="AI3" s="1366"/>
    </row>
    <row r="4" spans="2:87" s="1371" customFormat="1" x14ac:dyDescent="0.2">
      <c r="B4" s="1370" t="s">
        <v>695</v>
      </c>
      <c r="C4" s="1371" t="s">
        <v>696</v>
      </c>
      <c r="D4" s="1372"/>
      <c r="E4" s="1372"/>
      <c r="H4" s="1373"/>
      <c r="I4" s="1374">
        <v>1990</v>
      </c>
      <c r="J4" s="1374">
        <f>I4+1</f>
        <v>1991</v>
      </c>
      <c r="K4" s="1374">
        <f t="shared" ref="K4:AH4" si="0">J4+1</f>
        <v>1992</v>
      </c>
      <c r="L4" s="1374">
        <f t="shared" si="0"/>
        <v>1993</v>
      </c>
      <c r="M4" s="1374">
        <f t="shared" si="0"/>
        <v>1994</v>
      </c>
      <c r="N4" s="1374">
        <f t="shared" si="0"/>
        <v>1995</v>
      </c>
      <c r="O4" s="1374">
        <f t="shared" si="0"/>
        <v>1996</v>
      </c>
      <c r="P4" s="1374">
        <f t="shared" si="0"/>
        <v>1997</v>
      </c>
      <c r="Q4" s="1374">
        <f t="shared" si="0"/>
        <v>1998</v>
      </c>
      <c r="R4" s="1374">
        <f t="shared" si="0"/>
        <v>1999</v>
      </c>
      <c r="S4" s="1374">
        <f t="shared" si="0"/>
        <v>2000</v>
      </c>
      <c r="T4" s="1374">
        <f t="shared" si="0"/>
        <v>2001</v>
      </c>
      <c r="U4" s="1374">
        <f t="shared" si="0"/>
        <v>2002</v>
      </c>
      <c r="V4" s="1374">
        <f t="shared" si="0"/>
        <v>2003</v>
      </c>
      <c r="W4" s="1374">
        <f t="shared" si="0"/>
        <v>2004</v>
      </c>
      <c r="X4" s="1374">
        <f t="shared" si="0"/>
        <v>2005</v>
      </c>
      <c r="Y4" s="1374">
        <f t="shared" si="0"/>
        <v>2006</v>
      </c>
      <c r="Z4" s="1374">
        <f t="shared" si="0"/>
        <v>2007</v>
      </c>
      <c r="AA4" s="1374">
        <f t="shared" si="0"/>
        <v>2008</v>
      </c>
      <c r="AB4" s="1374">
        <f t="shared" si="0"/>
        <v>2009</v>
      </c>
      <c r="AC4" s="1375">
        <f t="shared" si="0"/>
        <v>2010</v>
      </c>
      <c r="AD4" s="1375">
        <f t="shared" si="0"/>
        <v>2011</v>
      </c>
      <c r="AE4" s="1375">
        <f t="shared" si="0"/>
        <v>2012</v>
      </c>
      <c r="AF4" s="1375">
        <f t="shared" si="0"/>
        <v>2013</v>
      </c>
      <c r="AG4" s="1375">
        <f t="shared" si="0"/>
        <v>2014</v>
      </c>
      <c r="AH4" s="1375">
        <f t="shared" si="0"/>
        <v>2015</v>
      </c>
      <c r="AI4" s="1376"/>
    </row>
    <row r="5" spans="2:87" s="1378" customFormat="1" x14ac:dyDescent="0.2">
      <c r="B5" s="1377"/>
      <c r="F5" s="1379"/>
      <c r="G5" s="1379"/>
      <c r="H5" s="1380"/>
      <c r="I5" s="1381" t="s">
        <v>697</v>
      </c>
      <c r="J5" s="1382"/>
      <c r="K5" s="1381"/>
      <c r="L5" s="1383"/>
      <c r="M5" s="1381"/>
      <c r="N5" s="1381"/>
      <c r="O5" s="1381"/>
      <c r="P5" s="1381"/>
      <c r="Q5" s="1381"/>
      <c r="R5" s="1381"/>
      <c r="S5" s="1381"/>
      <c r="T5" s="1381"/>
      <c r="U5" s="1381"/>
      <c r="V5" s="1381"/>
      <c r="W5" s="1381"/>
      <c r="X5" s="1381"/>
      <c r="Y5" s="1381"/>
      <c r="Z5" s="1381"/>
      <c r="AA5" s="1381"/>
      <c r="AB5" s="1381"/>
      <c r="AC5" s="1384"/>
      <c r="AD5" s="1384"/>
      <c r="AE5" s="1384"/>
      <c r="AF5" s="1384"/>
      <c r="AG5" s="1377"/>
      <c r="AH5" s="1377"/>
      <c r="AI5" s="1385"/>
    </row>
    <row r="6" spans="2:87" ht="12" thickBot="1" x14ac:dyDescent="0.25">
      <c r="D6" s="1386" t="s">
        <v>41</v>
      </c>
      <c r="E6" s="1387"/>
      <c r="F6" s="1388"/>
      <c r="G6" s="1389"/>
      <c r="H6" s="1389"/>
      <c r="I6" s="1390">
        <v>181267.94837780701</v>
      </c>
      <c r="J6" s="1390">
        <v>181149.70309238401</v>
      </c>
      <c r="K6" s="1390">
        <v>184659.68674965401</v>
      </c>
      <c r="L6" s="1390">
        <v>174601.906416477</v>
      </c>
      <c r="M6" s="1390">
        <v>176680.598719806</v>
      </c>
      <c r="N6" s="1390">
        <v>181310.04926235901</v>
      </c>
      <c r="O6" s="1390">
        <v>189589.025013017</v>
      </c>
      <c r="P6" s="1390">
        <v>194966.395885126</v>
      </c>
      <c r="Q6" s="1390">
        <v>194972.21987058001</v>
      </c>
      <c r="R6" s="1390">
        <v>199886.470036852</v>
      </c>
      <c r="S6" s="1390">
        <v>208502.726641424</v>
      </c>
      <c r="T6" s="1390">
        <v>199735.51101796699</v>
      </c>
      <c r="U6" s="1390">
        <v>203817.515263726</v>
      </c>
      <c r="V6" s="1390">
        <v>205943.81550402401</v>
      </c>
      <c r="W6" s="1390">
        <v>204807.651038521</v>
      </c>
      <c r="X6" s="1390">
        <v>204378.36529850599</v>
      </c>
      <c r="Y6" s="1390">
        <v>195328.38847646801</v>
      </c>
      <c r="Z6" s="1390">
        <v>199218.68875501299</v>
      </c>
      <c r="AA6" s="1390">
        <v>190381.43047976299</v>
      </c>
      <c r="AB6" s="1390">
        <v>166996.716265172</v>
      </c>
      <c r="AC6" s="1391">
        <f t="shared" ref="AC6:AH21" si="1">CD6/1000</f>
        <v>175.465129390518</v>
      </c>
      <c r="AD6" s="1391">
        <f t="shared" si="1"/>
        <v>174.63291116864002</v>
      </c>
      <c r="AE6" s="1391">
        <f t="shared" si="1"/>
        <v>171.36139557855202</v>
      </c>
      <c r="AF6" s="1391">
        <f t="shared" si="1"/>
        <v>170.83286090962901</v>
      </c>
      <c r="AG6" s="1391">
        <f t="shared" si="1"/>
        <v>168.48096437477</v>
      </c>
      <c r="AH6" s="1391">
        <f>CI6/1000</f>
        <v>166.167691499075</v>
      </c>
      <c r="AI6" s="1392"/>
      <c r="AJ6" s="1393"/>
      <c r="AK6" s="1393"/>
      <c r="AL6" s="1393"/>
      <c r="AM6" s="1393"/>
      <c r="AN6" s="1393"/>
      <c r="AO6" s="1393"/>
      <c r="AP6" s="1393"/>
      <c r="AQ6" s="1393"/>
      <c r="AR6" s="1393"/>
      <c r="AS6" s="1393"/>
      <c r="AT6" s="1393"/>
      <c r="AU6" s="1393"/>
      <c r="AV6" s="1393"/>
      <c r="AW6" s="1393"/>
      <c r="AX6" s="1393"/>
      <c r="AY6" s="1393"/>
      <c r="AZ6" s="1393"/>
      <c r="BA6" s="1393"/>
      <c r="BB6" s="1393"/>
      <c r="BC6" s="1393"/>
      <c r="BD6" s="1393"/>
      <c r="BE6" s="1393"/>
      <c r="BF6" s="1393"/>
      <c r="BG6" s="1388"/>
      <c r="BH6" s="1389"/>
      <c r="BI6" s="1389"/>
      <c r="BJ6" s="1390">
        <v>181267.94837780701</v>
      </c>
      <c r="BK6" s="1390">
        <v>181149.70309238401</v>
      </c>
      <c r="BL6" s="1390">
        <v>184659.68674965401</v>
      </c>
      <c r="BM6" s="1390">
        <v>174601.906416477</v>
      </c>
      <c r="BN6" s="1390">
        <v>176680.598719806</v>
      </c>
      <c r="BO6" s="1390">
        <v>181310.04926235901</v>
      </c>
      <c r="BP6" s="1390">
        <v>189589.025013017</v>
      </c>
      <c r="BQ6" s="1390">
        <v>194966.395885126</v>
      </c>
      <c r="BR6" s="1390">
        <v>194972.21987058001</v>
      </c>
      <c r="BS6" s="1390">
        <v>199886.470036852</v>
      </c>
      <c r="BT6" s="1390">
        <v>208502.726641424</v>
      </c>
      <c r="BU6" s="1390">
        <v>199735.51101796699</v>
      </c>
      <c r="BV6" s="1390">
        <v>203817.515263726</v>
      </c>
      <c r="BW6" s="1390">
        <v>205943.81550402401</v>
      </c>
      <c r="BX6" s="1390">
        <v>204807.651038521</v>
      </c>
      <c r="BY6" s="1390">
        <v>204378.36529850599</v>
      </c>
      <c r="BZ6" s="1390">
        <v>195328.38847646801</v>
      </c>
      <c r="CA6" s="1390">
        <v>199218.68875501299</v>
      </c>
      <c r="CB6" s="1390">
        <v>190381.43047976299</v>
      </c>
      <c r="CC6" s="1390">
        <v>166996.716265172</v>
      </c>
      <c r="CD6" s="1390">
        <v>175465.12939051801</v>
      </c>
      <c r="CE6" s="1390">
        <v>174632.91116864001</v>
      </c>
      <c r="CF6" s="1390">
        <v>171361.39557855201</v>
      </c>
      <c r="CG6" s="1390">
        <v>170832.860909629</v>
      </c>
      <c r="CH6" s="1390">
        <v>168480.96437477</v>
      </c>
      <c r="CI6" s="1394">
        <v>166167.69149907501</v>
      </c>
    </row>
    <row r="7" spans="2:87" ht="12" thickTop="1" x14ac:dyDescent="0.2">
      <c r="B7" s="1395"/>
      <c r="C7" s="1359"/>
      <c r="D7" s="1396" t="s">
        <v>698</v>
      </c>
      <c r="E7" s="1397"/>
      <c r="F7" s="1397"/>
      <c r="G7" s="1359"/>
      <c r="H7" s="1359"/>
      <c r="I7" s="1398">
        <v>133163.77888078999</v>
      </c>
      <c r="J7" s="1398">
        <v>131928.16689473001</v>
      </c>
      <c r="K7" s="1398">
        <v>135345.87073997001</v>
      </c>
      <c r="L7" s="1398">
        <v>127831.60014354299</v>
      </c>
      <c r="M7" s="1398">
        <v>128226.566930838</v>
      </c>
      <c r="N7" s="1398">
        <v>131614.364500278</v>
      </c>
      <c r="O7" s="1398">
        <v>139582.34942419699</v>
      </c>
      <c r="P7" s="1398">
        <v>146318.78892773399</v>
      </c>
      <c r="Q7" s="1398">
        <v>149564.26956889901</v>
      </c>
      <c r="R7" s="1398">
        <v>156386.984136213</v>
      </c>
      <c r="S7" s="1398">
        <v>165680.77958761799</v>
      </c>
      <c r="T7" s="1398">
        <v>158957.198159316</v>
      </c>
      <c r="U7" s="1398">
        <v>161082.855971324</v>
      </c>
      <c r="V7" s="1398">
        <v>163220.75403157601</v>
      </c>
      <c r="W7" s="1398">
        <v>157732.988854077</v>
      </c>
      <c r="X7" s="1398">
        <v>160345.29580261299</v>
      </c>
      <c r="Y7" s="1398">
        <v>150168.186932059</v>
      </c>
      <c r="Z7" s="1398">
        <v>154856.538454519</v>
      </c>
      <c r="AA7" s="1398">
        <v>147128.58257054901</v>
      </c>
      <c r="AB7" s="1398">
        <v>129738.373737097</v>
      </c>
      <c r="AC7" s="1399">
        <f t="shared" si="1"/>
        <v>136.30399948464103</v>
      </c>
      <c r="AD7" s="1399">
        <f t="shared" si="1"/>
        <v>134.490906601543</v>
      </c>
      <c r="AE7" s="1399">
        <f t="shared" si="1"/>
        <v>129.331596135361</v>
      </c>
      <c r="AF7" s="1399">
        <f t="shared" si="1"/>
        <v>130.14068368549599</v>
      </c>
      <c r="AG7" s="1399">
        <f t="shared" si="1"/>
        <v>127.512084699824</v>
      </c>
      <c r="AH7" s="1399">
        <f t="shared" si="1"/>
        <v>126.10899514558299</v>
      </c>
      <c r="AI7" s="1392"/>
      <c r="AJ7" s="1393"/>
      <c r="AK7" s="1393"/>
      <c r="AL7" s="1393"/>
      <c r="AM7" s="1393"/>
      <c r="AN7" s="1393"/>
      <c r="AO7" s="1393"/>
      <c r="AP7" s="1393"/>
      <c r="AQ7" s="1393"/>
      <c r="AR7" s="1393"/>
      <c r="AS7" s="1393"/>
      <c r="AT7" s="1393"/>
      <c r="AU7" s="1393"/>
      <c r="AV7" s="1393"/>
      <c r="AW7" s="1393"/>
      <c r="AX7" s="1393"/>
      <c r="AY7" s="1393"/>
      <c r="AZ7" s="1393"/>
      <c r="BA7" s="1393"/>
      <c r="BB7" s="1393"/>
      <c r="BC7" s="1393"/>
      <c r="BD7" s="1393"/>
      <c r="BE7" s="1393"/>
      <c r="BF7" s="1393"/>
      <c r="BG7" s="1400"/>
      <c r="BJ7" s="1401">
        <v>133163.77888078999</v>
      </c>
      <c r="BK7" s="1401">
        <v>131928.16689473001</v>
      </c>
      <c r="BL7" s="1401">
        <v>135345.87073997001</v>
      </c>
      <c r="BM7" s="1401">
        <v>127831.60014354299</v>
      </c>
      <c r="BN7" s="1401">
        <v>128226.566930838</v>
      </c>
      <c r="BO7" s="1401">
        <v>131614.364500278</v>
      </c>
      <c r="BP7" s="1401">
        <v>139582.34942419699</v>
      </c>
      <c r="BQ7" s="1401">
        <v>146318.78892773399</v>
      </c>
      <c r="BR7" s="1401">
        <v>149564.26956889901</v>
      </c>
      <c r="BS7" s="1401">
        <v>156386.984136213</v>
      </c>
      <c r="BT7" s="1401">
        <v>165680.77958761799</v>
      </c>
      <c r="BU7" s="1401">
        <v>158957.198159316</v>
      </c>
      <c r="BV7" s="1401">
        <v>161082.855971324</v>
      </c>
      <c r="BW7" s="1401">
        <v>163220.75403157601</v>
      </c>
      <c r="BX7" s="1401">
        <v>157732.988854077</v>
      </c>
      <c r="BY7" s="1401">
        <v>160345.29580261299</v>
      </c>
      <c r="BZ7" s="1401">
        <v>150168.186932059</v>
      </c>
      <c r="CA7" s="1401">
        <v>154856.538454519</v>
      </c>
      <c r="CB7" s="1401">
        <v>147128.58257054901</v>
      </c>
      <c r="CC7" s="1401">
        <v>129738.373737097</v>
      </c>
      <c r="CD7" s="1401">
        <v>136303.99948464101</v>
      </c>
      <c r="CE7" s="1401">
        <v>134490.90660154301</v>
      </c>
      <c r="CF7" s="1401">
        <v>129331.596135361</v>
      </c>
      <c r="CG7" s="1401">
        <v>130140.683685496</v>
      </c>
      <c r="CH7" s="1401">
        <v>127512.084699824</v>
      </c>
      <c r="CI7" s="1402">
        <v>126108.995145583</v>
      </c>
    </row>
    <row r="8" spans="2:87" x14ac:dyDescent="0.2">
      <c r="B8" s="1395"/>
      <c r="C8" s="1359" t="s">
        <v>699</v>
      </c>
      <c r="D8" s="1403" t="s">
        <v>700</v>
      </c>
      <c r="E8" s="1404" t="s">
        <v>1</v>
      </c>
      <c r="F8" s="1404"/>
      <c r="G8" s="1359"/>
      <c r="H8" s="1359"/>
      <c r="I8" s="1405">
        <v>83087.686890185098</v>
      </c>
      <c r="J8" s="1405">
        <v>83366.118040753194</v>
      </c>
      <c r="K8" s="1405">
        <v>85002.148163388207</v>
      </c>
      <c r="L8" s="1405">
        <v>76322.869627329404</v>
      </c>
      <c r="M8" s="1405">
        <v>75462.406265945698</v>
      </c>
      <c r="N8" s="1405">
        <v>76994.853344576695</v>
      </c>
      <c r="O8" s="1405">
        <v>83468.966486217498</v>
      </c>
      <c r="P8" s="1405">
        <v>88074.868769509994</v>
      </c>
      <c r="Q8" s="1405">
        <v>90511.948055206696</v>
      </c>
      <c r="R8" s="1405">
        <v>94674.064918493095</v>
      </c>
      <c r="S8" s="1405">
        <v>103578.77672665101</v>
      </c>
      <c r="T8" s="1405">
        <v>98607.254872058998</v>
      </c>
      <c r="U8" s="1405">
        <v>99192.1526132773</v>
      </c>
      <c r="V8" s="1405">
        <v>100760.46477180401</v>
      </c>
      <c r="W8" s="1405">
        <v>93829.511782092595</v>
      </c>
      <c r="X8" s="1405">
        <v>93890.042494355104</v>
      </c>
      <c r="Y8" s="1405">
        <v>86019.381091113799</v>
      </c>
      <c r="Z8" s="1405">
        <v>91836.988897253803</v>
      </c>
      <c r="AA8" s="1405">
        <v>85601.462381955294</v>
      </c>
      <c r="AB8" s="1405">
        <v>68816.784492369407</v>
      </c>
      <c r="AC8" s="1406">
        <f t="shared" si="1"/>
        <v>73.1096457235559</v>
      </c>
      <c r="AD8" s="1406">
        <f t="shared" si="1"/>
        <v>71.758620233584992</v>
      </c>
      <c r="AE8" s="1406">
        <f t="shared" si="1"/>
        <v>69.008847768976906</v>
      </c>
      <c r="AF8" s="1406">
        <f t="shared" si="1"/>
        <v>67.146864039848012</v>
      </c>
      <c r="AG8" s="1406">
        <f t="shared" si="1"/>
        <v>66.12992025256581</v>
      </c>
      <c r="AH8" s="1406">
        <f t="shared" si="1"/>
        <v>63.4786829138949</v>
      </c>
      <c r="AI8" s="1392"/>
      <c r="AJ8" s="1393"/>
      <c r="AK8" s="1393"/>
      <c r="AL8" s="1393"/>
      <c r="AM8" s="1393"/>
      <c r="AN8" s="1393"/>
      <c r="AO8" s="1393"/>
      <c r="AP8" s="1393"/>
      <c r="AQ8" s="1393"/>
      <c r="AR8" s="1393"/>
      <c r="AS8" s="1393"/>
      <c r="AT8" s="1393"/>
      <c r="AU8" s="1393"/>
      <c r="AV8" s="1393"/>
      <c r="AW8" s="1393"/>
      <c r="AX8" s="1393"/>
      <c r="AY8" s="1393"/>
      <c r="AZ8" s="1393"/>
      <c r="BA8" s="1393"/>
      <c r="BB8" s="1393"/>
      <c r="BC8" s="1393"/>
      <c r="BD8" s="1393"/>
      <c r="BE8" s="1393"/>
      <c r="BF8" s="1393"/>
      <c r="BG8" s="1407"/>
      <c r="BJ8" s="1408">
        <v>83087.686890185098</v>
      </c>
      <c r="BK8" s="1408">
        <v>83366.118040753194</v>
      </c>
      <c r="BL8" s="1408">
        <v>85002.148163388207</v>
      </c>
      <c r="BM8" s="1408">
        <v>76322.869627329404</v>
      </c>
      <c r="BN8" s="1408">
        <v>75462.406265945698</v>
      </c>
      <c r="BO8" s="1408">
        <v>76994.853344576695</v>
      </c>
      <c r="BP8" s="1408">
        <v>83468.966486217498</v>
      </c>
      <c r="BQ8" s="1408">
        <v>88074.868769509994</v>
      </c>
      <c r="BR8" s="1408">
        <v>90511.948055206696</v>
      </c>
      <c r="BS8" s="1408">
        <v>94674.064918493095</v>
      </c>
      <c r="BT8" s="1408">
        <v>103578.77672665101</v>
      </c>
      <c r="BU8" s="1408">
        <v>98607.254872058998</v>
      </c>
      <c r="BV8" s="1408">
        <v>99192.1526132773</v>
      </c>
      <c r="BW8" s="1408">
        <v>100760.46477180401</v>
      </c>
      <c r="BX8" s="1408">
        <v>93829.511782092595</v>
      </c>
      <c r="BY8" s="1408">
        <v>93890.042494355104</v>
      </c>
      <c r="BZ8" s="1408">
        <v>86019.381091113799</v>
      </c>
      <c r="CA8" s="1408">
        <v>91836.988897253803</v>
      </c>
      <c r="CB8" s="1408">
        <v>85601.462381955294</v>
      </c>
      <c r="CC8" s="1408">
        <v>68816.784492369407</v>
      </c>
      <c r="CD8" s="1408">
        <v>73109.645723555906</v>
      </c>
      <c r="CE8" s="1408">
        <v>71758.620233584996</v>
      </c>
      <c r="CF8" s="1408">
        <v>69008.847768976906</v>
      </c>
      <c r="CG8" s="1408">
        <v>67146.864039848006</v>
      </c>
      <c r="CH8" s="1408">
        <v>66129.920252565804</v>
      </c>
      <c r="CI8" s="1402">
        <v>63478.682913894903</v>
      </c>
    </row>
    <row r="9" spans="2:87" x14ac:dyDescent="0.2">
      <c r="B9" s="1409" t="s">
        <v>701</v>
      </c>
      <c r="C9" s="1410" t="s">
        <v>60</v>
      </c>
      <c r="D9" s="1411"/>
      <c r="E9" s="1412" t="s">
        <v>431</v>
      </c>
      <c r="F9" s="1413"/>
      <c r="G9" s="1410"/>
      <c r="H9" s="1410"/>
      <c r="I9" s="1414">
        <v>25615.290981054601</v>
      </c>
      <c r="J9" s="1414">
        <v>27362.301134813799</v>
      </c>
      <c r="K9" s="1414">
        <v>27037.116162864098</v>
      </c>
      <c r="L9" s="1414">
        <v>17845.9042672633</v>
      </c>
      <c r="M9" s="1414">
        <v>15600.434670885599</v>
      </c>
      <c r="N9" s="1414">
        <v>17734.608086600801</v>
      </c>
      <c r="O9" s="1414">
        <v>20192.3264923528</v>
      </c>
      <c r="P9" s="1414">
        <v>25576.961954466798</v>
      </c>
      <c r="Q9" s="1414">
        <v>33535.174976638496</v>
      </c>
      <c r="R9" s="1414">
        <v>35350.305397830001</v>
      </c>
      <c r="S9" s="1414">
        <v>41905.465426741401</v>
      </c>
      <c r="T9" s="1414">
        <v>39222.275431103</v>
      </c>
      <c r="U9" s="1414">
        <v>37821.173674277503</v>
      </c>
      <c r="V9" s="1414">
        <v>38004.320124424601</v>
      </c>
      <c r="W9" s="1414">
        <v>30730.4947132616</v>
      </c>
      <c r="X9" s="1414">
        <v>32315.995619719699</v>
      </c>
      <c r="Y9" s="1414">
        <v>27637.0304941334</v>
      </c>
      <c r="Z9" s="1414">
        <v>30401.464354606502</v>
      </c>
      <c r="AA9" s="1414">
        <v>25307.353200515499</v>
      </c>
      <c r="AB9" s="1414">
        <v>14187.990167207699</v>
      </c>
      <c r="AC9" s="1415">
        <f t="shared" si="1"/>
        <v>18.646284063432901</v>
      </c>
      <c r="AD9" s="1415">
        <f t="shared" si="1"/>
        <v>13.833843295348</v>
      </c>
      <c r="AE9" s="1415">
        <f t="shared" si="1"/>
        <v>13.912456764649701</v>
      </c>
      <c r="AF9" s="1415">
        <f t="shared" si="1"/>
        <v>10.0580327945951</v>
      </c>
      <c r="AG9" s="1415">
        <f t="shared" si="1"/>
        <v>6.0074201464293298</v>
      </c>
      <c r="AH9" s="1415">
        <f t="shared" si="1"/>
        <v>6.2075188031322002</v>
      </c>
      <c r="AI9" s="1392"/>
      <c r="AJ9" s="1393"/>
      <c r="AK9" s="1393"/>
      <c r="AL9" s="1393"/>
      <c r="AM9" s="1393"/>
      <c r="AN9" s="1393"/>
      <c r="AO9" s="1393"/>
      <c r="AP9" s="1393"/>
      <c r="AQ9" s="1393"/>
      <c r="AR9" s="1393"/>
      <c r="AS9" s="1393"/>
      <c r="AT9" s="1393"/>
      <c r="AU9" s="1393"/>
      <c r="AV9" s="1393"/>
      <c r="AW9" s="1393"/>
      <c r="AX9" s="1393"/>
      <c r="AY9" s="1393"/>
      <c r="AZ9" s="1393"/>
      <c r="BA9" s="1393"/>
      <c r="BB9" s="1393"/>
      <c r="BC9" s="1393"/>
      <c r="BD9" s="1393"/>
      <c r="BE9" s="1393"/>
      <c r="BF9" s="1393"/>
      <c r="BG9" s="1413"/>
      <c r="BH9" s="1410"/>
      <c r="BI9" s="1410"/>
      <c r="BJ9" s="1414">
        <v>25615.290981054601</v>
      </c>
      <c r="BK9" s="1414">
        <v>27362.301134813799</v>
      </c>
      <c r="BL9" s="1414">
        <v>27037.116162864098</v>
      </c>
      <c r="BM9" s="1414">
        <v>17845.9042672633</v>
      </c>
      <c r="BN9" s="1414">
        <v>15600.434670885599</v>
      </c>
      <c r="BO9" s="1414">
        <v>17734.608086600801</v>
      </c>
      <c r="BP9" s="1414">
        <v>20192.3264923528</v>
      </c>
      <c r="BQ9" s="1414">
        <v>25576.961954466798</v>
      </c>
      <c r="BR9" s="1414">
        <v>33535.174976638496</v>
      </c>
      <c r="BS9" s="1414">
        <v>35350.305397830001</v>
      </c>
      <c r="BT9" s="1414">
        <v>41905.465426741401</v>
      </c>
      <c r="BU9" s="1414">
        <v>39222.275431103</v>
      </c>
      <c r="BV9" s="1414">
        <v>37821.173674277503</v>
      </c>
      <c r="BW9" s="1414">
        <v>38004.320124424601</v>
      </c>
      <c r="BX9" s="1414">
        <v>30730.4947132616</v>
      </c>
      <c r="BY9" s="1414">
        <v>32315.995619719699</v>
      </c>
      <c r="BZ9" s="1414">
        <v>27637.0304941334</v>
      </c>
      <c r="CA9" s="1414">
        <v>30401.464354606502</v>
      </c>
      <c r="CB9" s="1414">
        <v>25307.353200515499</v>
      </c>
      <c r="CC9" s="1414">
        <v>14187.990167207699</v>
      </c>
      <c r="CD9" s="1414">
        <v>18646.2840634329</v>
      </c>
      <c r="CE9" s="1414">
        <v>13833.843295348001</v>
      </c>
      <c r="CF9" s="1414">
        <v>13912.4567646497</v>
      </c>
      <c r="CG9" s="1414">
        <v>10058.032794595099</v>
      </c>
      <c r="CH9" s="1414">
        <v>6007.4201464293301</v>
      </c>
      <c r="CI9" s="1416">
        <v>6207.5188031322004</v>
      </c>
    </row>
    <row r="10" spans="2:87" x14ac:dyDescent="0.2">
      <c r="B10" s="1417" t="s">
        <v>701</v>
      </c>
      <c r="C10" s="1418" t="s">
        <v>36</v>
      </c>
      <c r="D10" s="1419"/>
      <c r="E10" s="1420" t="s">
        <v>432</v>
      </c>
      <c r="F10" s="1420"/>
      <c r="G10" s="1418"/>
      <c r="H10" s="1418"/>
      <c r="I10" s="1421">
        <v>6228.0273119574504</v>
      </c>
      <c r="J10" s="1421">
        <v>5610.2278513257297</v>
      </c>
      <c r="K10" s="1421">
        <v>6135.4040699106799</v>
      </c>
      <c r="L10" s="1421">
        <v>6292.1754740437</v>
      </c>
      <c r="M10" s="1421">
        <v>5792.2458044096802</v>
      </c>
      <c r="N10" s="1421">
        <v>5623.1198180554002</v>
      </c>
      <c r="O10" s="1421">
        <v>6837.8393768751002</v>
      </c>
      <c r="P10" s="1421">
        <v>6646.4148421933596</v>
      </c>
      <c r="Q10" s="1421">
        <v>7055.8815509717697</v>
      </c>
      <c r="R10" s="1421">
        <v>6660.0397835049198</v>
      </c>
      <c r="S10" s="1421">
        <v>6835.8828340811697</v>
      </c>
      <c r="T10" s="1421">
        <v>6752.6258394877204</v>
      </c>
      <c r="U10" s="1421">
        <v>7197.4368459569596</v>
      </c>
      <c r="V10" s="1421">
        <v>7098.13540336813</v>
      </c>
      <c r="W10" s="1421">
        <v>7885.6729579105804</v>
      </c>
      <c r="X10" s="1421">
        <v>6959.3729313284502</v>
      </c>
      <c r="Y10" s="1421">
        <v>7119.2095644234196</v>
      </c>
      <c r="Z10" s="1421">
        <v>7323.2688772555903</v>
      </c>
      <c r="AA10" s="1421">
        <v>7047.4216235896802</v>
      </c>
      <c r="AB10" s="1421">
        <v>6416.4498362568402</v>
      </c>
      <c r="AC10" s="1422">
        <f t="shared" si="1"/>
        <v>6.7478973441762102</v>
      </c>
      <c r="AD10" s="1422">
        <f t="shared" si="1"/>
        <v>6.5545419783038499</v>
      </c>
      <c r="AE10" s="1422">
        <f t="shared" si="1"/>
        <v>6.84941584828037</v>
      </c>
      <c r="AF10" s="1422">
        <f t="shared" si="1"/>
        <v>6.1357901377174899</v>
      </c>
      <c r="AG10" s="1422">
        <f t="shared" si="1"/>
        <v>6.0593267883096296</v>
      </c>
      <c r="AH10" s="1422">
        <f t="shared" si="1"/>
        <v>5.6868015547640898</v>
      </c>
      <c r="AI10" s="1392"/>
      <c r="AJ10" s="1393"/>
      <c r="AK10" s="1393"/>
      <c r="AL10" s="1393"/>
      <c r="AM10" s="1393"/>
      <c r="AN10" s="1393"/>
      <c r="AO10" s="1393"/>
      <c r="AP10" s="1393"/>
      <c r="AQ10" s="1393"/>
      <c r="AR10" s="1393"/>
      <c r="AS10" s="1393"/>
      <c r="AT10" s="1393"/>
      <c r="AU10" s="1393"/>
      <c r="AV10" s="1393"/>
      <c r="AW10" s="1393"/>
      <c r="AX10" s="1393"/>
      <c r="AY10" s="1393"/>
      <c r="AZ10" s="1393"/>
      <c r="BA10" s="1393"/>
      <c r="BB10" s="1393"/>
      <c r="BC10" s="1393"/>
      <c r="BD10" s="1393"/>
      <c r="BE10" s="1393"/>
      <c r="BF10" s="1393"/>
      <c r="BG10" s="1420"/>
      <c r="BH10" s="1418"/>
      <c r="BI10" s="1418"/>
      <c r="BJ10" s="1421">
        <v>6228.0273119574504</v>
      </c>
      <c r="BK10" s="1421">
        <v>5610.2278513257297</v>
      </c>
      <c r="BL10" s="1421">
        <v>6135.4040699106799</v>
      </c>
      <c r="BM10" s="1421">
        <v>6292.1754740437</v>
      </c>
      <c r="BN10" s="1421">
        <v>5792.2458044096802</v>
      </c>
      <c r="BO10" s="1421">
        <v>5623.1198180554002</v>
      </c>
      <c r="BP10" s="1421">
        <v>6837.8393768751002</v>
      </c>
      <c r="BQ10" s="1421">
        <v>6646.4148421933596</v>
      </c>
      <c r="BR10" s="1421">
        <v>7055.8815509717697</v>
      </c>
      <c r="BS10" s="1421">
        <v>6660.0397835049198</v>
      </c>
      <c r="BT10" s="1421">
        <v>6835.8828340811697</v>
      </c>
      <c r="BU10" s="1421">
        <v>6752.6258394877204</v>
      </c>
      <c r="BV10" s="1421">
        <v>7197.4368459569596</v>
      </c>
      <c r="BW10" s="1421">
        <v>7098.13540336813</v>
      </c>
      <c r="BX10" s="1421">
        <v>7885.6729579105804</v>
      </c>
      <c r="BY10" s="1421">
        <v>6959.3729313284502</v>
      </c>
      <c r="BZ10" s="1421">
        <v>7119.2095644234196</v>
      </c>
      <c r="CA10" s="1421">
        <v>7323.2688772555903</v>
      </c>
      <c r="CB10" s="1421">
        <v>7047.4216235896802</v>
      </c>
      <c r="CC10" s="1421">
        <v>6416.4498362568402</v>
      </c>
      <c r="CD10" s="1421">
        <v>6747.89734417621</v>
      </c>
      <c r="CE10" s="1421">
        <v>6554.5419783038496</v>
      </c>
      <c r="CF10" s="1421">
        <v>6849.4158482803696</v>
      </c>
      <c r="CG10" s="1421">
        <v>6135.7901377174903</v>
      </c>
      <c r="CH10" s="1421">
        <v>6059.3267883096296</v>
      </c>
      <c r="CI10" s="1423">
        <v>5686.8015547640898</v>
      </c>
    </row>
    <row r="11" spans="2:87" x14ac:dyDescent="0.2">
      <c r="B11" s="1417" t="s">
        <v>701</v>
      </c>
      <c r="C11" s="1418" t="s">
        <v>36</v>
      </c>
      <c r="D11" s="1419"/>
      <c r="E11" s="1420" t="s">
        <v>433</v>
      </c>
      <c r="F11" s="1424"/>
      <c r="G11" s="1418"/>
      <c r="H11" s="1418"/>
      <c r="I11" s="1421">
        <v>593.19218295565997</v>
      </c>
      <c r="J11" s="1421">
        <v>685.66234272600798</v>
      </c>
      <c r="K11" s="1421">
        <v>810.67055967180204</v>
      </c>
      <c r="L11" s="1421">
        <v>549.84039309482398</v>
      </c>
      <c r="M11" s="1421">
        <v>647.63947587412804</v>
      </c>
      <c r="N11" s="1421">
        <v>701.515629727435</v>
      </c>
      <c r="O11" s="1421">
        <v>667.96206687441497</v>
      </c>
      <c r="P11" s="1421">
        <v>646.43629729632596</v>
      </c>
      <c r="Q11" s="1421">
        <v>532.82737985366396</v>
      </c>
      <c r="R11" s="1421">
        <v>502.59676259999998</v>
      </c>
      <c r="S11" s="1421">
        <v>505.11469770000002</v>
      </c>
      <c r="T11" s="1421">
        <v>425.15254540000001</v>
      </c>
      <c r="U11" s="1421">
        <v>443.97523719999998</v>
      </c>
      <c r="V11" s="1421">
        <v>432.49063560000002</v>
      </c>
      <c r="W11" s="1421">
        <v>515.33571389999997</v>
      </c>
      <c r="X11" s="1421">
        <v>613.59949610000001</v>
      </c>
      <c r="Y11" s="1421">
        <v>611.23579329999995</v>
      </c>
      <c r="Z11" s="1421">
        <v>637.40274790000001</v>
      </c>
      <c r="AA11" s="1421">
        <v>676.57017289999999</v>
      </c>
      <c r="AB11" s="1421">
        <v>665.11411009999995</v>
      </c>
      <c r="AC11" s="1422">
        <f t="shared" si="1"/>
        <v>0.83148463260000005</v>
      </c>
      <c r="AD11" s="1422">
        <f t="shared" si="1"/>
        <v>0.82042306300000001</v>
      </c>
      <c r="AE11" s="1422">
        <f t="shared" si="1"/>
        <v>0.92859382170000004</v>
      </c>
      <c r="AF11" s="1422">
        <f t="shared" si="1"/>
        <v>0.63419300580000004</v>
      </c>
      <c r="AG11" s="1422">
        <f t="shared" si="1"/>
        <v>0.6451947509</v>
      </c>
      <c r="AH11" s="1422">
        <f t="shared" si="1"/>
        <v>0.63601770270000002</v>
      </c>
      <c r="AI11" s="1392"/>
      <c r="AJ11" s="1393"/>
      <c r="AK11" s="1393"/>
      <c r="AL11" s="1393"/>
      <c r="AM11" s="1393"/>
      <c r="AN11" s="1393"/>
      <c r="AO11" s="1393"/>
      <c r="AP11" s="1393"/>
      <c r="AQ11" s="1393"/>
      <c r="AR11" s="1393"/>
      <c r="AS11" s="1393"/>
      <c r="AT11" s="1393"/>
      <c r="AU11" s="1393"/>
      <c r="AV11" s="1393"/>
      <c r="AW11" s="1393"/>
      <c r="AX11" s="1393"/>
      <c r="AY11" s="1393"/>
      <c r="AZ11" s="1393"/>
      <c r="BA11" s="1393"/>
      <c r="BB11" s="1393"/>
      <c r="BC11" s="1393"/>
      <c r="BD11" s="1393"/>
      <c r="BE11" s="1393"/>
      <c r="BF11" s="1393"/>
      <c r="BG11" s="1424"/>
      <c r="BH11" s="1418"/>
      <c r="BI11" s="1418"/>
      <c r="BJ11" s="1421">
        <v>593.19218295565997</v>
      </c>
      <c r="BK11" s="1421">
        <v>685.66234272600798</v>
      </c>
      <c r="BL11" s="1421">
        <v>810.67055967180204</v>
      </c>
      <c r="BM11" s="1421">
        <v>549.84039309482398</v>
      </c>
      <c r="BN11" s="1421">
        <v>647.63947587412804</v>
      </c>
      <c r="BO11" s="1421">
        <v>701.515629727435</v>
      </c>
      <c r="BP11" s="1421">
        <v>667.96206687441497</v>
      </c>
      <c r="BQ11" s="1421">
        <v>646.43629729632596</v>
      </c>
      <c r="BR11" s="1421">
        <v>532.82737985366396</v>
      </c>
      <c r="BS11" s="1421">
        <v>502.59676259999998</v>
      </c>
      <c r="BT11" s="1421">
        <v>505.11469770000002</v>
      </c>
      <c r="BU11" s="1421">
        <v>425.15254540000001</v>
      </c>
      <c r="BV11" s="1421">
        <v>443.97523719999998</v>
      </c>
      <c r="BW11" s="1421">
        <v>432.49063560000002</v>
      </c>
      <c r="BX11" s="1421">
        <v>515.33571389999997</v>
      </c>
      <c r="BY11" s="1421">
        <v>613.59949610000001</v>
      </c>
      <c r="BZ11" s="1421">
        <v>611.23579329999995</v>
      </c>
      <c r="CA11" s="1421">
        <v>637.40274790000001</v>
      </c>
      <c r="CB11" s="1421">
        <v>676.57017289999999</v>
      </c>
      <c r="CC11" s="1421">
        <v>665.11411009999995</v>
      </c>
      <c r="CD11" s="1421">
        <v>831.48463260000005</v>
      </c>
      <c r="CE11" s="1421">
        <v>820.42306299999996</v>
      </c>
      <c r="CF11" s="1421">
        <v>928.59382170000003</v>
      </c>
      <c r="CG11" s="1421">
        <v>634.19300580000004</v>
      </c>
      <c r="CH11" s="1421">
        <v>645.19475090000003</v>
      </c>
      <c r="CI11" s="1423">
        <v>636.01770269999997</v>
      </c>
    </row>
    <row r="12" spans="2:87" x14ac:dyDescent="0.2">
      <c r="B12" s="1417" t="s">
        <v>701</v>
      </c>
      <c r="C12" s="1418" t="s">
        <v>36</v>
      </c>
      <c r="D12" s="1419"/>
      <c r="E12" s="1420" t="s">
        <v>3</v>
      </c>
      <c r="F12" s="1420"/>
      <c r="G12" s="1418"/>
      <c r="H12" s="1418"/>
      <c r="I12" s="1421">
        <v>21981.682623869401</v>
      </c>
      <c r="J12" s="1421">
        <v>20864.460474344</v>
      </c>
      <c r="K12" s="1421">
        <v>20338.187925807099</v>
      </c>
      <c r="L12" s="1421">
        <v>20095.103506789201</v>
      </c>
      <c r="M12" s="1421">
        <v>21241.204379807001</v>
      </c>
      <c r="N12" s="1421">
        <v>21478.086816844501</v>
      </c>
      <c r="O12" s="1421">
        <v>21281.226469527501</v>
      </c>
      <c r="P12" s="1421">
        <v>21602.9992912866</v>
      </c>
      <c r="Q12" s="1421">
        <v>20527.649010987199</v>
      </c>
      <c r="R12" s="1421">
        <v>20829.0296616253</v>
      </c>
      <c r="S12" s="1421">
        <v>20319.110285364499</v>
      </c>
      <c r="T12" s="1421">
        <v>19293.010246423401</v>
      </c>
      <c r="U12" s="1421">
        <v>20269.176344039901</v>
      </c>
      <c r="V12" s="1421">
        <v>19198.2299295741</v>
      </c>
      <c r="W12" s="1421">
        <v>20267.263089237898</v>
      </c>
      <c r="X12" s="1421">
        <v>18828.664895280501</v>
      </c>
      <c r="Y12" s="1421">
        <v>18517.729058633999</v>
      </c>
      <c r="Z12" s="1421">
        <v>18698.359627667302</v>
      </c>
      <c r="AA12" s="1421">
        <v>17765.473153497202</v>
      </c>
      <c r="AB12" s="1421">
        <v>14989.8741457538</v>
      </c>
      <c r="AC12" s="1422">
        <f t="shared" si="1"/>
        <v>15.387400155655699</v>
      </c>
      <c r="AD12" s="1422">
        <f t="shared" si="1"/>
        <v>16.120449157312301</v>
      </c>
      <c r="AE12" s="1422">
        <f t="shared" si="1"/>
        <v>15.9128783390343</v>
      </c>
      <c r="AF12" s="1422">
        <f t="shared" si="1"/>
        <v>16.156432130058999</v>
      </c>
      <c r="AG12" s="1422">
        <f t="shared" si="1"/>
        <v>16.603500114030098</v>
      </c>
      <c r="AH12" s="1422">
        <f t="shared" si="1"/>
        <v>15.9490385424289</v>
      </c>
      <c r="AI12" s="1392"/>
      <c r="AJ12" s="1393"/>
      <c r="AK12" s="1393"/>
      <c r="AL12" s="1393"/>
      <c r="AM12" s="1393"/>
      <c r="AN12" s="1393"/>
      <c r="AO12" s="1393"/>
      <c r="AP12" s="1393"/>
      <c r="AQ12" s="1393"/>
      <c r="AR12" s="1393"/>
      <c r="AS12" s="1393"/>
      <c r="AT12" s="1393"/>
      <c r="AU12" s="1393"/>
      <c r="AV12" s="1393"/>
      <c r="AW12" s="1393"/>
      <c r="AX12" s="1393"/>
      <c r="AY12" s="1393"/>
      <c r="AZ12" s="1393"/>
      <c r="BA12" s="1393"/>
      <c r="BB12" s="1393"/>
      <c r="BC12" s="1393"/>
      <c r="BD12" s="1393"/>
      <c r="BE12" s="1393"/>
      <c r="BF12" s="1393"/>
      <c r="BG12" s="1420"/>
      <c r="BH12" s="1418"/>
      <c r="BI12" s="1418"/>
      <c r="BJ12" s="1421">
        <v>21981.682623869401</v>
      </c>
      <c r="BK12" s="1421">
        <v>20864.460474344</v>
      </c>
      <c r="BL12" s="1421">
        <v>20338.187925807099</v>
      </c>
      <c r="BM12" s="1421">
        <v>20095.103506789201</v>
      </c>
      <c r="BN12" s="1421">
        <v>21241.204379807001</v>
      </c>
      <c r="BO12" s="1421">
        <v>21478.086816844501</v>
      </c>
      <c r="BP12" s="1421">
        <v>21281.226469527501</v>
      </c>
      <c r="BQ12" s="1421">
        <v>21602.9992912866</v>
      </c>
      <c r="BR12" s="1421">
        <v>20527.649010987199</v>
      </c>
      <c r="BS12" s="1421">
        <v>20829.0296616253</v>
      </c>
      <c r="BT12" s="1421">
        <v>20319.110285364499</v>
      </c>
      <c r="BU12" s="1421">
        <v>19293.010246423401</v>
      </c>
      <c r="BV12" s="1421">
        <v>20269.176344039901</v>
      </c>
      <c r="BW12" s="1421">
        <v>19198.2299295741</v>
      </c>
      <c r="BX12" s="1421">
        <v>20267.263089237898</v>
      </c>
      <c r="BY12" s="1421">
        <v>18828.664895280501</v>
      </c>
      <c r="BZ12" s="1421">
        <v>18517.729058633999</v>
      </c>
      <c r="CA12" s="1421">
        <v>18698.359627667302</v>
      </c>
      <c r="CB12" s="1421">
        <v>17765.473153497202</v>
      </c>
      <c r="CC12" s="1421">
        <v>14989.8741457538</v>
      </c>
      <c r="CD12" s="1421">
        <v>15387.4001556557</v>
      </c>
      <c r="CE12" s="1421">
        <v>16120.4491573123</v>
      </c>
      <c r="CF12" s="1421">
        <v>15912.8783390343</v>
      </c>
      <c r="CG12" s="1421">
        <v>16156.432130059</v>
      </c>
      <c r="CH12" s="1421">
        <v>16603.500114030099</v>
      </c>
      <c r="CI12" s="1423">
        <v>15949.0385424289</v>
      </c>
    </row>
    <row r="13" spans="2:87" x14ac:dyDescent="0.2">
      <c r="B13" s="1417" t="s">
        <v>701</v>
      </c>
      <c r="C13" s="1418" t="s">
        <v>36</v>
      </c>
      <c r="D13" s="1419"/>
      <c r="E13" s="1420" t="s">
        <v>4</v>
      </c>
      <c r="F13" s="1425"/>
      <c r="G13" s="1418"/>
      <c r="H13" s="1418"/>
      <c r="I13" s="1421">
        <v>571.42917892528999</v>
      </c>
      <c r="J13" s="1421">
        <v>527.30860057271002</v>
      </c>
      <c r="K13" s="1421">
        <v>558.98940129644996</v>
      </c>
      <c r="L13" s="1421">
        <v>335.29150308700002</v>
      </c>
      <c r="M13" s="1421">
        <v>420.73044915489999</v>
      </c>
      <c r="N13" s="1421">
        <v>372.83480793299998</v>
      </c>
      <c r="O13" s="1421">
        <v>443.24661079999998</v>
      </c>
      <c r="P13" s="1421">
        <v>491.70740119999999</v>
      </c>
      <c r="Q13" s="1421">
        <v>450.90341160000003</v>
      </c>
      <c r="R13" s="1421">
        <v>475.47477079999999</v>
      </c>
      <c r="S13" s="1421">
        <v>439.60500789999998</v>
      </c>
      <c r="T13" s="1421">
        <v>394.21784070000001</v>
      </c>
      <c r="U13" s="1421">
        <v>526.89197909999996</v>
      </c>
      <c r="V13" s="1421">
        <v>559.05811340000002</v>
      </c>
      <c r="W13" s="1421">
        <v>559.16570079999997</v>
      </c>
      <c r="X13" s="1421">
        <v>637.21325509999997</v>
      </c>
      <c r="Y13" s="1421">
        <v>568.33834460000003</v>
      </c>
      <c r="Z13" s="1421">
        <v>514.22136390000003</v>
      </c>
      <c r="AA13" s="1421">
        <v>551.21112310000001</v>
      </c>
      <c r="AB13" s="1421">
        <v>465.20567080000001</v>
      </c>
      <c r="AC13" s="1422">
        <f t="shared" si="1"/>
        <v>0.55652068539999999</v>
      </c>
      <c r="AD13" s="1422">
        <f t="shared" si="1"/>
        <v>0.41642581419999997</v>
      </c>
      <c r="AE13" s="1422">
        <f t="shared" si="1"/>
        <v>0.43581831809999999</v>
      </c>
      <c r="AF13" s="1422">
        <f t="shared" si="1"/>
        <v>0.36056005590000001</v>
      </c>
      <c r="AG13" s="1422">
        <f t="shared" si="1"/>
        <v>0.38029473499999999</v>
      </c>
      <c r="AH13" s="1422">
        <f t="shared" si="1"/>
        <v>0.34897247149999999</v>
      </c>
      <c r="AI13" s="1392"/>
      <c r="AJ13" s="1393"/>
      <c r="AK13" s="1393"/>
      <c r="AL13" s="1393"/>
      <c r="AM13" s="1393"/>
      <c r="AN13" s="1393"/>
      <c r="AO13" s="1393"/>
      <c r="AP13" s="1393"/>
      <c r="AQ13" s="1393"/>
      <c r="AR13" s="1393"/>
      <c r="AS13" s="1393"/>
      <c r="AT13" s="1393"/>
      <c r="AU13" s="1393"/>
      <c r="AV13" s="1393"/>
      <c r="AW13" s="1393"/>
      <c r="AX13" s="1393"/>
      <c r="AY13" s="1393"/>
      <c r="AZ13" s="1393"/>
      <c r="BA13" s="1393"/>
      <c r="BB13" s="1393"/>
      <c r="BC13" s="1393"/>
      <c r="BD13" s="1393"/>
      <c r="BE13" s="1393"/>
      <c r="BF13" s="1393"/>
      <c r="BG13" s="1425"/>
      <c r="BH13" s="1418"/>
      <c r="BI13" s="1418"/>
      <c r="BJ13" s="1421">
        <v>571.42917892528999</v>
      </c>
      <c r="BK13" s="1421">
        <v>527.30860057271002</v>
      </c>
      <c r="BL13" s="1421">
        <v>558.98940129644996</v>
      </c>
      <c r="BM13" s="1421">
        <v>335.29150308700002</v>
      </c>
      <c r="BN13" s="1421">
        <v>420.73044915489999</v>
      </c>
      <c r="BO13" s="1421">
        <v>372.83480793299998</v>
      </c>
      <c r="BP13" s="1421">
        <v>443.24661079999998</v>
      </c>
      <c r="BQ13" s="1421">
        <v>491.70740119999999</v>
      </c>
      <c r="BR13" s="1421">
        <v>450.90341160000003</v>
      </c>
      <c r="BS13" s="1421">
        <v>475.47477079999999</v>
      </c>
      <c r="BT13" s="1421">
        <v>439.60500789999998</v>
      </c>
      <c r="BU13" s="1421">
        <v>394.21784070000001</v>
      </c>
      <c r="BV13" s="1421">
        <v>526.89197909999996</v>
      </c>
      <c r="BW13" s="1421">
        <v>559.05811340000002</v>
      </c>
      <c r="BX13" s="1421">
        <v>559.16570079999997</v>
      </c>
      <c r="BY13" s="1421">
        <v>637.21325509999997</v>
      </c>
      <c r="BZ13" s="1421">
        <v>568.33834460000003</v>
      </c>
      <c r="CA13" s="1421">
        <v>514.22136390000003</v>
      </c>
      <c r="CB13" s="1421">
        <v>551.21112310000001</v>
      </c>
      <c r="CC13" s="1421">
        <v>465.20567080000001</v>
      </c>
      <c r="CD13" s="1421">
        <v>556.52068540000005</v>
      </c>
      <c r="CE13" s="1421">
        <v>416.42581419999999</v>
      </c>
      <c r="CF13" s="1421">
        <v>435.8183181</v>
      </c>
      <c r="CG13" s="1421">
        <v>360.56005590000001</v>
      </c>
      <c r="CH13" s="1421">
        <v>380.294735</v>
      </c>
      <c r="CI13" s="1423">
        <v>348.97247149999998</v>
      </c>
    </row>
    <row r="14" spans="2:87" x14ac:dyDescent="0.2">
      <c r="B14" s="1426" t="s">
        <v>701</v>
      </c>
      <c r="C14" s="1427" t="s">
        <v>102</v>
      </c>
      <c r="D14" s="1428"/>
      <c r="E14" s="1429" t="s">
        <v>434</v>
      </c>
      <c r="F14" s="1429"/>
      <c r="G14" s="1427"/>
      <c r="H14" s="1427"/>
      <c r="I14" s="1430">
        <v>9139.2576278187807</v>
      </c>
      <c r="J14" s="1430">
        <v>9642.5645966126795</v>
      </c>
      <c r="K14" s="1430">
        <v>10203.2977442839</v>
      </c>
      <c r="L14" s="1430">
        <v>10121.5819384121</v>
      </c>
      <c r="M14" s="1430">
        <v>9896.5482182391606</v>
      </c>
      <c r="N14" s="1430">
        <v>9821.4176581864594</v>
      </c>
      <c r="O14" s="1430">
        <v>10888.7022071349</v>
      </c>
      <c r="P14" s="1430">
        <v>11367.214130693301</v>
      </c>
      <c r="Q14" s="1430">
        <v>10292.802592566401</v>
      </c>
      <c r="R14" s="1430">
        <v>11515.070776032901</v>
      </c>
      <c r="S14" s="1430">
        <v>13054.8059564798</v>
      </c>
      <c r="T14" s="1430">
        <v>13338.653196470401</v>
      </c>
      <c r="U14" s="1430">
        <v>12472.336909317601</v>
      </c>
      <c r="V14" s="1430">
        <v>13343.5050440297</v>
      </c>
      <c r="W14" s="1430">
        <v>12927.1318335215</v>
      </c>
      <c r="X14" s="1430">
        <v>12789.053995346199</v>
      </c>
      <c r="Y14" s="1430">
        <v>11419.918815254299</v>
      </c>
      <c r="Z14" s="1430">
        <v>11978.266080093799</v>
      </c>
      <c r="AA14" s="1430">
        <v>11959.359404016601</v>
      </c>
      <c r="AB14" s="1430">
        <v>11405.953682629601</v>
      </c>
      <c r="AC14" s="1431">
        <f t="shared" si="1"/>
        <v>10.926010808924</v>
      </c>
      <c r="AD14" s="1431">
        <f t="shared" si="1"/>
        <v>11.829426728980499</v>
      </c>
      <c r="AE14" s="1431">
        <f t="shared" si="1"/>
        <v>10.945698848898902</v>
      </c>
      <c r="AF14" s="1431">
        <f t="shared" si="1"/>
        <v>11.9081317521812</v>
      </c>
      <c r="AG14" s="1431">
        <f t="shared" si="1"/>
        <v>13.1035951222789</v>
      </c>
      <c r="AH14" s="1431">
        <f t="shared" si="1"/>
        <v>12.4809363200962</v>
      </c>
      <c r="AI14" s="1392"/>
      <c r="AJ14" s="1393"/>
      <c r="AK14" s="1393"/>
      <c r="AL14" s="1393"/>
      <c r="AM14" s="1393"/>
      <c r="AN14" s="1393"/>
      <c r="AO14" s="1393"/>
      <c r="AP14" s="1393"/>
      <c r="AQ14" s="1393"/>
      <c r="AR14" s="1393"/>
      <c r="AS14" s="1393"/>
      <c r="AT14" s="1393"/>
      <c r="AU14" s="1393"/>
      <c r="AV14" s="1393"/>
      <c r="AW14" s="1393"/>
      <c r="AX14" s="1393"/>
      <c r="AY14" s="1393"/>
      <c r="AZ14" s="1393"/>
      <c r="BA14" s="1393"/>
      <c r="BB14" s="1393"/>
      <c r="BC14" s="1393"/>
      <c r="BD14" s="1393"/>
      <c r="BE14" s="1393"/>
      <c r="BF14" s="1432"/>
      <c r="BG14" s="1429"/>
      <c r="BH14" s="1427"/>
      <c r="BI14" s="1427"/>
      <c r="BJ14" s="1430">
        <v>9139.2576278187807</v>
      </c>
      <c r="BK14" s="1430">
        <v>9642.5645966126795</v>
      </c>
      <c r="BL14" s="1430">
        <v>10203.2977442839</v>
      </c>
      <c r="BM14" s="1430">
        <v>10121.5819384121</v>
      </c>
      <c r="BN14" s="1430">
        <v>9896.5482182391606</v>
      </c>
      <c r="BO14" s="1430">
        <v>9821.4176581864594</v>
      </c>
      <c r="BP14" s="1430">
        <v>10888.7022071349</v>
      </c>
      <c r="BQ14" s="1430">
        <v>11367.214130693301</v>
      </c>
      <c r="BR14" s="1430">
        <v>10292.802592566401</v>
      </c>
      <c r="BS14" s="1430">
        <v>11515.070776032901</v>
      </c>
      <c r="BT14" s="1430">
        <v>13054.8059564798</v>
      </c>
      <c r="BU14" s="1430">
        <v>13338.653196470401</v>
      </c>
      <c r="BV14" s="1430">
        <v>12472.336909317601</v>
      </c>
      <c r="BW14" s="1430">
        <v>13343.5050440297</v>
      </c>
      <c r="BX14" s="1430">
        <v>12927.1318335215</v>
      </c>
      <c r="BY14" s="1430">
        <v>12789.053995346199</v>
      </c>
      <c r="BZ14" s="1430">
        <v>11419.918815254299</v>
      </c>
      <c r="CA14" s="1430">
        <v>11978.266080093799</v>
      </c>
      <c r="CB14" s="1430">
        <v>11959.359404016601</v>
      </c>
      <c r="CC14" s="1430">
        <v>11405.953682629601</v>
      </c>
      <c r="CD14" s="1430">
        <v>10926.010808924</v>
      </c>
      <c r="CE14" s="1430">
        <v>11829.426728980499</v>
      </c>
      <c r="CF14" s="1430">
        <v>10945.698848898901</v>
      </c>
      <c r="CG14" s="1430">
        <v>11908.1317521812</v>
      </c>
      <c r="CH14" s="1430">
        <v>13103.595122278901</v>
      </c>
      <c r="CI14" s="1433">
        <v>12480.9363200962</v>
      </c>
    </row>
    <row r="15" spans="2:87" x14ac:dyDescent="0.2">
      <c r="B15" s="1426" t="s">
        <v>701</v>
      </c>
      <c r="C15" s="1427" t="s">
        <v>102</v>
      </c>
      <c r="D15" s="1428"/>
      <c r="E15" s="1429" t="s">
        <v>5</v>
      </c>
      <c r="F15" s="1429"/>
      <c r="G15" s="1427"/>
      <c r="H15" s="1427"/>
      <c r="I15" s="1430">
        <v>18183.873676019699</v>
      </c>
      <c r="J15" s="1430">
        <v>17787.0436320185</v>
      </c>
      <c r="K15" s="1430">
        <v>18819.548385380302</v>
      </c>
      <c r="L15" s="1430">
        <v>20093.115048756899</v>
      </c>
      <c r="M15" s="1430">
        <v>20928.586368856399</v>
      </c>
      <c r="N15" s="1430">
        <v>20119.696692937399</v>
      </c>
      <c r="O15" s="1430">
        <v>22036.550292252799</v>
      </c>
      <c r="P15" s="1430">
        <v>20696.891790173599</v>
      </c>
      <c r="Q15" s="1430">
        <v>17177.130957222202</v>
      </c>
      <c r="R15" s="1430">
        <v>18379.7660151747</v>
      </c>
      <c r="S15" s="1430">
        <v>19611.940412516899</v>
      </c>
      <c r="T15" s="1430">
        <v>18406.505234852</v>
      </c>
      <c r="U15" s="1430">
        <v>19606.840626114899</v>
      </c>
      <c r="V15" s="1430">
        <v>21097.458790042201</v>
      </c>
      <c r="W15" s="1430">
        <v>19925.6829064372</v>
      </c>
      <c r="X15" s="1430">
        <v>20710.8659224486</v>
      </c>
      <c r="Y15" s="1430">
        <v>19122.555896348302</v>
      </c>
      <c r="Z15" s="1430">
        <v>20990.182619901501</v>
      </c>
      <c r="AA15" s="1430">
        <v>21066.641575003101</v>
      </c>
      <c r="AB15" s="1430">
        <v>19639.538833469302</v>
      </c>
      <c r="AC15" s="1431">
        <f t="shared" si="1"/>
        <v>18.905174014847901</v>
      </c>
      <c r="AD15" s="1431">
        <f t="shared" si="1"/>
        <v>20.530516496672</v>
      </c>
      <c r="AE15" s="1431">
        <f t="shared" si="1"/>
        <v>18.332682586185101</v>
      </c>
      <c r="AF15" s="1431">
        <f t="shared" si="1"/>
        <v>20.239728784951399</v>
      </c>
      <c r="AG15" s="1431">
        <f t="shared" si="1"/>
        <v>21.834526714517601</v>
      </c>
      <c r="AH15" s="1431">
        <f t="shared" si="1"/>
        <v>20.694772243183898</v>
      </c>
      <c r="AI15" s="1392"/>
      <c r="AJ15" s="1393"/>
      <c r="AK15" s="1393"/>
      <c r="AL15" s="1393"/>
      <c r="AM15" s="1393"/>
      <c r="AN15" s="1393"/>
      <c r="AO15" s="1393"/>
      <c r="AP15" s="1393"/>
      <c r="AQ15" s="1393"/>
      <c r="AR15" s="1393"/>
      <c r="AS15" s="1393"/>
      <c r="AT15" s="1393"/>
      <c r="AU15" s="1393"/>
      <c r="AV15" s="1393"/>
      <c r="AW15" s="1393"/>
      <c r="AX15" s="1393"/>
      <c r="AY15" s="1393"/>
      <c r="AZ15" s="1393"/>
      <c r="BA15" s="1393"/>
      <c r="BB15" s="1393"/>
      <c r="BC15" s="1393"/>
      <c r="BD15" s="1393"/>
      <c r="BE15" s="1393"/>
      <c r="BF15" s="1432"/>
      <c r="BG15" s="1429"/>
      <c r="BH15" s="1427"/>
      <c r="BI15" s="1427"/>
      <c r="BJ15" s="1430">
        <v>18183.873676019699</v>
      </c>
      <c r="BK15" s="1430">
        <v>17787.0436320185</v>
      </c>
      <c r="BL15" s="1430">
        <v>18819.548385380302</v>
      </c>
      <c r="BM15" s="1430">
        <v>20093.115048756899</v>
      </c>
      <c r="BN15" s="1430">
        <v>20928.586368856399</v>
      </c>
      <c r="BO15" s="1430">
        <v>20119.696692937399</v>
      </c>
      <c r="BP15" s="1430">
        <v>22036.550292252799</v>
      </c>
      <c r="BQ15" s="1430">
        <v>20696.891790173599</v>
      </c>
      <c r="BR15" s="1430">
        <v>17177.130957222202</v>
      </c>
      <c r="BS15" s="1430">
        <v>18379.7660151747</v>
      </c>
      <c r="BT15" s="1430">
        <v>19611.940412516899</v>
      </c>
      <c r="BU15" s="1430">
        <v>18406.505234852</v>
      </c>
      <c r="BV15" s="1430">
        <v>19606.840626114899</v>
      </c>
      <c r="BW15" s="1430">
        <v>21097.458790042201</v>
      </c>
      <c r="BX15" s="1430">
        <v>19925.6829064372</v>
      </c>
      <c r="BY15" s="1430">
        <v>20710.8659224486</v>
      </c>
      <c r="BZ15" s="1430">
        <v>19122.555896348302</v>
      </c>
      <c r="CA15" s="1430">
        <v>20990.182619901501</v>
      </c>
      <c r="CB15" s="1430">
        <v>21066.641575003101</v>
      </c>
      <c r="CC15" s="1430">
        <v>19639.538833469302</v>
      </c>
      <c r="CD15" s="1430">
        <v>18905.1740148479</v>
      </c>
      <c r="CE15" s="1430">
        <v>20530.516496672</v>
      </c>
      <c r="CF15" s="1430">
        <v>18332.682586185099</v>
      </c>
      <c r="CG15" s="1430">
        <v>20239.7287849514</v>
      </c>
      <c r="CH15" s="1430">
        <v>21834.5267145176</v>
      </c>
      <c r="CI15" s="1433">
        <v>20694.772243183899</v>
      </c>
    </row>
    <row r="16" spans="2:87" x14ac:dyDescent="0.2">
      <c r="B16" s="1417" t="s">
        <v>701</v>
      </c>
      <c r="C16" s="1418" t="s">
        <v>36</v>
      </c>
      <c r="D16" s="1419"/>
      <c r="E16" s="1420" t="s">
        <v>435</v>
      </c>
      <c r="F16" s="1420"/>
      <c r="G16" s="1418"/>
      <c r="H16" s="1418"/>
      <c r="I16" s="1421">
        <v>774.93330758439697</v>
      </c>
      <c r="J16" s="1421">
        <v>886.54940833975604</v>
      </c>
      <c r="K16" s="1421">
        <v>1098.9339141737701</v>
      </c>
      <c r="L16" s="1421">
        <v>989.85749588236899</v>
      </c>
      <c r="M16" s="1421">
        <v>935.01689871880399</v>
      </c>
      <c r="N16" s="1421">
        <v>1143.57383429173</v>
      </c>
      <c r="O16" s="1421">
        <v>1121.1129704</v>
      </c>
      <c r="P16" s="1421">
        <v>1046.2430621999999</v>
      </c>
      <c r="Q16" s="1421">
        <v>939.57817536690197</v>
      </c>
      <c r="R16" s="1421">
        <v>961.78175092531603</v>
      </c>
      <c r="S16" s="1421">
        <v>906.85210586684502</v>
      </c>
      <c r="T16" s="1421">
        <v>774.81453762254296</v>
      </c>
      <c r="U16" s="1421">
        <v>854.320997270421</v>
      </c>
      <c r="V16" s="1421">
        <v>1027.2667313653601</v>
      </c>
      <c r="W16" s="1421">
        <v>1018.7648670237299</v>
      </c>
      <c r="X16" s="1421">
        <v>1035.2763790317099</v>
      </c>
      <c r="Y16" s="1421">
        <v>1023.36312442043</v>
      </c>
      <c r="Z16" s="1421">
        <v>1293.8232259292799</v>
      </c>
      <c r="AA16" s="1421">
        <v>1227.43212933317</v>
      </c>
      <c r="AB16" s="1421">
        <v>1046.6580461521901</v>
      </c>
      <c r="AC16" s="1422">
        <f t="shared" si="1"/>
        <v>1.1088740185191499</v>
      </c>
      <c r="AD16" s="1422">
        <f t="shared" si="1"/>
        <v>1.6529936997685</v>
      </c>
      <c r="AE16" s="1422">
        <f t="shared" si="1"/>
        <v>1.6913032421285701</v>
      </c>
      <c r="AF16" s="1422">
        <f t="shared" si="1"/>
        <v>1.65399537864378</v>
      </c>
      <c r="AG16" s="1422">
        <f t="shared" si="1"/>
        <v>1.49606188110018</v>
      </c>
      <c r="AH16" s="1422">
        <f t="shared" si="1"/>
        <v>1.4746252760896199</v>
      </c>
      <c r="AI16" s="1392"/>
      <c r="AJ16" s="1393"/>
      <c r="AK16" s="1393"/>
      <c r="AL16" s="1393"/>
      <c r="AM16" s="1393"/>
      <c r="AN16" s="1393"/>
      <c r="AO16" s="1393"/>
      <c r="AP16" s="1393"/>
      <c r="AQ16" s="1393"/>
      <c r="AR16" s="1393"/>
      <c r="AS16" s="1393"/>
      <c r="AT16" s="1393"/>
      <c r="AU16" s="1393"/>
      <c r="AV16" s="1393"/>
      <c r="AW16" s="1393"/>
      <c r="AX16" s="1393"/>
      <c r="AY16" s="1393"/>
      <c r="AZ16" s="1393"/>
      <c r="BA16" s="1393"/>
      <c r="BB16" s="1393"/>
      <c r="BC16" s="1393"/>
      <c r="BD16" s="1393"/>
      <c r="BE16" s="1393"/>
      <c r="BF16" s="1393"/>
      <c r="BG16" s="1420"/>
      <c r="BH16" s="1418"/>
      <c r="BI16" s="1418"/>
      <c r="BJ16" s="1421">
        <v>774.93330758439697</v>
      </c>
      <c r="BK16" s="1421">
        <v>886.54940833975604</v>
      </c>
      <c r="BL16" s="1421">
        <v>1098.9339141737701</v>
      </c>
      <c r="BM16" s="1421">
        <v>989.85749588236899</v>
      </c>
      <c r="BN16" s="1421">
        <v>935.01689871880399</v>
      </c>
      <c r="BO16" s="1421">
        <v>1143.57383429173</v>
      </c>
      <c r="BP16" s="1421">
        <v>1121.1129704</v>
      </c>
      <c r="BQ16" s="1421">
        <v>1046.2430621999999</v>
      </c>
      <c r="BR16" s="1421">
        <v>939.57817536690197</v>
      </c>
      <c r="BS16" s="1421">
        <v>961.78175092531603</v>
      </c>
      <c r="BT16" s="1421">
        <v>906.85210586684502</v>
      </c>
      <c r="BU16" s="1421">
        <v>774.81453762254296</v>
      </c>
      <c r="BV16" s="1421">
        <v>854.320997270421</v>
      </c>
      <c r="BW16" s="1421">
        <v>1027.2667313653601</v>
      </c>
      <c r="BX16" s="1421">
        <v>1018.7648670237299</v>
      </c>
      <c r="BY16" s="1421">
        <v>1035.2763790317099</v>
      </c>
      <c r="BZ16" s="1421">
        <v>1023.36312442043</v>
      </c>
      <c r="CA16" s="1421">
        <v>1293.8232259292799</v>
      </c>
      <c r="CB16" s="1421">
        <v>1227.43212933317</v>
      </c>
      <c r="CC16" s="1421">
        <v>1046.6580461521901</v>
      </c>
      <c r="CD16" s="1421">
        <v>1108.87401851915</v>
      </c>
      <c r="CE16" s="1421">
        <v>1652.9936997684999</v>
      </c>
      <c r="CF16" s="1421">
        <v>1691.30324212857</v>
      </c>
      <c r="CG16" s="1421">
        <v>1653.99537864378</v>
      </c>
      <c r="CH16" s="1421">
        <v>1496.06188110018</v>
      </c>
      <c r="CI16" s="1423">
        <v>1474.62527608962</v>
      </c>
    </row>
    <row r="17" spans="2:87" x14ac:dyDescent="0.2">
      <c r="B17" s="1434"/>
      <c r="C17" s="1435" t="s">
        <v>699</v>
      </c>
      <c r="D17" s="1436" t="s">
        <v>6</v>
      </c>
      <c r="E17" s="1437" t="s">
        <v>702</v>
      </c>
      <c r="F17" s="1437"/>
      <c r="G17" s="1435"/>
      <c r="H17" s="1435"/>
      <c r="I17" s="1438">
        <v>48511.012444519998</v>
      </c>
      <c r="J17" s="1438">
        <v>47056.864957536898</v>
      </c>
      <c r="K17" s="1438">
        <v>48806.007736832798</v>
      </c>
      <c r="L17" s="1438">
        <v>49899.9398914263</v>
      </c>
      <c r="M17" s="1438">
        <v>51137.819316669498</v>
      </c>
      <c r="N17" s="1438">
        <v>52962.666222134598</v>
      </c>
      <c r="O17" s="1438">
        <v>54350.425728838702</v>
      </c>
      <c r="P17" s="1438">
        <v>56456.605982208901</v>
      </c>
      <c r="Q17" s="1438">
        <v>57255.433197291102</v>
      </c>
      <c r="R17" s="1438">
        <v>59810.194004698598</v>
      </c>
      <c r="S17" s="1438">
        <v>60588.858376377</v>
      </c>
      <c r="T17" s="1438">
        <v>58888.761447771001</v>
      </c>
      <c r="U17" s="1438">
        <v>60452.7232066168</v>
      </c>
      <c r="V17" s="1438">
        <v>60920.284859586398</v>
      </c>
      <c r="W17" s="1438">
        <v>62245.978153341101</v>
      </c>
      <c r="X17" s="1438">
        <v>64905.854272996999</v>
      </c>
      <c r="Y17" s="1438">
        <v>62662.031574377099</v>
      </c>
      <c r="Z17" s="1438">
        <v>61502.521866510797</v>
      </c>
      <c r="AA17" s="1438">
        <v>60033.597567233803</v>
      </c>
      <c r="AB17" s="1438">
        <v>59399.477020201099</v>
      </c>
      <c r="AC17" s="1439">
        <f t="shared" si="1"/>
        <v>61.753238018175097</v>
      </c>
      <c r="AD17" s="1439">
        <f t="shared" si="1"/>
        <v>61.334914572874794</v>
      </c>
      <c r="AE17" s="1439">
        <f t="shared" si="1"/>
        <v>58.978949813984102</v>
      </c>
      <c r="AF17" s="1439">
        <f t="shared" si="1"/>
        <v>61.622431385732902</v>
      </c>
      <c r="AG17" s="1439">
        <f t="shared" si="1"/>
        <v>59.932229014315894</v>
      </c>
      <c r="AH17" s="1439">
        <f t="shared" si="1"/>
        <v>61.1732202682525</v>
      </c>
      <c r="AI17" s="1392"/>
      <c r="AJ17" s="1393"/>
      <c r="AK17" s="1393"/>
      <c r="AL17" s="1393"/>
      <c r="AM17" s="1393"/>
      <c r="AN17" s="1393"/>
      <c r="AO17" s="1393"/>
      <c r="AP17" s="1393"/>
      <c r="AQ17" s="1393"/>
      <c r="AR17" s="1393"/>
      <c r="AS17" s="1393"/>
      <c r="AT17" s="1393"/>
      <c r="AU17" s="1393"/>
      <c r="AV17" s="1393"/>
      <c r="AW17" s="1393"/>
      <c r="AX17" s="1393"/>
      <c r="AY17" s="1393"/>
      <c r="AZ17" s="1393"/>
      <c r="BA17" s="1393"/>
      <c r="BB17" s="1393"/>
      <c r="BC17" s="1393"/>
      <c r="BD17" s="1393"/>
      <c r="BE17" s="1393"/>
      <c r="BF17" s="1393"/>
      <c r="BG17" s="1437"/>
      <c r="BH17" s="1435"/>
      <c r="BI17" s="1435"/>
      <c r="BJ17" s="1438">
        <v>48511.012444519998</v>
      </c>
      <c r="BK17" s="1438">
        <v>47056.864957536898</v>
      </c>
      <c r="BL17" s="1438">
        <v>48806.007736832798</v>
      </c>
      <c r="BM17" s="1438">
        <v>49899.9398914263</v>
      </c>
      <c r="BN17" s="1438">
        <v>51137.819316669498</v>
      </c>
      <c r="BO17" s="1438">
        <v>52962.666222134598</v>
      </c>
      <c r="BP17" s="1438">
        <v>54350.425728838702</v>
      </c>
      <c r="BQ17" s="1438">
        <v>56456.605982208901</v>
      </c>
      <c r="BR17" s="1438">
        <v>57255.433197291102</v>
      </c>
      <c r="BS17" s="1438">
        <v>59810.194004698598</v>
      </c>
      <c r="BT17" s="1438">
        <v>60588.858376377</v>
      </c>
      <c r="BU17" s="1438">
        <v>58888.761447771001</v>
      </c>
      <c r="BV17" s="1438">
        <v>60452.7232066168</v>
      </c>
      <c r="BW17" s="1438">
        <v>60920.284859586398</v>
      </c>
      <c r="BX17" s="1438">
        <v>62245.978153341101</v>
      </c>
      <c r="BY17" s="1438">
        <v>64905.854272996999</v>
      </c>
      <c r="BZ17" s="1438">
        <v>62662.031574377099</v>
      </c>
      <c r="CA17" s="1438">
        <v>61502.521866510797</v>
      </c>
      <c r="CB17" s="1438">
        <v>60033.597567233803</v>
      </c>
      <c r="CC17" s="1438">
        <v>59399.477020201099</v>
      </c>
      <c r="CD17" s="1438">
        <v>61753.2380181751</v>
      </c>
      <c r="CE17" s="1438">
        <v>61334.914572874797</v>
      </c>
      <c r="CF17" s="1438">
        <v>58978.949813984102</v>
      </c>
      <c r="CG17" s="1438">
        <v>61622.431385732903</v>
      </c>
      <c r="CH17" s="1438">
        <v>59932.229014315897</v>
      </c>
      <c r="CI17" s="1440">
        <v>61173.220268252502</v>
      </c>
    </row>
    <row r="18" spans="2:87" x14ac:dyDescent="0.2">
      <c r="B18" s="1441" t="s">
        <v>675</v>
      </c>
      <c r="C18" s="1442" t="s">
        <v>39</v>
      </c>
      <c r="D18" s="1443"/>
      <c r="E18" s="1444" t="s">
        <v>437</v>
      </c>
      <c r="F18" s="1444"/>
      <c r="G18" s="1442"/>
      <c r="H18" s="1442"/>
      <c r="I18" s="1445">
        <v>2242.5410207131499</v>
      </c>
      <c r="J18" s="1445">
        <v>1928.4841013876</v>
      </c>
      <c r="K18" s="1445">
        <v>1934.47627821571</v>
      </c>
      <c r="L18" s="1445">
        <v>1806.4832696368701</v>
      </c>
      <c r="M18" s="1445">
        <v>1897.9344500478201</v>
      </c>
      <c r="N18" s="1445">
        <v>2066.3259255072699</v>
      </c>
      <c r="O18" s="1445">
        <v>2147.8558671559499</v>
      </c>
      <c r="P18" s="1445">
        <v>2205.9775969544899</v>
      </c>
      <c r="Q18" s="1445">
        <v>2260.3355704334599</v>
      </c>
      <c r="R18" s="1445">
        <v>2392.7816784973102</v>
      </c>
      <c r="S18" s="1445">
        <v>2360.1188310058101</v>
      </c>
      <c r="T18" s="1445">
        <v>2176.8684626288</v>
      </c>
      <c r="U18" s="1445">
        <v>2101.1227513440299</v>
      </c>
      <c r="V18" s="1445">
        <v>2126.9108918237198</v>
      </c>
      <c r="W18" s="1445">
        <v>2276.3145329212298</v>
      </c>
      <c r="X18" s="1445">
        <v>2232.3724795963999</v>
      </c>
      <c r="Y18" s="1445">
        <v>2202.1053820851598</v>
      </c>
      <c r="Z18" s="1445">
        <v>2189.7416522716999</v>
      </c>
      <c r="AA18" s="1445">
        <v>2090.6826641140101</v>
      </c>
      <c r="AB18" s="1445">
        <v>1877.66093207363</v>
      </c>
      <c r="AC18" s="1446">
        <f t="shared" si="1"/>
        <v>1.9041080623226101</v>
      </c>
      <c r="AD18" s="1446">
        <f t="shared" si="1"/>
        <v>1.9017775106888399</v>
      </c>
      <c r="AE18" s="1446">
        <f t="shared" si="1"/>
        <v>2.1933705693524099</v>
      </c>
      <c r="AF18" s="1446">
        <f t="shared" si="1"/>
        <v>2.2744841829056202</v>
      </c>
      <c r="AG18" s="1446">
        <f t="shared" si="1"/>
        <v>2.1909329044184003</v>
      </c>
      <c r="AH18" s="1446">
        <f t="shared" si="1"/>
        <v>2.21080206388852</v>
      </c>
      <c r="AI18" s="1392"/>
      <c r="AJ18" s="1393"/>
      <c r="AK18" s="1393"/>
      <c r="AL18" s="1393"/>
      <c r="AM18" s="1393"/>
      <c r="AN18" s="1393"/>
      <c r="AO18" s="1393"/>
      <c r="AP18" s="1393"/>
      <c r="AQ18" s="1393"/>
      <c r="AR18" s="1393"/>
      <c r="AS18" s="1393"/>
      <c r="AT18" s="1393"/>
      <c r="AU18" s="1393"/>
      <c r="AV18" s="1393"/>
      <c r="AW18" s="1393"/>
      <c r="AX18" s="1393"/>
      <c r="AY18" s="1393"/>
      <c r="AZ18" s="1393"/>
      <c r="BA18" s="1393"/>
      <c r="BB18" s="1393"/>
      <c r="BC18" s="1393"/>
      <c r="BD18" s="1393"/>
      <c r="BE18" s="1393"/>
      <c r="BF18" s="1393"/>
      <c r="BG18" s="1444"/>
      <c r="BH18" s="1442"/>
      <c r="BI18" s="1442"/>
      <c r="BJ18" s="1445">
        <v>2242.5410207131499</v>
      </c>
      <c r="BK18" s="1445">
        <v>1928.4841013876</v>
      </c>
      <c r="BL18" s="1445">
        <v>1934.47627821571</v>
      </c>
      <c r="BM18" s="1445">
        <v>1806.4832696368701</v>
      </c>
      <c r="BN18" s="1445">
        <v>1897.9344500478201</v>
      </c>
      <c r="BO18" s="1445">
        <v>2066.3259255072699</v>
      </c>
      <c r="BP18" s="1445">
        <v>2147.8558671559499</v>
      </c>
      <c r="BQ18" s="1445">
        <v>2205.9775969544899</v>
      </c>
      <c r="BR18" s="1445">
        <v>2260.3355704334599</v>
      </c>
      <c r="BS18" s="1445">
        <v>2392.7816784973102</v>
      </c>
      <c r="BT18" s="1445">
        <v>2360.1188310058101</v>
      </c>
      <c r="BU18" s="1445">
        <v>2176.8684626288</v>
      </c>
      <c r="BV18" s="1445">
        <v>2101.1227513440299</v>
      </c>
      <c r="BW18" s="1445">
        <v>2126.9108918237198</v>
      </c>
      <c r="BX18" s="1445">
        <v>2276.3145329212298</v>
      </c>
      <c r="BY18" s="1445">
        <v>2232.3724795963999</v>
      </c>
      <c r="BZ18" s="1445">
        <v>2202.1053820851598</v>
      </c>
      <c r="CA18" s="1445">
        <v>2189.7416522716999</v>
      </c>
      <c r="CB18" s="1445">
        <v>2090.6826641140101</v>
      </c>
      <c r="CC18" s="1445">
        <v>1877.66093207363</v>
      </c>
      <c r="CD18" s="1445">
        <v>1904.1080623226101</v>
      </c>
      <c r="CE18" s="1445">
        <v>1901.77751068884</v>
      </c>
      <c r="CF18" s="1445">
        <v>2193.3705693524098</v>
      </c>
      <c r="CG18" s="1445">
        <v>2274.4841829056199</v>
      </c>
      <c r="CH18" s="1445">
        <v>2190.9329044184001</v>
      </c>
      <c r="CI18" s="1447">
        <v>2210.80206388852</v>
      </c>
    </row>
    <row r="19" spans="2:87" x14ac:dyDescent="0.2">
      <c r="B19" s="1434"/>
      <c r="C19" s="1435" t="s">
        <v>699</v>
      </c>
      <c r="D19" s="1448"/>
      <c r="E19" s="1449" t="s">
        <v>703</v>
      </c>
      <c r="F19" s="1449"/>
      <c r="G19" s="1435"/>
      <c r="H19" s="1435"/>
      <c r="I19" s="1450">
        <v>34439.937067140097</v>
      </c>
      <c r="J19" s="1450">
        <v>33125.771782632997</v>
      </c>
      <c r="K19" s="1450">
        <v>33355.6749515228</v>
      </c>
      <c r="L19" s="1450">
        <v>34328.806170134703</v>
      </c>
      <c r="M19" s="1450">
        <v>35544.430577404899</v>
      </c>
      <c r="N19" s="1450">
        <v>35921.564368425599</v>
      </c>
      <c r="O19" s="1450">
        <v>36342.065117109603</v>
      </c>
      <c r="P19" s="1450">
        <v>38203.860481289397</v>
      </c>
      <c r="Q19" s="1450">
        <v>40234.394735867601</v>
      </c>
      <c r="R19" s="1450">
        <v>42190.582637445201</v>
      </c>
      <c r="S19" s="1450">
        <v>43330.916211112002</v>
      </c>
      <c r="T19" s="1450">
        <v>43786.436409723399</v>
      </c>
      <c r="U19" s="1450">
        <v>45074.096504205299</v>
      </c>
      <c r="V19" s="1450">
        <v>45886.541018709897</v>
      </c>
      <c r="W19" s="1450">
        <v>46918.2471114074</v>
      </c>
      <c r="X19" s="1450">
        <v>50137.0214111147</v>
      </c>
      <c r="Y19" s="1450">
        <v>48938.537150607903</v>
      </c>
      <c r="Z19" s="1450">
        <v>47806.427124894602</v>
      </c>
      <c r="AA19" s="1450">
        <v>47006.911556855302</v>
      </c>
      <c r="AB19" s="1450">
        <v>48047.611418981098</v>
      </c>
      <c r="AC19" s="1451">
        <f t="shared" si="1"/>
        <v>49.542774442903898</v>
      </c>
      <c r="AD19" s="1451">
        <f t="shared" si="1"/>
        <v>49.365465827929896</v>
      </c>
      <c r="AE19" s="1451">
        <f t="shared" si="1"/>
        <v>47.169342149752197</v>
      </c>
      <c r="AF19" s="1451">
        <f t="shared" si="1"/>
        <v>49.298477246956601</v>
      </c>
      <c r="AG19" s="1451">
        <f t="shared" si="1"/>
        <v>47.3858988685827</v>
      </c>
      <c r="AH19" s="1451">
        <f t="shared" si="1"/>
        <v>48.290810812562697</v>
      </c>
      <c r="AI19" s="1392"/>
      <c r="AJ19" s="1393"/>
      <c r="AK19" s="1393"/>
      <c r="AL19" s="1393"/>
      <c r="AM19" s="1393"/>
      <c r="AN19" s="1393"/>
      <c r="AO19" s="1393"/>
      <c r="AP19" s="1393"/>
      <c r="AQ19" s="1393"/>
      <c r="AR19" s="1393"/>
      <c r="AS19" s="1393"/>
      <c r="AT19" s="1393"/>
      <c r="AU19" s="1393"/>
      <c r="AV19" s="1393"/>
      <c r="AW19" s="1393"/>
      <c r="AX19" s="1393"/>
      <c r="AY19" s="1393"/>
      <c r="AZ19" s="1393"/>
      <c r="BA19" s="1393"/>
      <c r="BB19" s="1393"/>
      <c r="BC19" s="1393"/>
      <c r="BD19" s="1393"/>
      <c r="BE19" s="1393"/>
      <c r="BF19" s="1393"/>
      <c r="BG19" s="1449"/>
      <c r="BH19" s="1435"/>
      <c r="BI19" s="1435"/>
      <c r="BJ19" s="1450">
        <v>34439.937067140097</v>
      </c>
      <c r="BK19" s="1450">
        <v>33125.771782632997</v>
      </c>
      <c r="BL19" s="1450">
        <v>33355.6749515228</v>
      </c>
      <c r="BM19" s="1450">
        <v>34328.806170134703</v>
      </c>
      <c r="BN19" s="1450">
        <v>35544.430577404899</v>
      </c>
      <c r="BO19" s="1450">
        <v>35921.564368425599</v>
      </c>
      <c r="BP19" s="1450">
        <v>36342.065117109603</v>
      </c>
      <c r="BQ19" s="1450">
        <v>38203.860481289397</v>
      </c>
      <c r="BR19" s="1450">
        <v>40234.394735867601</v>
      </c>
      <c r="BS19" s="1450">
        <v>42190.582637445201</v>
      </c>
      <c r="BT19" s="1450">
        <v>43330.916211112002</v>
      </c>
      <c r="BU19" s="1450">
        <v>43786.436409723399</v>
      </c>
      <c r="BV19" s="1450">
        <v>45074.096504205299</v>
      </c>
      <c r="BW19" s="1450">
        <v>45886.541018709897</v>
      </c>
      <c r="BX19" s="1450">
        <v>46918.2471114074</v>
      </c>
      <c r="BY19" s="1450">
        <v>50137.0214111147</v>
      </c>
      <c r="BZ19" s="1450">
        <v>48938.537150607903</v>
      </c>
      <c r="CA19" s="1450">
        <v>47806.427124894602</v>
      </c>
      <c r="CB19" s="1450">
        <v>47006.911556855302</v>
      </c>
      <c r="CC19" s="1450">
        <v>48047.611418981098</v>
      </c>
      <c r="CD19" s="1450">
        <v>49542.774442903901</v>
      </c>
      <c r="CE19" s="1450">
        <v>49365.465827929896</v>
      </c>
      <c r="CF19" s="1450">
        <v>47169.342149752199</v>
      </c>
      <c r="CG19" s="1450">
        <v>49298.477246956601</v>
      </c>
      <c r="CH19" s="1450">
        <v>47385.898868582699</v>
      </c>
      <c r="CI19" s="1452">
        <v>48290.810812562697</v>
      </c>
    </row>
    <row r="20" spans="2:87" x14ac:dyDescent="0.2">
      <c r="B20" s="1434" t="s">
        <v>701</v>
      </c>
      <c r="C20" s="1435" t="s">
        <v>39</v>
      </c>
      <c r="D20" s="1448"/>
      <c r="E20" s="1449"/>
      <c r="F20" s="1453" t="s">
        <v>704</v>
      </c>
      <c r="G20" s="1435"/>
      <c r="H20" s="1435"/>
      <c r="I20" s="1450">
        <v>19838.7392044259</v>
      </c>
      <c r="J20" s="1450">
        <v>19373.487882867899</v>
      </c>
      <c r="K20" s="1450">
        <v>19268.5068796331</v>
      </c>
      <c r="L20" s="1450">
        <v>19259.2379435353</v>
      </c>
      <c r="M20" s="1450">
        <v>19224.729402802499</v>
      </c>
      <c r="N20" s="1450">
        <v>19041.244319989099</v>
      </c>
      <c r="O20" s="1450">
        <v>18914.4554124311</v>
      </c>
      <c r="P20" s="1450">
        <v>18824.915018576099</v>
      </c>
      <c r="Q20" s="1450">
        <v>18139.2759926652</v>
      </c>
      <c r="R20" s="1450">
        <v>18605.3326152687</v>
      </c>
      <c r="S20" s="1450">
        <v>18519.687191122801</v>
      </c>
      <c r="T20" s="1450">
        <v>18468.604679663102</v>
      </c>
      <c r="U20" s="1450">
        <v>18734.520034458499</v>
      </c>
      <c r="V20" s="1450">
        <v>18467.929027537099</v>
      </c>
      <c r="W20" s="1450">
        <v>18271.192016620898</v>
      </c>
      <c r="X20" s="1450">
        <v>18012.199928592199</v>
      </c>
      <c r="Y20" s="1450">
        <v>17277.227610255799</v>
      </c>
      <c r="Z20" s="1450">
        <v>16357.456744139499</v>
      </c>
      <c r="AA20" s="1450">
        <v>15735.9390538506</v>
      </c>
      <c r="AB20" s="1450">
        <v>15997.0765449628</v>
      </c>
      <c r="AC20" s="1451">
        <f t="shared" si="1"/>
        <v>15.9567862220403</v>
      </c>
      <c r="AD20" s="1451">
        <f t="shared" si="1"/>
        <v>15.0764821097333</v>
      </c>
      <c r="AE20" s="1451">
        <f t="shared" si="1"/>
        <v>13.7653772990378</v>
      </c>
      <c r="AF20" s="1451">
        <f t="shared" si="1"/>
        <v>14.446437000484901</v>
      </c>
      <c r="AG20" s="1451">
        <f t="shared" si="1"/>
        <v>13.749957091277199</v>
      </c>
      <c r="AH20" s="1451">
        <f t="shared" si="1"/>
        <v>13.7964529935056</v>
      </c>
      <c r="AI20" s="1392"/>
      <c r="AJ20" s="1393"/>
      <c r="AK20" s="1393"/>
      <c r="AL20" s="1393"/>
      <c r="AM20" s="1393"/>
      <c r="AN20" s="1393"/>
      <c r="AO20" s="1393"/>
      <c r="AP20" s="1393"/>
      <c r="AQ20" s="1393"/>
      <c r="AR20" s="1393"/>
      <c r="AS20" s="1393"/>
      <c r="AT20" s="1393"/>
      <c r="AU20" s="1393"/>
      <c r="AV20" s="1393"/>
      <c r="AW20" s="1393"/>
      <c r="AX20" s="1393"/>
      <c r="AY20" s="1393"/>
      <c r="AZ20" s="1393"/>
      <c r="BA20" s="1393"/>
      <c r="BB20" s="1393"/>
      <c r="BC20" s="1393"/>
      <c r="BD20" s="1393"/>
      <c r="BE20" s="1393"/>
      <c r="BF20" s="1393"/>
      <c r="BG20" s="1453" t="s">
        <v>704</v>
      </c>
      <c r="BH20" s="1435"/>
      <c r="BI20" s="1435"/>
      <c r="BJ20" s="1450">
        <v>19838.7392044259</v>
      </c>
      <c r="BK20" s="1450">
        <v>19373.487882867899</v>
      </c>
      <c r="BL20" s="1450">
        <v>19268.5068796331</v>
      </c>
      <c r="BM20" s="1450">
        <v>19259.2379435353</v>
      </c>
      <c r="BN20" s="1450">
        <v>19224.729402802499</v>
      </c>
      <c r="BO20" s="1450">
        <v>19041.244319989099</v>
      </c>
      <c r="BP20" s="1450">
        <v>18914.4554124311</v>
      </c>
      <c r="BQ20" s="1450">
        <v>18824.915018576099</v>
      </c>
      <c r="BR20" s="1450">
        <v>18139.2759926652</v>
      </c>
      <c r="BS20" s="1450">
        <v>18605.3326152687</v>
      </c>
      <c r="BT20" s="1450">
        <v>18519.687191122801</v>
      </c>
      <c r="BU20" s="1450">
        <v>18468.604679663102</v>
      </c>
      <c r="BV20" s="1450">
        <v>18734.520034458499</v>
      </c>
      <c r="BW20" s="1450">
        <v>18467.929027537099</v>
      </c>
      <c r="BX20" s="1450">
        <v>18271.192016620898</v>
      </c>
      <c r="BY20" s="1450">
        <v>18012.199928592199</v>
      </c>
      <c r="BZ20" s="1450">
        <v>17277.227610255799</v>
      </c>
      <c r="CA20" s="1450">
        <v>16357.456744139499</v>
      </c>
      <c r="CB20" s="1450">
        <v>15735.9390538506</v>
      </c>
      <c r="CC20" s="1450">
        <v>15997.0765449628</v>
      </c>
      <c r="CD20" s="1450">
        <v>15956.7862220403</v>
      </c>
      <c r="CE20" s="1450">
        <v>15076.482109733301</v>
      </c>
      <c r="CF20" s="1450">
        <v>13765.3772990378</v>
      </c>
      <c r="CG20" s="1450">
        <v>14446.437000484901</v>
      </c>
      <c r="CH20" s="1450">
        <v>13749.9570912772</v>
      </c>
      <c r="CI20" s="1452">
        <v>13796.4529935056</v>
      </c>
    </row>
    <row r="21" spans="2:87" x14ac:dyDescent="0.2">
      <c r="B21" s="1434" t="s">
        <v>701</v>
      </c>
      <c r="C21" s="1435" t="s">
        <v>39</v>
      </c>
      <c r="D21" s="1448"/>
      <c r="E21" s="1449"/>
      <c r="F21" s="1453" t="s">
        <v>705</v>
      </c>
      <c r="G21" s="1435"/>
      <c r="H21" s="1435"/>
      <c r="I21" s="1450">
        <v>8733.7214037002195</v>
      </c>
      <c r="J21" s="1450">
        <v>8823.4066704717407</v>
      </c>
      <c r="K21" s="1450">
        <v>9184.3625774412303</v>
      </c>
      <c r="L21" s="1450">
        <v>9697.1083580486302</v>
      </c>
      <c r="M21" s="1450">
        <v>10309.931744113301</v>
      </c>
      <c r="N21" s="1450">
        <v>10623.594410358901</v>
      </c>
      <c r="O21" s="1450">
        <v>11066.9857949174</v>
      </c>
      <c r="P21" s="1450">
        <v>11945.502171828301</v>
      </c>
      <c r="Q21" s="1450">
        <v>12897.507025889599</v>
      </c>
      <c r="R21" s="1450">
        <v>13508.8658956258</v>
      </c>
      <c r="S21" s="1450">
        <v>13907.3157219361</v>
      </c>
      <c r="T21" s="1450">
        <v>14370.467038925401</v>
      </c>
      <c r="U21" s="1450">
        <v>15111.6939331993</v>
      </c>
      <c r="V21" s="1450">
        <v>15639.4354561577</v>
      </c>
      <c r="W21" s="1450">
        <v>16136.0712481254</v>
      </c>
      <c r="X21" s="1450">
        <v>17083.395927102702</v>
      </c>
      <c r="Y21" s="1450">
        <v>17096.7343979209</v>
      </c>
      <c r="Z21" s="1450">
        <v>16880.545506255301</v>
      </c>
      <c r="AA21" s="1450">
        <v>16663.344513693701</v>
      </c>
      <c r="AB21" s="1450">
        <v>17468.925443136301</v>
      </c>
      <c r="AC21" s="1451">
        <f t="shared" si="1"/>
        <v>18.134149635788599</v>
      </c>
      <c r="AD21" s="1451">
        <f t="shared" si="1"/>
        <v>17.820839788989201</v>
      </c>
      <c r="AE21" s="1451">
        <f t="shared" si="1"/>
        <v>16.7230846285184</v>
      </c>
      <c r="AF21" s="1451">
        <f t="shared" si="1"/>
        <v>17.824766466564299</v>
      </c>
      <c r="AG21" s="1451">
        <f t="shared" si="1"/>
        <v>17.548964620842099</v>
      </c>
      <c r="AH21" s="1451">
        <f t="shared" si="1"/>
        <v>17.9615175435206</v>
      </c>
      <c r="AI21" s="1392"/>
      <c r="AJ21" s="1393"/>
      <c r="AK21" s="1393"/>
      <c r="AL21" s="1393"/>
      <c r="AM21" s="1393"/>
      <c r="AN21" s="1393"/>
      <c r="AO21" s="1393"/>
      <c r="AP21" s="1393"/>
      <c r="AQ21" s="1393"/>
      <c r="AR21" s="1393"/>
      <c r="AS21" s="1393"/>
      <c r="AT21" s="1393"/>
      <c r="AU21" s="1393"/>
      <c r="AV21" s="1393"/>
      <c r="AW21" s="1393"/>
      <c r="AX21" s="1393"/>
      <c r="AY21" s="1393"/>
      <c r="AZ21" s="1393"/>
      <c r="BA21" s="1393"/>
      <c r="BB21" s="1393"/>
      <c r="BC21" s="1393"/>
      <c r="BD21" s="1393"/>
      <c r="BE21" s="1393"/>
      <c r="BF21" s="1393"/>
      <c r="BG21" s="1453" t="s">
        <v>705</v>
      </c>
      <c r="BH21" s="1435"/>
      <c r="BI21" s="1435"/>
      <c r="BJ21" s="1450">
        <v>8733.7214037002195</v>
      </c>
      <c r="BK21" s="1450">
        <v>8823.4066704717407</v>
      </c>
      <c r="BL21" s="1450">
        <v>9184.3625774412303</v>
      </c>
      <c r="BM21" s="1450">
        <v>9697.1083580486302</v>
      </c>
      <c r="BN21" s="1450">
        <v>10309.931744113301</v>
      </c>
      <c r="BO21" s="1450">
        <v>10623.594410358901</v>
      </c>
      <c r="BP21" s="1450">
        <v>11066.9857949174</v>
      </c>
      <c r="BQ21" s="1450">
        <v>11945.502171828301</v>
      </c>
      <c r="BR21" s="1450">
        <v>12897.507025889599</v>
      </c>
      <c r="BS21" s="1450">
        <v>13508.8658956258</v>
      </c>
      <c r="BT21" s="1450">
        <v>13907.3157219361</v>
      </c>
      <c r="BU21" s="1450">
        <v>14370.467038925401</v>
      </c>
      <c r="BV21" s="1450">
        <v>15111.6939331993</v>
      </c>
      <c r="BW21" s="1450">
        <v>15639.4354561577</v>
      </c>
      <c r="BX21" s="1450">
        <v>16136.0712481254</v>
      </c>
      <c r="BY21" s="1450">
        <v>17083.395927102702</v>
      </c>
      <c r="BZ21" s="1450">
        <v>17096.7343979209</v>
      </c>
      <c r="CA21" s="1450">
        <v>16880.545506255301</v>
      </c>
      <c r="CB21" s="1450">
        <v>16663.344513693701</v>
      </c>
      <c r="CC21" s="1450">
        <v>17468.925443136301</v>
      </c>
      <c r="CD21" s="1450">
        <v>18134.149635788599</v>
      </c>
      <c r="CE21" s="1450">
        <v>17820.8397889892</v>
      </c>
      <c r="CF21" s="1450">
        <v>16723.084628518402</v>
      </c>
      <c r="CG21" s="1450">
        <v>17824.766466564299</v>
      </c>
      <c r="CH21" s="1450">
        <v>17548.9646208421</v>
      </c>
      <c r="CI21" s="1452">
        <v>17961.5175435206</v>
      </c>
    </row>
    <row r="22" spans="2:87" x14ac:dyDescent="0.2">
      <c r="B22" s="1434" t="s">
        <v>701</v>
      </c>
      <c r="C22" s="1435" t="s">
        <v>39</v>
      </c>
      <c r="D22" s="1448"/>
      <c r="E22" s="1449"/>
      <c r="F22" s="1453" t="s">
        <v>706</v>
      </c>
      <c r="G22" s="1435"/>
      <c r="H22" s="1435"/>
      <c r="I22" s="1450">
        <v>1789.42828126058</v>
      </c>
      <c r="J22" s="1450">
        <v>1604.0202153154401</v>
      </c>
      <c r="K22" s="1450">
        <v>1599.4183214191501</v>
      </c>
      <c r="L22" s="1450">
        <v>1732.43321578362</v>
      </c>
      <c r="M22" s="1450">
        <v>1909.4950329113001</v>
      </c>
      <c r="N22" s="1450">
        <v>1844.52503064951</v>
      </c>
      <c r="O22" s="1450">
        <v>1894.84625056089</v>
      </c>
      <c r="P22" s="1450">
        <v>2187.5523374608902</v>
      </c>
      <c r="Q22" s="1450">
        <v>2639.6207481380202</v>
      </c>
      <c r="R22" s="1450">
        <v>2859.0309776304898</v>
      </c>
      <c r="S22" s="1450">
        <v>2936.2701389628701</v>
      </c>
      <c r="T22" s="1450">
        <v>3027.12361552634</v>
      </c>
      <c r="U22" s="1450">
        <v>3161.7478818813202</v>
      </c>
      <c r="V22" s="1450">
        <v>3280.1342561991701</v>
      </c>
      <c r="W22" s="1450">
        <v>3460.19710096983</v>
      </c>
      <c r="X22" s="1450">
        <v>3406.5359490953301</v>
      </c>
      <c r="Y22" s="1450">
        <v>3447.3188068334098</v>
      </c>
      <c r="Z22" s="1450">
        <v>3443.8413355108401</v>
      </c>
      <c r="AA22" s="1450">
        <v>3458.1074779035798</v>
      </c>
      <c r="AB22" s="1450">
        <v>3618.8947174324799</v>
      </c>
      <c r="AC22" s="1451">
        <f t="shared" ref="AC22:AH64" si="2">CD22/1000</f>
        <v>3.7890768776189603</v>
      </c>
      <c r="AD22" s="1451">
        <f t="shared" si="2"/>
        <v>3.6903899990796498</v>
      </c>
      <c r="AE22" s="1451">
        <f t="shared" si="2"/>
        <v>3.5644833356566301</v>
      </c>
      <c r="AF22" s="1451">
        <f t="shared" si="2"/>
        <v>3.8141177982129104</v>
      </c>
      <c r="AG22" s="1451">
        <f t="shared" si="2"/>
        <v>3.7943233098893203</v>
      </c>
      <c r="AH22" s="1451">
        <f t="shared" si="2"/>
        <v>3.9046866676318901</v>
      </c>
      <c r="AI22" s="1392"/>
      <c r="AJ22" s="1393"/>
      <c r="AK22" s="1393"/>
      <c r="AL22" s="1393"/>
      <c r="AM22" s="1393"/>
      <c r="AN22" s="1393"/>
      <c r="AO22" s="1393"/>
      <c r="AP22" s="1393"/>
      <c r="AQ22" s="1393"/>
      <c r="AR22" s="1393"/>
      <c r="AS22" s="1393"/>
      <c r="AT22" s="1393"/>
      <c r="AU22" s="1393"/>
      <c r="AV22" s="1393"/>
      <c r="AW22" s="1393"/>
      <c r="AX22" s="1393"/>
      <c r="AY22" s="1393"/>
      <c r="AZ22" s="1393"/>
      <c r="BA22" s="1393"/>
      <c r="BB22" s="1393"/>
      <c r="BC22" s="1393"/>
      <c r="BD22" s="1393"/>
      <c r="BE22" s="1393"/>
      <c r="BF22" s="1393"/>
      <c r="BG22" s="1453" t="s">
        <v>706</v>
      </c>
      <c r="BH22" s="1435"/>
      <c r="BI22" s="1435"/>
      <c r="BJ22" s="1450">
        <v>1789.42828126058</v>
      </c>
      <c r="BK22" s="1450">
        <v>1604.0202153154401</v>
      </c>
      <c r="BL22" s="1450">
        <v>1599.4183214191501</v>
      </c>
      <c r="BM22" s="1450">
        <v>1732.43321578362</v>
      </c>
      <c r="BN22" s="1450">
        <v>1909.4950329113001</v>
      </c>
      <c r="BO22" s="1450">
        <v>1844.52503064951</v>
      </c>
      <c r="BP22" s="1450">
        <v>1894.84625056089</v>
      </c>
      <c r="BQ22" s="1450">
        <v>2187.5523374608902</v>
      </c>
      <c r="BR22" s="1450">
        <v>2639.6207481380202</v>
      </c>
      <c r="BS22" s="1450">
        <v>2859.0309776304898</v>
      </c>
      <c r="BT22" s="1450">
        <v>2936.2701389628701</v>
      </c>
      <c r="BU22" s="1450">
        <v>3027.12361552634</v>
      </c>
      <c r="BV22" s="1450">
        <v>3161.7478818813202</v>
      </c>
      <c r="BW22" s="1450">
        <v>3280.1342561991701</v>
      </c>
      <c r="BX22" s="1450">
        <v>3460.19710096983</v>
      </c>
      <c r="BY22" s="1450">
        <v>3406.5359490953301</v>
      </c>
      <c r="BZ22" s="1450">
        <v>3447.3188068334098</v>
      </c>
      <c r="CA22" s="1450">
        <v>3443.8413355108401</v>
      </c>
      <c r="CB22" s="1450">
        <v>3458.1074779035798</v>
      </c>
      <c r="CC22" s="1450">
        <v>3618.8947174324799</v>
      </c>
      <c r="CD22" s="1450">
        <v>3789.0768776189602</v>
      </c>
      <c r="CE22" s="1450">
        <v>3690.3899990796499</v>
      </c>
      <c r="CF22" s="1450">
        <v>3564.4833356566301</v>
      </c>
      <c r="CG22" s="1450">
        <v>3814.1177982129102</v>
      </c>
      <c r="CH22" s="1450">
        <v>3794.3233098893202</v>
      </c>
      <c r="CI22" s="1452">
        <v>3904.68666763189</v>
      </c>
    </row>
    <row r="23" spans="2:87" x14ac:dyDescent="0.2">
      <c r="B23" s="1434" t="s">
        <v>701</v>
      </c>
      <c r="C23" s="1435" t="s">
        <v>39</v>
      </c>
      <c r="D23" s="1448"/>
      <c r="E23" s="1449"/>
      <c r="F23" s="1453" t="s">
        <v>707</v>
      </c>
      <c r="G23" s="1435"/>
      <c r="H23" s="1435"/>
      <c r="I23" s="1450">
        <v>32.9453783845915</v>
      </c>
      <c r="J23" s="1450">
        <v>30.415717653098799</v>
      </c>
      <c r="K23" s="1450">
        <v>28.834789800606199</v>
      </c>
      <c r="L23" s="1450">
        <v>28.014650449946998</v>
      </c>
      <c r="M23" s="1450">
        <v>26.582946046155001</v>
      </c>
      <c r="N23" s="1450">
        <v>25.795791109524899</v>
      </c>
      <c r="O23" s="1450">
        <v>24.8873517052624</v>
      </c>
      <c r="P23" s="1450">
        <v>27.520678797336199</v>
      </c>
      <c r="Q23" s="1450">
        <v>36.9826752650335</v>
      </c>
      <c r="R23" s="1450">
        <v>36.470920124506399</v>
      </c>
      <c r="S23" s="1450">
        <v>41.254077753871599</v>
      </c>
      <c r="T23" s="1450">
        <v>46.5319325964821</v>
      </c>
      <c r="U23" s="1450">
        <v>50.619967483819998</v>
      </c>
      <c r="V23" s="1450">
        <v>55.124172847193002</v>
      </c>
      <c r="W23" s="1450">
        <v>58.9786746744659</v>
      </c>
      <c r="X23" s="1450">
        <v>66.390897109334105</v>
      </c>
      <c r="Y23" s="1450">
        <v>70.963340351445297</v>
      </c>
      <c r="Z23" s="1450">
        <v>73.305912838746394</v>
      </c>
      <c r="AA23" s="1450">
        <v>77.233118163302294</v>
      </c>
      <c r="AB23" s="1450">
        <v>85.660984908196795</v>
      </c>
      <c r="AC23" s="1451">
        <f t="shared" si="2"/>
        <v>9.1343418672209103E-2</v>
      </c>
      <c r="AD23" s="1451">
        <f t="shared" si="2"/>
        <v>9.1404158245659409E-2</v>
      </c>
      <c r="AE23" s="1451">
        <f t="shared" si="2"/>
        <v>8.9889252323386792E-2</v>
      </c>
      <c r="AF23" s="1451">
        <f t="shared" si="2"/>
        <v>9.31835432019123E-2</v>
      </c>
      <c r="AG23" s="1451">
        <f t="shared" si="2"/>
        <v>9.4287650419380101E-2</v>
      </c>
      <c r="AH23" s="1451">
        <f t="shared" si="2"/>
        <v>9.97697405114331E-2</v>
      </c>
      <c r="AI23" s="1392"/>
      <c r="AJ23" s="1393"/>
      <c r="AK23" s="1393"/>
      <c r="AL23" s="1393"/>
      <c r="AM23" s="1393"/>
      <c r="AN23" s="1393"/>
      <c r="AO23" s="1393"/>
      <c r="AP23" s="1393"/>
      <c r="AQ23" s="1393"/>
      <c r="AR23" s="1393"/>
      <c r="AS23" s="1393"/>
      <c r="AT23" s="1393"/>
      <c r="AU23" s="1393"/>
      <c r="AV23" s="1393"/>
      <c r="AW23" s="1393"/>
      <c r="AX23" s="1393"/>
      <c r="AY23" s="1393"/>
      <c r="AZ23" s="1393"/>
      <c r="BA23" s="1393"/>
      <c r="BB23" s="1393"/>
      <c r="BC23" s="1393"/>
      <c r="BD23" s="1393"/>
      <c r="BE23" s="1393"/>
      <c r="BF23" s="1393"/>
      <c r="BG23" s="1453" t="s">
        <v>707</v>
      </c>
      <c r="BH23" s="1435"/>
      <c r="BI23" s="1435"/>
      <c r="BJ23" s="1450">
        <v>32.9453783845915</v>
      </c>
      <c r="BK23" s="1450">
        <v>30.415717653098799</v>
      </c>
      <c r="BL23" s="1450">
        <v>28.834789800606199</v>
      </c>
      <c r="BM23" s="1450">
        <v>28.014650449946998</v>
      </c>
      <c r="BN23" s="1450">
        <v>26.582946046155001</v>
      </c>
      <c r="BO23" s="1450">
        <v>25.795791109524899</v>
      </c>
      <c r="BP23" s="1450">
        <v>24.8873517052624</v>
      </c>
      <c r="BQ23" s="1450">
        <v>27.520678797336199</v>
      </c>
      <c r="BR23" s="1450">
        <v>36.9826752650335</v>
      </c>
      <c r="BS23" s="1450">
        <v>36.470920124506399</v>
      </c>
      <c r="BT23" s="1450">
        <v>41.254077753871599</v>
      </c>
      <c r="BU23" s="1450">
        <v>46.5319325964821</v>
      </c>
      <c r="BV23" s="1450">
        <v>50.619967483819998</v>
      </c>
      <c r="BW23" s="1450">
        <v>55.124172847193002</v>
      </c>
      <c r="BX23" s="1450">
        <v>58.9786746744659</v>
      </c>
      <c r="BY23" s="1450">
        <v>66.390897109334105</v>
      </c>
      <c r="BZ23" s="1450">
        <v>70.963340351445297</v>
      </c>
      <c r="CA23" s="1450">
        <v>73.305912838746394</v>
      </c>
      <c r="CB23" s="1450">
        <v>77.233118163302294</v>
      </c>
      <c r="CC23" s="1450">
        <v>85.660984908196795</v>
      </c>
      <c r="CD23" s="1450">
        <v>91.343418672209097</v>
      </c>
      <c r="CE23" s="1450">
        <v>91.404158245659403</v>
      </c>
      <c r="CF23" s="1450">
        <v>89.889252323386799</v>
      </c>
      <c r="CG23" s="1450">
        <v>93.1835432019123</v>
      </c>
      <c r="CH23" s="1450">
        <v>94.2876504193801</v>
      </c>
      <c r="CI23" s="1452">
        <v>99.769740511433099</v>
      </c>
    </row>
    <row r="24" spans="2:87" x14ac:dyDescent="0.2">
      <c r="B24" s="1434" t="s">
        <v>701</v>
      </c>
      <c r="C24" s="1435" t="s">
        <v>39</v>
      </c>
      <c r="D24" s="1448"/>
      <c r="E24" s="1449"/>
      <c r="F24" s="1453" t="s">
        <v>708</v>
      </c>
      <c r="G24" s="1435"/>
      <c r="H24" s="1435"/>
      <c r="I24" s="1450">
        <v>123.19541569272199</v>
      </c>
      <c r="J24" s="1450">
        <v>107.39277650442099</v>
      </c>
      <c r="K24" s="1450">
        <v>105.104130184916</v>
      </c>
      <c r="L24" s="1450">
        <v>106.509840795445</v>
      </c>
      <c r="M24" s="1450">
        <v>106.68610232630699</v>
      </c>
      <c r="N24" s="1450">
        <v>110.75110739035701</v>
      </c>
      <c r="O24" s="1450">
        <v>112.44558526333</v>
      </c>
      <c r="P24" s="1450">
        <v>127.214886272729</v>
      </c>
      <c r="Q24" s="1450">
        <v>145.57516111046201</v>
      </c>
      <c r="R24" s="1450">
        <v>175.64277511127301</v>
      </c>
      <c r="S24" s="1450">
        <v>212.67472135030499</v>
      </c>
      <c r="T24" s="1450">
        <v>219.81854428727999</v>
      </c>
      <c r="U24" s="1450">
        <v>228.65021574119399</v>
      </c>
      <c r="V24" s="1450">
        <v>242.058552788703</v>
      </c>
      <c r="W24" s="1450">
        <v>263.41929632803198</v>
      </c>
      <c r="X24" s="1450">
        <v>207.24771958700299</v>
      </c>
      <c r="Y24" s="1450">
        <v>213.55557459839201</v>
      </c>
      <c r="Z24" s="1450">
        <v>215.374297923321</v>
      </c>
      <c r="AA24" s="1450">
        <v>193.96367782010699</v>
      </c>
      <c r="AB24" s="1450">
        <v>186.59635170136499</v>
      </c>
      <c r="AC24" s="1451">
        <f t="shared" si="2"/>
        <v>0.21724137142978101</v>
      </c>
      <c r="AD24" s="1451">
        <f t="shared" si="2"/>
        <v>0.26226571715591201</v>
      </c>
      <c r="AE24" s="1451">
        <f t="shared" si="2"/>
        <v>0.28456277466038998</v>
      </c>
      <c r="AF24" s="1451">
        <f t="shared" si="2"/>
        <v>0.31214907182574197</v>
      </c>
      <c r="AG24" s="1451">
        <f t="shared" si="2"/>
        <v>0.29799547707479296</v>
      </c>
      <c r="AH24" s="1451">
        <f t="shared" si="2"/>
        <v>0.31272857064852899</v>
      </c>
      <c r="AI24" s="1392"/>
      <c r="AJ24" s="1393"/>
      <c r="AK24" s="1393"/>
      <c r="AL24" s="1393"/>
      <c r="AM24" s="1393"/>
      <c r="AN24" s="1393"/>
      <c r="AO24" s="1393"/>
      <c r="AP24" s="1393"/>
      <c r="AQ24" s="1393"/>
      <c r="AR24" s="1393"/>
      <c r="AS24" s="1393"/>
      <c r="AT24" s="1393"/>
      <c r="AU24" s="1393"/>
      <c r="AV24" s="1393"/>
      <c r="AW24" s="1393"/>
      <c r="AX24" s="1393"/>
      <c r="AY24" s="1393"/>
      <c r="AZ24" s="1393"/>
      <c r="BA24" s="1393"/>
      <c r="BB24" s="1393"/>
      <c r="BC24" s="1393"/>
      <c r="BD24" s="1393"/>
      <c r="BE24" s="1393"/>
      <c r="BF24" s="1393"/>
      <c r="BG24" s="1453" t="s">
        <v>708</v>
      </c>
      <c r="BH24" s="1435"/>
      <c r="BI24" s="1435"/>
      <c r="BJ24" s="1450">
        <v>123.19541569272199</v>
      </c>
      <c r="BK24" s="1450">
        <v>107.39277650442099</v>
      </c>
      <c r="BL24" s="1450">
        <v>105.104130184916</v>
      </c>
      <c r="BM24" s="1450">
        <v>106.509840795445</v>
      </c>
      <c r="BN24" s="1450">
        <v>106.68610232630699</v>
      </c>
      <c r="BO24" s="1450">
        <v>110.75110739035701</v>
      </c>
      <c r="BP24" s="1450">
        <v>112.44558526333</v>
      </c>
      <c r="BQ24" s="1450">
        <v>127.214886272729</v>
      </c>
      <c r="BR24" s="1450">
        <v>145.57516111046201</v>
      </c>
      <c r="BS24" s="1450">
        <v>175.64277511127301</v>
      </c>
      <c r="BT24" s="1450">
        <v>212.67472135030499</v>
      </c>
      <c r="BU24" s="1450">
        <v>219.81854428727999</v>
      </c>
      <c r="BV24" s="1450">
        <v>228.65021574119399</v>
      </c>
      <c r="BW24" s="1450">
        <v>242.058552788703</v>
      </c>
      <c r="BX24" s="1450">
        <v>263.41929632803198</v>
      </c>
      <c r="BY24" s="1450">
        <v>207.24771958700299</v>
      </c>
      <c r="BZ24" s="1450">
        <v>213.55557459839201</v>
      </c>
      <c r="CA24" s="1450">
        <v>215.374297923321</v>
      </c>
      <c r="CB24" s="1450">
        <v>193.96367782010699</v>
      </c>
      <c r="CC24" s="1450">
        <v>186.59635170136499</v>
      </c>
      <c r="CD24" s="1450">
        <v>217.241371429781</v>
      </c>
      <c r="CE24" s="1450">
        <v>262.265717155912</v>
      </c>
      <c r="CF24" s="1450">
        <v>284.56277466039001</v>
      </c>
      <c r="CG24" s="1450">
        <v>312.149071825742</v>
      </c>
      <c r="CH24" s="1450">
        <v>297.99547707479297</v>
      </c>
      <c r="CI24" s="1452">
        <v>312.728570648529</v>
      </c>
    </row>
    <row r="25" spans="2:87" x14ac:dyDescent="0.2">
      <c r="B25" s="1434" t="s">
        <v>701</v>
      </c>
      <c r="C25" s="1435" t="s">
        <v>39</v>
      </c>
      <c r="D25" s="1448"/>
      <c r="E25" s="1449"/>
      <c r="F25" s="1453" t="s">
        <v>709</v>
      </c>
      <c r="G25" s="1435"/>
      <c r="H25" s="1435"/>
      <c r="I25" s="1450">
        <v>33.171770406495497</v>
      </c>
      <c r="J25" s="1450">
        <v>29.462753622485302</v>
      </c>
      <c r="K25" s="1450">
        <v>31.871985804778401</v>
      </c>
      <c r="L25" s="1450">
        <v>37.569607322330803</v>
      </c>
      <c r="M25" s="1450">
        <v>44.752711830484898</v>
      </c>
      <c r="N25" s="1450">
        <v>52.064286869787999</v>
      </c>
      <c r="O25" s="1450">
        <v>56.584624866891502</v>
      </c>
      <c r="P25" s="1450">
        <v>66.354193926029495</v>
      </c>
      <c r="Q25" s="1450">
        <v>76.212808463866693</v>
      </c>
      <c r="R25" s="1450">
        <v>82.386091785829393</v>
      </c>
      <c r="S25" s="1450">
        <v>90.629521470488697</v>
      </c>
      <c r="T25" s="1450">
        <v>93.156745240389199</v>
      </c>
      <c r="U25" s="1450">
        <v>97.041419031738798</v>
      </c>
      <c r="V25" s="1450">
        <v>105.112532707933</v>
      </c>
      <c r="W25" s="1450">
        <v>112.918501602387</v>
      </c>
      <c r="X25" s="1450">
        <v>68.557309590302197</v>
      </c>
      <c r="Y25" s="1450">
        <v>63.113701220098498</v>
      </c>
      <c r="Z25" s="1450">
        <v>66.215377506649105</v>
      </c>
      <c r="AA25" s="1450">
        <v>78.794921021096997</v>
      </c>
      <c r="AB25" s="1450">
        <v>90.180894824169002</v>
      </c>
      <c r="AC25" s="1451">
        <f t="shared" si="2"/>
        <v>0.11029369335208</v>
      </c>
      <c r="AD25" s="1451">
        <f t="shared" si="2"/>
        <v>0.13738386990386101</v>
      </c>
      <c r="AE25" s="1451">
        <f t="shared" si="2"/>
        <v>0.15051832751585598</v>
      </c>
      <c r="AF25" s="1451">
        <f t="shared" si="2"/>
        <v>0.18391459671399399</v>
      </c>
      <c r="AG25" s="1451">
        <f t="shared" si="2"/>
        <v>0.19322062649766999</v>
      </c>
      <c r="AH25" s="1451">
        <f t="shared" si="2"/>
        <v>0.21961487876556399</v>
      </c>
      <c r="AI25" s="1392"/>
      <c r="AJ25" s="1393"/>
      <c r="AK25" s="1393"/>
      <c r="AL25" s="1393"/>
      <c r="AM25" s="1393"/>
      <c r="AN25" s="1393"/>
      <c r="AO25" s="1393"/>
      <c r="AP25" s="1393"/>
      <c r="AQ25" s="1393"/>
      <c r="AR25" s="1393"/>
      <c r="AS25" s="1393"/>
      <c r="AT25" s="1393"/>
      <c r="AU25" s="1393"/>
      <c r="AV25" s="1393"/>
      <c r="AW25" s="1393"/>
      <c r="AX25" s="1393"/>
      <c r="AY25" s="1393"/>
      <c r="AZ25" s="1393"/>
      <c r="BA25" s="1393"/>
      <c r="BB25" s="1393"/>
      <c r="BC25" s="1393"/>
      <c r="BD25" s="1393"/>
      <c r="BE25" s="1393"/>
      <c r="BF25" s="1393"/>
      <c r="BG25" s="1453" t="s">
        <v>709</v>
      </c>
      <c r="BH25" s="1435"/>
      <c r="BI25" s="1435"/>
      <c r="BJ25" s="1450">
        <v>33.171770406495497</v>
      </c>
      <c r="BK25" s="1450">
        <v>29.462753622485302</v>
      </c>
      <c r="BL25" s="1450">
        <v>31.871985804778401</v>
      </c>
      <c r="BM25" s="1450">
        <v>37.569607322330803</v>
      </c>
      <c r="BN25" s="1450">
        <v>44.752711830484898</v>
      </c>
      <c r="BO25" s="1450">
        <v>52.064286869787999</v>
      </c>
      <c r="BP25" s="1450">
        <v>56.584624866891502</v>
      </c>
      <c r="BQ25" s="1450">
        <v>66.354193926029495</v>
      </c>
      <c r="BR25" s="1450">
        <v>76.212808463866693</v>
      </c>
      <c r="BS25" s="1450">
        <v>82.386091785829393</v>
      </c>
      <c r="BT25" s="1450">
        <v>90.629521470488697</v>
      </c>
      <c r="BU25" s="1450">
        <v>93.156745240389199</v>
      </c>
      <c r="BV25" s="1450">
        <v>97.041419031738798</v>
      </c>
      <c r="BW25" s="1450">
        <v>105.112532707933</v>
      </c>
      <c r="BX25" s="1450">
        <v>112.918501602387</v>
      </c>
      <c r="BY25" s="1450">
        <v>68.557309590302197</v>
      </c>
      <c r="BZ25" s="1450">
        <v>63.113701220098498</v>
      </c>
      <c r="CA25" s="1450">
        <v>66.215377506649105</v>
      </c>
      <c r="CB25" s="1450">
        <v>78.794921021096997</v>
      </c>
      <c r="CC25" s="1450">
        <v>90.180894824169002</v>
      </c>
      <c r="CD25" s="1450">
        <v>110.29369335208</v>
      </c>
      <c r="CE25" s="1450">
        <v>137.38386990386101</v>
      </c>
      <c r="CF25" s="1450">
        <v>150.51832751585599</v>
      </c>
      <c r="CG25" s="1450">
        <v>183.914596713994</v>
      </c>
      <c r="CH25" s="1450">
        <v>193.22062649767</v>
      </c>
      <c r="CI25" s="1452">
        <v>219.61487876556399</v>
      </c>
    </row>
    <row r="26" spans="2:87" x14ac:dyDescent="0.2">
      <c r="B26" s="1434" t="s">
        <v>701</v>
      </c>
      <c r="C26" s="1435" t="s">
        <v>39</v>
      </c>
      <c r="D26" s="1448"/>
      <c r="E26" s="1449"/>
      <c r="F26" s="1453" t="s">
        <v>710</v>
      </c>
      <c r="G26" s="1435"/>
      <c r="H26" s="1435"/>
      <c r="I26" s="1450">
        <v>3849.6992653961602</v>
      </c>
      <c r="J26" s="1450">
        <v>3117.7642594096101</v>
      </c>
      <c r="K26" s="1450">
        <v>3073.5495252892702</v>
      </c>
      <c r="L26" s="1450">
        <v>3411.1457426402699</v>
      </c>
      <c r="M26" s="1450">
        <v>3889.5297100070902</v>
      </c>
      <c r="N26" s="1450">
        <v>4180.5351146400199</v>
      </c>
      <c r="O26" s="1450">
        <v>4225.6215866783004</v>
      </c>
      <c r="P26" s="1450">
        <v>4981.2547705829202</v>
      </c>
      <c r="Q26" s="1450">
        <v>6256.7056031145603</v>
      </c>
      <c r="R26" s="1450">
        <v>6872.1795438877398</v>
      </c>
      <c r="S26" s="1450">
        <v>7591.3848867960996</v>
      </c>
      <c r="T26" s="1450">
        <v>7517.7749655853904</v>
      </c>
      <c r="U26" s="1450">
        <v>7663.3825098769303</v>
      </c>
      <c r="V26" s="1450">
        <v>8066.9140369175802</v>
      </c>
      <c r="W26" s="1450">
        <v>8580.4033053551502</v>
      </c>
      <c r="X26" s="1450">
        <v>11258.4853341827</v>
      </c>
      <c r="Y26" s="1450">
        <v>10742.5442661137</v>
      </c>
      <c r="Z26" s="1450">
        <v>10757.312002099199</v>
      </c>
      <c r="AA26" s="1450">
        <v>10794.380680206499</v>
      </c>
      <c r="AB26" s="1450">
        <v>10597.5661352731</v>
      </c>
      <c r="AC26" s="1451">
        <f t="shared" si="2"/>
        <v>11.2423793325384</v>
      </c>
      <c r="AD26" s="1451">
        <f t="shared" si="2"/>
        <v>12.2837963820525</v>
      </c>
      <c r="AE26" s="1451">
        <f t="shared" si="2"/>
        <v>12.588358150995701</v>
      </c>
      <c r="AF26" s="1451">
        <f t="shared" si="2"/>
        <v>12.622833118655</v>
      </c>
      <c r="AG26" s="1451">
        <f t="shared" si="2"/>
        <v>11.7058885106755</v>
      </c>
      <c r="AH26" s="1451">
        <f t="shared" si="2"/>
        <v>11.995192060712199</v>
      </c>
      <c r="AI26" s="1392"/>
      <c r="AJ26" s="1393"/>
      <c r="AK26" s="1393"/>
      <c r="AL26" s="1393"/>
      <c r="AM26" s="1393"/>
      <c r="AN26" s="1393"/>
      <c r="AO26" s="1393"/>
      <c r="AP26" s="1393"/>
      <c r="AQ26" s="1393"/>
      <c r="AR26" s="1393"/>
      <c r="AS26" s="1393"/>
      <c r="AT26" s="1393"/>
      <c r="AU26" s="1393"/>
      <c r="AV26" s="1393"/>
      <c r="AW26" s="1393"/>
      <c r="AX26" s="1393"/>
      <c r="AY26" s="1393"/>
      <c r="AZ26" s="1393"/>
      <c r="BA26" s="1393"/>
      <c r="BB26" s="1393"/>
      <c r="BC26" s="1393"/>
      <c r="BD26" s="1393"/>
      <c r="BE26" s="1393"/>
      <c r="BF26" s="1393"/>
      <c r="BG26" s="1453" t="s">
        <v>710</v>
      </c>
      <c r="BH26" s="1435"/>
      <c r="BI26" s="1435"/>
      <c r="BJ26" s="1450">
        <v>3849.6992653961602</v>
      </c>
      <c r="BK26" s="1450">
        <v>3117.7642594096101</v>
      </c>
      <c r="BL26" s="1450">
        <v>3073.5495252892702</v>
      </c>
      <c r="BM26" s="1450">
        <v>3411.1457426402699</v>
      </c>
      <c r="BN26" s="1450">
        <v>3889.5297100070902</v>
      </c>
      <c r="BO26" s="1450">
        <v>4180.5351146400199</v>
      </c>
      <c r="BP26" s="1450">
        <v>4225.6215866783004</v>
      </c>
      <c r="BQ26" s="1450">
        <v>4981.2547705829202</v>
      </c>
      <c r="BR26" s="1450">
        <v>6256.7056031145603</v>
      </c>
      <c r="BS26" s="1450">
        <v>6872.1795438877398</v>
      </c>
      <c r="BT26" s="1450">
        <v>7591.3848867960996</v>
      </c>
      <c r="BU26" s="1450">
        <v>7517.7749655853904</v>
      </c>
      <c r="BV26" s="1450">
        <v>7663.3825098769303</v>
      </c>
      <c r="BW26" s="1450">
        <v>8066.9140369175802</v>
      </c>
      <c r="BX26" s="1450">
        <v>8580.4033053551502</v>
      </c>
      <c r="BY26" s="1450">
        <v>11258.4853341827</v>
      </c>
      <c r="BZ26" s="1450">
        <v>10742.5442661137</v>
      </c>
      <c r="CA26" s="1450">
        <v>10757.312002099199</v>
      </c>
      <c r="CB26" s="1450">
        <v>10794.380680206499</v>
      </c>
      <c r="CC26" s="1450">
        <v>10597.5661352731</v>
      </c>
      <c r="CD26" s="1450">
        <v>11242.379332538399</v>
      </c>
      <c r="CE26" s="1450">
        <v>12283.7963820525</v>
      </c>
      <c r="CF26" s="1450">
        <v>12588.3581509957</v>
      </c>
      <c r="CG26" s="1450">
        <v>12622.833118655</v>
      </c>
      <c r="CH26" s="1450">
        <v>11705.888510675501</v>
      </c>
      <c r="CI26" s="1452">
        <v>11995.192060712199</v>
      </c>
    </row>
    <row r="27" spans="2:87" x14ac:dyDescent="0.2">
      <c r="B27" s="1434" t="s">
        <v>701</v>
      </c>
      <c r="C27" s="1435" t="s">
        <v>39</v>
      </c>
      <c r="D27" s="1448"/>
      <c r="E27" s="1449"/>
      <c r="F27" s="1453" t="s">
        <v>711</v>
      </c>
      <c r="G27" s="1435"/>
      <c r="H27" s="1435"/>
      <c r="I27" s="1450">
        <v>39.0363478733398</v>
      </c>
      <c r="J27" s="1450">
        <v>39.821506788332201</v>
      </c>
      <c r="K27" s="1450">
        <v>64.026741949763604</v>
      </c>
      <c r="L27" s="1450">
        <v>56.786811559180499</v>
      </c>
      <c r="M27" s="1450">
        <v>32.722927367664099</v>
      </c>
      <c r="N27" s="1450">
        <v>43.054307418433098</v>
      </c>
      <c r="O27" s="1450">
        <v>46.238510686423197</v>
      </c>
      <c r="P27" s="1450">
        <v>43.546423845077598</v>
      </c>
      <c r="Q27" s="1450">
        <v>42.5147212208688</v>
      </c>
      <c r="R27" s="1450">
        <v>50.673818010886002</v>
      </c>
      <c r="S27" s="1450">
        <v>31.699951719415999</v>
      </c>
      <c r="T27" s="1450">
        <v>42.958887899056698</v>
      </c>
      <c r="U27" s="1450">
        <v>26.440542532524098</v>
      </c>
      <c r="V27" s="1450">
        <v>29.832983554478002</v>
      </c>
      <c r="W27" s="1450">
        <v>35.066967731190203</v>
      </c>
      <c r="X27" s="1450">
        <v>34.208345855042097</v>
      </c>
      <c r="Y27" s="1450">
        <v>27.0794533141237</v>
      </c>
      <c r="Z27" s="1450">
        <v>12.3759486210412</v>
      </c>
      <c r="AA27" s="1450">
        <v>5.1481141963799102</v>
      </c>
      <c r="AB27" s="1450">
        <v>2.7103467427080501</v>
      </c>
      <c r="AC27" s="1451">
        <f t="shared" si="2"/>
        <v>1.5038914636825299E-3</v>
      </c>
      <c r="AD27" s="1451">
        <f t="shared" si="2"/>
        <v>2.9038027698545699E-3</v>
      </c>
      <c r="AE27" s="1451">
        <f t="shared" si="2"/>
        <v>3.06838104400035E-3</v>
      </c>
      <c r="AF27" s="1451">
        <f t="shared" si="2"/>
        <v>1.0756512978776899E-3</v>
      </c>
      <c r="AG27" s="1451">
        <f t="shared" si="2"/>
        <v>1.2615819066848699E-3</v>
      </c>
      <c r="AH27" s="1451">
        <f t="shared" si="2"/>
        <v>8.4835726689929899E-4</v>
      </c>
      <c r="AI27" s="1392"/>
      <c r="AJ27" s="1393"/>
      <c r="AK27" s="1393"/>
      <c r="AL27" s="1393"/>
      <c r="AM27" s="1393"/>
      <c r="AN27" s="1393"/>
      <c r="AO27" s="1393"/>
      <c r="AP27" s="1393"/>
      <c r="AQ27" s="1393"/>
      <c r="AR27" s="1393"/>
      <c r="AS27" s="1393"/>
      <c r="AT27" s="1393"/>
      <c r="AU27" s="1393"/>
      <c r="AV27" s="1393"/>
      <c r="AW27" s="1393"/>
      <c r="AX27" s="1393"/>
      <c r="AY27" s="1393"/>
      <c r="AZ27" s="1393"/>
      <c r="BA27" s="1393"/>
      <c r="BB27" s="1393"/>
      <c r="BC27" s="1393"/>
      <c r="BD27" s="1393"/>
      <c r="BE27" s="1393"/>
      <c r="BF27" s="1393"/>
      <c r="BG27" s="1453" t="s">
        <v>711</v>
      </c>
      <c r="BH27" s="1435"/>
      <c r="BI27" s="1435"/>
      <c r="BJ27" s="1450">
        <v>39.0363478733398</v>
      </c>
      <c r="BK27" s="1450">
        <v>39.821506788332201</v>
      </c>
      <c r="BL27" s="1450">
        <v>64.026741949763604</v>
      </c>
      <c r="BM27" s="1450">
        <v>56.786811559180499</v>
      </c>
      <c r="BN27" s="1450">
        <v>32.722927367664099</v>
      </c>
      <c r="BO27" s="1450">
        <v>43.054307418433098</v>
      </c>
      <c r="BP27" s="1450">
        <v>46.238510686423197</v>
      </c>
      <c r="BQ27" s="1450">
        <v>43.546423845077598</v>
      </c>
      <c r="BR27" s="1450">
        <v>42.5147212208688</v>
      </c>
      <c r="BS27" s="1450">
        <v>50.673818010886002</v>
      </c>
      <c r="BT27" s="1450">
        <v>31.699951719415999</v>
      </c>
      <c r="BU27" s="1450">
        <v>42.958887899056698</v>
      </c>
      <c r="BV27" s="1450">
        <v>26.440542532524098</v>
      </c>
      <c r="BW27" s="1450">
        <v>29.832983554478002</v>
      </c>
      <c r="BX27" s="1450">
        <v>35.066967731190203</v>
      </c>
      <c r="BY27" s="1450">
        <v>34.208345855042097</v>
      </c>
      <c r="BZ27" s="1450">
        <v>27.0794533141237</v>
      </c>
      <c r="CA27" s="1450">
        <v>12.3759486210412</v>
      </c>
      <c r="CB27" s="1450">
        <v>5.1481141963799102</v>
      </c>
      <c r="CC27" s="1450">
        <v>2.7103467427080501</v>
      </c>
      <c r="CD27" s="1450">
        <v>1.50389146368253</v>
      </c>
      <c r="CE27" s="1450">
        <v>2.9038027698545701</v>
      </c>
      <c r="CF27" s="1450">
        <v>3.0683810440003501</v>
      </c>
      <c r="CG27" s="1450">
        <v>1.07565129787769</v>
      </c>
      <c r="CH27" s="1450">
        <v>1.2615819066848699</v>
      </c>
      <c r="CI27" s="1452">
        <v>0.84835726689929902</v>
      </c>
    </row>
    <row r="28" spans="2:87" x14ac:dyDescent="0.2">
      <c r="B28" s="1434" t="s">
        <v>701</v>
      </c>
      <c r="C28" s="1435" t="s">
        <v>39</v>
      </c>
      <c r="D28" s="1448"/>
      <c r="E28" s="1449" t="s">
        <v>9</v>
      </c>
      <c r="F28" s="1449"/>
      <c r="G28" s="1435"/>
      <c r="H28" s="1435"/>
      <c r="I28" s="1450">
        <v>1784.8915327889999</v>
      </c>
      <c r="J28" s="1450">
        <v>1924.88959252107</v>
      </c>
      <c r="K28" s="1450">
        <v>1897.60132010907</v>
      </c>
      <c r="L28" s="1450">
        <v>1881.5329315121401</v>
      </c>
      <c r="M28" s="1450">
        <v>1864.1608700330701</v>
      </c>
      <c r="N28" s="1450">
        <v>1655.010891441</v>
      </c>
      <c r="O28" s="1450">
        <v>1773.2570679</v>
      </c>
      <c r="P28" s="1450">
        <v>1778.6642552999999</v>
      </c>
      <c r="Q28" s="1450">
        <v>1532.0364300000001</v>
      </c>
      <c r="R28" s="1450">
        <v>1641.0813759</v>
      </c>
      <c r="S28" s="1450">
        <v>1660.6073303999999</v>
      </c>
      <c r="T28" s="1450">
        <v>1571.39216475842</v>
      </c>
      <c r="U28" s="1450">
        <v>1467.45376193169</v>
      </c>
      <c r="V28" s="1450">
        <v>1287.21368532781</v>
      </c>
      <c r="W28" s="1450">
        <v>1452.13309458921</v>
      </c>
      <c r="X28" s="1450">
        <v>1559.08388316067</v>
      </c>
      <c r="Y28" s="1450">
        <v>1478.8862351461901</v>
      </c>
      <c r="Z28" s="1450">
        <v>1540.9503791863599</v>
      </c>
      <c r="AA28" s="1450">
        <v>1540.73861080813</v>
      </c>
      <c r="AB28" s="1450">
        <v>1156.3899311899099</v>
      </c>
      <c r="AC28" s="1451">
        <f t="shared" si="2"/>
        <v>1.26488941763178</v>
      </c>
      <c r="AD28" s="1451">
        <f t="shared" si="2"/>
        <v>1.33094601222589</v>
      </c>
      <c r="AE28" s="1451">
        <f t="shared" si="2"/>
        <v>1.2486873030979799</v>
      </c>
      <c r="AF28" s="1451">
        <f t="shared" si="2"/>
        <v>1.3232454153789199</v>
      </c>
      <c r="AG28" s="1451">
        <f t="shared" si="2"/>
        <v>1.4192063284065601</v>
      </c>
      <c r="AH28" s="1451">
        <f t="shared" si="2"/>
        <v>1.41197777325339</v>
      </c>
      <c r="AI28" s="1392"/>
      <c r="AJ28" s="1393"/>
      <c r="AK28" s="1393"/>
      <c r="AL28" s="1393"/>
      <c r="AM28" s="1393"/>
      <c r="AN28" s="1393"/>
      <c r="AO28" s="1393"/>
      <c r="AP28" s="1393"/>
      <c r="AQ28" s="1393"/>
      <c r="AR28" s="1393"/>
      <c r="AS28" s="1393"/>
      <c r="AT28" s="1393"/>
      <c r="AU28" s="1393"/>
      <c r="AV28" s="1393"/>
      <c r="AW28" s="1393"/>
      <c r="AX28" s="1393"/>
      <c r="AY28" s="1393"/>
      <c r="AZ28" s="1393"/>
      <c r="BA28" s="1393"/>
      <c r="BB28" s="1393"/>
      <c r="BC28" s="1393"/>
      <c r="BD28" s="1393"/>
      <c r="BE28" s="1393"/>
      <c r="BF28" s="1393"/>
      <c r="BG28" s="1449"/>
      <c r="BH28" s="1435"/>
      <c r="BI28" s="1435"/>
      <c r="BJ28" s="1450">
        <v>1784.8915327889999</v>
      </c>
      <c r="BK28" s="1450">
        <v>1924.88959252107</v>
      </c>
      <c r="BL28" s="1450">
        <v>1897.60132010907</v>
      </c>
      <c r="BM28" s="1450">
        <v>1881.5329315121401</v>
      </c>
      <c r="BN28" s="1450">
        <v>1864.1608700330701</v>
      </c>
      <c r="BO28" s="1450">
        <v>1655.010891441</v>
      </c>
      <c r="BP28" s="1450">
        <v>1773.2570679</v>
      </c>
      <c r="BQ28" s="1450">
        <v>1778.6642552999999</v>
      </c>
      <c r="BR28" s="1450">
        <v>1532.0364300000001</v>
      </c>
      <c r="BS28" s="1450">
        <v>1641.0813759</v>
      </c>
      <c r="BT28" s="1450">
        <v>1660.6073303999999</v>
      </c>
      <c r="BU28" s="1450">
        <v>1571.39216475842</v>
      </c>
      <c r="BV28" s="1450">
        <v>1467.45376193169</v>
      </c>
      <c r="BW28" s="1450">
        <v>1287.21368532781</v>
      </c>
      <c r="BX28" s="1450">
        <v>1452.13309458921</v>
      </c>
      <c r="BY28" s="1450">
        <v>1559.08388316067</v>
      </c>
      <c r="BZ28" s="1450">
        <v>1478.8862351461901</v>
      </c>
      <c r="CA28" s="1450">
        <v>1540.9503791863599</v>
      </c>
      <c r="CB28" s="1450">
        <v>1540.73861080813</v>
      </c>
      <c r="CC28" s="1450">
        <v>1156.3899311899099</v>
      </c>
      <c r="CD28" s="1450">
        <v>1264.8894176317799</v>
      </c>
      <c r="CE28" s="1450">
        <v>1330.9460122258899</v>
      </c>
      <c r="CF28" s="1450">
        <v>1248.68730309798</v>
      </c>
      <c r="CG28" s="1450">
        <v>1323.2454153789199</v>
      </c>
      <c r="CH28" s="1450">
        <v>1419.20632840656</v>
      </c>
      <c r="CI28" s="1452">
        <v>1411.9777732533901</v>
      </c>
    </row>
    <row r="29" spans="2:87" x14ac:dyDescent="0.2">
      <c r="B29" s="1441" t="s">
        <v>675</v>
      </c>
      <c r="C29" s="1442" t="s">
        <v>39</v>
      </c>
      <c r="D29" s="1443"/>
      <c r="E29" s="1444" t="s">
        <v>440</v>
      </c>
      <c r="F29" s="1444"/>
      <c r="G29" s="1442"/>
      <c r="H29" s="1442"/>
      <c r="I29" s="1445">
        <v>918.19316283206001</v>
      </c>
      <c r="J29" s="1445">
        <v>921.381913438732</v>
      </c>
      <c r="K29" s="1445">
        <v>876.24988820609406</v>
      </c>
      <c r="L29" s="1445">
        <v>676.58652312550601</v>
      </c>
      <c r="M29" s="1445">
        <v>694.50516224496596</v>
      </c>
      <c r="N29" s="1445">
        <v>640.32912998860002</v>
      </c>
      <c r="O29" s="1445">
        <v>735.49670025077205</v>
      </c>
      <c r="P29" s="1445">
        <v>864.89227189327596</v>
      </c>
      <c r="Q29" s="1445">
        <v>902.25691799986203</v>
      </c>
      <c r="R29" s="1445">
        <v>778.58478519999096</v>
      </c>
      <c r="S29" s="1445">
        <v>780.01996275233103</v>
      </c>
      <c r="T29" s="1445">
        <v>887.31767295356497</v>
      </c>
      <c r="U29" s="1445">
        <v>894.495527321753</v>
      </c>
      <c r="V29" s="1445">
        <v>848.24168561386898</v>
      </c>
      <c r="W29" s="1445">
        <v>985.71137346734997</v>
      </c>
      <c r="X29" s="1445">
        <v>856.55980609923904</v>
      </c>
      <c r="Y29" s="1445">
        <v>788.65740248119698</v>
      </c>
      <c r="Z29" s="1445">
        <v>985.99875461847205</v>
      </c>
      <c r="AA29" s="1445">
        <v>934.05841510142102</v>
      </c>
      <c r="AB29" s="1445">
        <v>602.51589871368606</v>
      </c>
      <c r="AC29" s="1446">
        <f t="shared" si="2"/>
        <v>1.0799582021429501</v>
      </c>
      <c r="AD29" s="1446">
        <f t="shared" si="2"/>
        <v>0.78460732805121092</v>
      </c>
      <c r="AE29" s="1446">
        <f t="shared" si="2"/>
        <v>0.98494101999217898</v>
      </c>
      <c r="AF29" s="1446">
        <f t="shared" si="2"/>
        <v>1.224040882668</v>
      </c>
      <c r="AG29" s="1446">
        <f t="shared" si="2"/>
        <v>1.2685421313497001</v>
      </c>
      <c r="AH29" s="1446">
        <f t="shared" si="2"/>
        <v>0.94306114810889796</v>
      </c>
      <c r="AI29" s="1392"/>
      <c r="AJ29" s="1393"/>
      <c r="AK29" s="1393"/>
      <c r="AL29" s="1393"/>
      <c r="AM29" s="1393"/>
      <c r="AN29" s="1393"/>
      <c r="AO29" s="1393"/>
      <c r="AP29" s="1393"/>
      <c r="AQ29" s="1393"/>
      <c r="AR29" s="1393"/>
      <c r="AS29" s="1393"/>
      <c r="AT29" s="1393"/>
      <c r="AU29" s="1393"/>
      <c r="AV29" s="1393"/>
      <c r="AW29" s="1393"/>
      <c r="AX29" s="1393"/>
      <c r="AY29" s="1393"/>
      <c r="AZ29" s="1393"/>
      <c r="BA29" s="1393"/>
      <c r="BB29" s="1393"/>
      <c r="BC29" s="1393"/>
      <c r="BD29" s="1393"/>
      <c r="BE29" s="1393"/>
      <c r="BF29" s="1393"/>
      <c r="BG29" s="1444"/>
      <c r="BH29" s="1442"/>
      <c r="BI29" s="1442"/>
      <c r="BJ29" s="1445">
        <v>918.19316283206001</v>
      </c>
      <c r="BK29" s="1445">
        <v>921.381913438732</v>
      </c>
      <c r="BL29" s="1445">
        <v>876.24988820609406</v>
      </c>
      <c r="BM29" s="1445">
        <v>676.58652312550601</v>
      </c>
      <c r="BN29" s="1445">
        <v>694.50516224496596</v>
      </c>
      <c r="BO29" s="1445">
        <v>640.32912998860002</v>
      </c>
      <c r="BP29" s="1445">
        <v>735.49670025077205</v>
      </c>
      <c r="BQ29" s="1445">
        <v>864.89227189327596</v>
      </c>
      <c r="BR29" s="1445">
        <v>902.25691799986203</v>
      </c>
      <c r="BS29" s="1445">
        <v>778.58478519999096</v>
      </c>
      <c r="BT29" s="1445">
        <v>780.01996275233103</v>
      </c>
      <c r="BU29" s="1445">
        <v>887.31767295356497</v>
      </c>
      <c r="BV29" s="1445">
        <v>894.495527321753</v>
      </c>
      <c r="BW29" s="1445">
        <v>848.24168561386898</v>
      </c>
      <c r="BX29" s="1445">
        <v>985.71137346734997</v>
      </c>
      <c r="BY29" s="1445">
        <v>856.55980609923904</v>
      </c>
      <c r="BZ29" s="1445">
        <v>788.65740248119698</v>
      </c>
      <c r="CA29" s="1445">
        <v>985.99875461847205</v>
      </c>
      <c r="CB29" s="1445">
        <v>934.05841510142102</v>
      </c>
      <c r="CC29" s="1445">
        <v>602.51589871368606</v>
      </c>
      <c r="CD29" s="1445">
        <v>1079.9582021429501</v>
      </c>
      <c r="CE29" s="1445">
        <v>784.60732805121097</v>
      </c>
      <c r="CF29" s="1445">
        <v>984.94101999217901</v>
      </c>
      <c r="CG29" s="1445">
        <v>1224.040882668</v>
      </c>
      <c r="CH29" s="1445">
        <v>1268.5421313497</v>
      </c>
      <c r="CI29" s="1447">
        <v>943.06114810889801</v>
      </c>
    </row>
    <row r="30" spans="2:87" x14ac:dyDescent="0.2">
      <c r="B30" s="1434"/>
      <c r="C30" s="1435" t="s">
        <v>699</v>
      </c>
      <c r="D30" s="1448"/>
      <c r="E30" s="1449" t="s">
        <v>712</v>
      </c>
      <c r="F30" s="1453"/>
      <c r="G30" s="1435"/>
      <c r="H30" s="1435"/>
      <c r="I30" s="1450">
        <v>9125.4496610456899</v>
      </c>
      <c r="J30" s="1450">
        <v>9156.3375675564803</v>
      </c>
      <c r="K30" s="1450">
        <v>10742.005298779201</v>
      </c>
      <c r="L30" s="1450">
        <v>11206.5309970171</v>
      </c>
      <c r="M30" s="1450">
        <v>11136.7882569388</v>
      </c>
      <c r="N30" s="1450">
        <v>12679.4359067722</v>
      </c>
      <c r="O30" s="1450">
        <v>13351.7509764224</v>
      </c>
      <c r="P30" s="1450">
        <v>13403.2113767717</v>
      </c>
      <c r="Q30" s="1450">
        <v>12326.409542990201</v>
      </c>
      <c r="R30" s="1450">
        <v>12807.163527656099</v>
      </c>
      <c r="S30" s="1450">
        <v>12457.196041106899</v>
      </c>
      <c r="T30" s="1450">
        <v>10466.746737706801</v>
      </c>
      <c r="U30" s="1450">
        <v>10915.5546618141</v>
      </c>
      <c r="V30" s="1450">
        <v>10771.3775781112</v>
      </c>
      <c r="W30" s="1450">
        <v>10613.5720409559</v>
      </c>
      <c r="X30" s="1450">
        <v>10120.816693025999</v>
      </c>
      <c r="Y30" s="1450">
        <v>9253.8454040566394</v>
      </c>
      <c r="Z30" s="1450">
        <v>8979.4039555396594</v>
      </c>
      <c r="AA30" s="1450">
        <v>8461.2063203548896</v>
      </c>
      <c r="AB30" s="1450">
        <v>7715.2988392427496</v>
      </c>
      <c r="AC30" s="1451">
        <f t="shared" si="2"/>
        <v>7.9615078931738301</v>
      </c>
      <c r="AD30" s="1451">
        <f t="shared" si="2"/>
        <v>7.9521178939789996</v>
      </c>
      <c r="AE30" s="1451">
        <f t="shared" si="2"/>
        <v>7.3826087717892896</v>
      </c>
      <c r="AF30" s="1451">
        <f t="shared" si="2"/>
        <v>7.5021836578237</v>
      </c>
      <c r="AG30" s="1451">
        <f t="shared" si="2"/>
        <v>7.6676487815585697</v>
      </c>
      <c r="AH30" s="1451">
        <f t="shared" si="2"/>
        <v>8.3165684704390497</v>
      </c>
      <c r="AI30" s="1392"/>
      <c r="AJ30" s="1393"/>
      <c r="AK30" s="1393"/>
      <c r="AL30" s="1393"/>
      <c r="AM30" s="1393"/>
      <c r="AN30" s="1393"/>
      <c r="AO30" s="1393"/>
      <c r="AP30" s="1393"/>
      <c r="AQ30" s="1393"/>
      <c r="AR30" s="1393"/>
      <c r="AS30" s="1393"/>
      <c r="AT30" s="1393"/>
      <c r="AU30" s="1393"/>
      <c r="AV30" s="1393"/>
      <c r="AW30" s="1393"/>
      <c r="AX30" s="1393"/>
      <c r="AY30" s="1393"/>
      <c r="AZ30" s="1393"/>
      <c r="BA30" s="1393"/>
      <c r="BB30" s="1393"/>
      <c r="BC30" s="1393"/>
      <c r="BD30" s="1393"/>
      <c r="BE30" s="1393"/>
      <c r="BF30" s="1393"/>
      <c r="BG30" s="1453"/>
      <c r="BH30" s="1435"/>
      <c r="BI30" s="1435"/>
      <c r="BJ30" s="1450">
        <v>9125.4496610456899</v>
      </c>
      <c r="BK30" s="1450">
        <v>9156.3375675564803</v>
      </c>
      <c r="BL30" s="1450">
        <v>10742.005298779201</v>
      </c>
      <c r="BM30" s="1450">
        <v>11206.5309970171</v>
      </c>
      <c r="BN30" s="1450">
        <v>11136.7882569388</v>
      </c>
      <c r="BO30" s="1450">
        <v>12679.4359067722</v>
      </c>
      <c r="BP30" s="1450">
        <v>13351.7509764224</v>
      </c>
      <c r="BQ30" s="1450">
        <v>13403.2113767717</v>
      </c>
      <c r="BR30" s="1450">
        <v>12326.409542990201</v>
      </c>
      <c r="BS30" s="1450">
        <v>12807.163527656099</v>
      </c>
      <c r="BT30" s="1450">
        <v>12457.196041106899</v>
      </c>
      <c r="BU30" s="1450">
        <v>10466.746737706801</v>
      </c>
      <c r="BV30" s="1450">
        <v>10915.5546618141</v>
      </c>
      <c r="BW30" s="1450">
        <v>10771.3775781112</v>
      </c>
      <c r="BX30" s="1450">
        <v>10613.5720409559</v>
      </c>
      <c r="BY30" s="1450">
        <v>10120.816693025999</v>
      </c>
      <c r="BZ30" s="1450">
        <v>9253.8454040566394</v>
      </c>
      <c r="CA30" s="1450">
        <v>8979.4039555396594</v>
      </c>
      <c r="CB30" s="1450">
        <v>8461.2063203548896</v>
      </c>
      <c r="CC30" s="1450">
        <v>7715.2988392427496</v>
      </c>
      <c r="CD30" s="1450">
        <v>7961.5078931738299</v>
      </c>
      <c r="CE30" s="1450">
        <v>7952.1178939789997</v>
      </c>
      <c r="CF30" s="1450">
        <v>7382.6087717892897</v>
      </c>
      <c r="CG30" s="1450">
        <v>7502.1836578236998</v>
      </c>
      <c r="CH30" s="1450">
        <v>7667.6487815585697</v>
      </c>
      <c r="CI30" s="1452">
        <v>8316.5684704390496</v>
      </c>
    </row>
    <row r="31" spans="2:87" x14ac:dyDescent="0.2">
      <c r="B31" s="1434" t="s">
        <v>701</v>
      </c>
      <c r="C31" s="1435" t="s">
        <v>39</v>
      </c>
      <c r="D31" s="1448"/>
      <c r="E31" s="1449"/>
      <c r="F31" s="1453" t="s">
        <v>713</v>
      </c>
      <c r="G31" s="1435"/>
      <c r="H31" s="1435"/>
      <c r="I31" s="1450">
        <v>1755.1957667192301</v>
      </c>
      <c r="J31" s="1450">
        <v>1705.8712241340099</v>
      </c>
      <c r="K31" s="1450">
        <v>1811.3972590011399</v>
      </c>
      <c r="L31" s="1450">
        <v>1932.7647444557599</v>
      </c>
      <c r="M31" s="1450">
        <v>2004.54155198579</v>
      </c>
      <c r="N31" s="1450">
        <v>2228.1877726890302</v>
      </c>
      <c r="O31" s="1450">
        <v>2318.0028976200401</v>
      </c>
      <c r="P31" s="1450">
        <v>2403.8601921755999</v>
      </c>
      <c r="Q31" s="1450">
        <v>2322.44058463581</v>
      </c>
      <c r="R31" s="1450">
        <v>2396.2821249528201</v>
      </c>
      <c r="S31" s="1450">
        <v>2404.1284354570098</v>
      </c>
      <c r="T31" s="1450">
        <v>2174.4729106713598</v>
      </c>
      <c r="U31" s="1450">
        <v>2127.9414956159999</v>
      </c>
      <c r="V31" s="1450">
        <v>2238.6172698485302</v>
      </c>
      <c r="W31" s="1450">
        <v>2313.8400744979999</v>
      </c>
      <c r="X31" s="1450">
        <v>1882.3345164999801</v>
      </c>
      <c r="Y31" s="1450">
        <v>1683.1390775546499</v>
      </c>
      <c r="Z31" s="1450">
        <v>1689.01543674449</v>
      </c>
      <c r="AA31" s="1450">
        <v>1654.28129484698</v>
      </c>
      <c r="AB31" s="1450">
        <v>1586.9975916113599</v>
      </c>
      <c r="AC31" s="1451">
        <f t="shared" si="2"/>
        <v>1.7255703712834198</v>
      </c>
      <c r="AD31" s="1451">
        <f t="shared" si="2"/>
        <v>1.7421551332177201</v>
      </c>
      <c r="AE31" s="1451">
        <f t="shared" si="2"/>
        <v>1.6080735335423799</v>
      </c>
      <c r="AF31" s="1451">
        <f t="shared" si="2"/>
        <v>1.5802724991908599</v>
      </c>
      <c r="AG31" s="1451">
        <f t="shared" si="2"/>
        <v>1.4810698722367599</v>
      </c>
      <c r="AH31" s="1451">
        <f t="shared" si="2"/>
        <v>1.6191845842100498</v>
      </c>
      <c r="AI31" s="1392"/>
      <c r="AJ31" s="1393"/>
      <c r="AK31" s="1393"/>
      <c r="AL31" s="1393"/>
      <c r="AM31" s="1393"/>
      <c r="AN31" s="1393"/>
      <c r="AO31" s="1393"/>
      <c r="AP31" s="1393"/>
      <c r="AQ31" s="1393"/>
      <c r="AR31" s="1393"/>
      <c r="AS31" s="1393"/>
      <c r="AT31" s="1393"/>
      <c r="AU31" s="1393"/>
      <c r="AV31" s="1393"/>
      <c r="AW31" s="1393"/>
      <c r="AX31" s="1393"/>
      <c r="AY31" s="1393"/>
      <c r="AZ31" s="1393"/>
      <c r="BA31" s="1393"/>
      <c r="BB31" s="1393"/>
      <c r="BC31" s="1393"/>
      <c r="BD31" s="1393"/>
      <c r="BE31" s="1393"/>
      <c r="BF31" s="1393"/>
      <c r="BG31" s="1453" t="s">
        <v>713</v>
      </c>
      <c r="BH31" s="1435"/>
      <c r="BI31" s="1435"/>
      <c r="BJ31" s="1450">
        <v>1755.1957667192301</v>
      </c>
      <c r="BK31" s="1450">
        <v>1705.8712241340099</v>
      </c>
      <c r="BL31" s="1450">
        <v>1811.3972590011399</v>
      </c>
      <c r="BM31" s="1450">
        <v>1932.7647444557599</v>
      </c>
      <c r="BN31" s="1450">
        <v>2004.54155198579</v>
      </c>
      <c r="BO31" s="1450">
        <v>2228.1877726890302</v>
      </c>
      <c r="BP31" s="1450">
        <v>2318.0028976200401</v>
      </c>
      <c r="BQ31" s="1450">
        <v>2403.8601921755999</v>
      </c>
      <c r="BR31" s="1450">
        <v>2322.44058463581</v>
      </c>
      <c r="BS31" s="1450">
        <v>2396.2821249528201</v>
      </c>
      <c r="BT31" s="1450">
        <v>2404.1284354570098</v>
      </c>
      <c r="BU31" s="1450">
        <v>2174.4729106713598</v>
      </c>
      <c r="BV31" s="1450">
        <v>2127.9414956159999</v>
      </c>
      <c r="BW31" s="1450">
        <v>2238.6172698485302</v>
      </c>
      <c r="BX31" s="1450">
        <v>2313.8400744979999</v>
      </c>
      <c r="BY31" s="1450">
        <v>1882.3345164999801</v>
      </c>
      <c r="BZ31" s="1450">
        <v>1683.1390775546499</v>
      </c>
      <c r="CA31" s="1450">
        <v>1689.01543674449</v>
      </c>
      <c r="CB31" s="1450">
        <v>1654.28129484698</v>
      </c>
      <c r="CC31" s="1450">
        <v>1586.9975916113599</v>
      </c>
      <c r="CD31" s="1450">
        <v>1725.5703712834199</v>
      </c>
      <c r="CE31" s="1450">
        <v>1742.15513321772</v>
      </c>
      <c r="CF31" s="1450">
        <v>1608.0735335423799</v>
      </c>
      <c r="CG31" s="1450">
        <v>1580.2724991908599</v>
      </c>
      <c r="CH31" s="1450">
        <v>1481.0698722367599</v>
      </c>
      <c r="CI31" s="1452">
        <v>1619.1845842100499</v>
      </c>
    </row>
    <row r="32" spans="2:87" x14ac:dyDescent="0.2">
      <c r="B32" s="1434" t="s">
        <v>701</v>
      </c>
      <c r="C32" s="1435" t="s">
        <v>39</v>
      </c>
      <c r="D32" s="1448"/>
      <c r="E32" s="1449"/>
      <c r="F32" s="1453" t="s">
        <v>714</v>
      </c>
      <c r="G32" s="1435"/>
      <c r="H32" s="1435"/>
      <c r="I32" s="1450">
        <v>594.96870626463999</v>
      </c>
      <c r="J32" s="1450">
        <v>597.20412366643598</v>
      </c>
      <c r="K32" s="1450">
        <v>659.00877938942403</v>
      </c>
      <c r="L32" s="1450">
        <v>705.43251155706298</v>
      </c>
      <c r="M32" s="1450">
        <v>713.46968208539101</v>
      </c>
      <c r="N32" s="1450">
        <v>791.89212543517999</v>
      </c>
      <c r="O32" s="1450">
        <v>814.65645704258202</v>
      </c>
      <c r="P32" s="1450">
        <v>856.005903390252</v>
      </c>
      <c r="Q32" s="1450">
        <v>798.66997455385501</v>
      </c>
      <c r="R32" s="1450">
        <v>817.19462365717595</v>
      </c>
      <c r="S32" s="1450">
        <v>828.732323954962</v>
      </c>
      <c r="T32" s="1450">
        <v>822.04202161556702</v>
      </c>
      <c r="U32" s="1450">
        <v>733.63893354513903</v>
      </c>
      <c r="V32" s="1450">
        <v>780.51677259813198</v>
      </c>
      <c r="W32" s="1450">
        <v>817.70609039097803</v>
      </c>
      <c r="X32" s="1450">
        <v>702.49210421791099</v>
      </c>
      <c r="Y32" s="1450">
        <v>631.476273410354</v>
      </c>
      <c r="Z32" s="1450">
        <v>658.47707682615601</v>
      </c>
      <c r="AA32" s="1450">
        <v>654.74206213117395</v>
      </c>
      <c r="AB32" s="1450">
        <v>633.79808917303797</v>
      </c>
      <c r="AC32" s="1451">
        <f t="shared" si="2"/>
        <v>0.66590330871803705</v>
      </c>
      <c r="AD32" s="1451">
        <f t="shared" si="2"/>
        <v>0.53168169920908603</v>
      </c>
      <c r="AE32" s="1451">
        <f t="shared" si="2"/>
        <v>0.53797537943103901</v>
      </c>
      <c r="AF32" s="1451">
        <f t="shared" si="2"/>
        <v>0.54209452377498202</v>
      </c>
      <c r="AG32" s="1451">
        <f t="shared" si="2"/>
        <v>0.54890696620892299</v>
      </c>
      <c r="AH32" s="1451">
        <f t="shared" si="2"/>
        <v>0.59718782919445002</v>
      </c>
      <c r="AI32" s="1392"/>
      <c r="AJ32" s="1393"/>
      <c r="AK32" s="1393"/>
      <c r="AL32" s="1393"/>
      <c r="AM32" s="1393"/>
      <c r="AN32" s="1393"/>
      <c r="AO32" s="1393"/>
      <c r="AP32" s="1393"/>
      <c r="AQ32" s="1393"/>
      <c r="AR32" s="1393"/>
      <c r="AS32" s="1393"/>
      <c r="AT32" s="1393"/>
      <c r="AU32" s="1393"/>
      <c r="AV32" s="1393"/>
      <c r="AW32" s="1393"/>
      <c r="AX32" s="1393"/>
      <c r="AY32" s="1393"/>
      <c r="AZ32" s="1393"/>
      <c r="BA32" s="1393"/>
      <c r="BB32" s="1393"/>
      <c r="BC32" s="1393"/>
      <c r="BD32" s="1393"/>
      <c r="BE32" s="1393"/>
      <c r="BF32" s="1393"/>
      <c r="BG32" s="1453" t="s">
        <v>714</v>
      </c>
      <c r="BH32" s="1435"/>
      <c r="BI32" s="1435"/>
      <c r="BJ32" s="1450">
        <v>594.96870626463999</v>
      </c>
      <c r="BK32" s="1450">
        <v>597.20412366643598</v>
      </c>
      <c r="BL32" s="1450">
        <v>659.00877938942403</v>
      </c>
      <c r="BM32" s="1450">
        <v>705.43251155706298</v>
      </c>
      <c r="BN32" s="1450">
        <v>713.46968208539101</v>
      </c>
      <c r="BO32" s="1450">
        <v>791.89212543517999</v>
      </c>
      <c r="BP32" s="1450">
        <v>814.65645704258202</v>
      </c>
      <c r="BQ32" s="1450">
        <v>856.005903390252</v>
      </c>
      <c r="BR32" s="1450">
        <v>798.66997455385501</v>
      </c>
      <c r="BS32" s="1450">
        <v>817.19462365717595</v>
      </c>
      <c r="BT32" s="1450">
        <v>828.732323954962</v>
      </c>
      <c r="BU32" s="1450">
        <v>822.04202161556702</v>
      </c>
      <c r="BV32" s="1450">
        <v>733.63893354513903</v>
      </c>
      <c r="BW32" s="1450">
        <v>780.51677259813198</v>
      </c>
      <c r="BX32" s="1450">
        <v>817.70609039097803</v>
      </c>
      <c r="BY32" s="1450">
        <v>702.49210421791099</v>
      </c>
      <c r="BZ32" s="1450">
        <v>631.476273410354</v>
      </c>
      <c r="CA32" s="1450">
        <v>658.47707682615601</v>
      </c>
      <c r="CB32" s="1450">
        <v>654.74206213117395</v>
      </c>
      <c r="CC32" s="1450">
        <v>633.79808917303797</v>
      </c>
      <c r="CD32" s="1450">
        <v>665.90330871803701</v>
      </c>
      <c r="CE32" s="1450">
        <v>531.68169920908599</v>
      </c>
      <c r="CF32" s="1450">
        <v>537.97537943103896</v>
      </c>
      <c r="CG32" s="1450">
        <v>542.09452377498201</v>
      </c>
      <c r="CH32" s="1450">
        <v>548.906966208923</v>
      </c>
      <c r="CI32" s="1452">
        <v>597.18782919445005</v>
      </c>
    </row>
    <row r="33" spans="2:87" x14ac:dyDescent="0.2">
      <c r="B33" s="1434" t="s">
        <v>701</v>
      </c>
      <c r="C33" s="1435" t="s">
        <v>39</v>
      </c>
      <c r="D33" s="1448"/>
      <c r="E33" s="1449"/>
      <c r="F33" s="1453" t="s">
        <v>715</v>
      </c>
      <c r="G33" s="1435"/>
      <c r="H33" s="1435"/>
      <c r="I33" s="1450">
        <v>3730.43189844379</v>
      </c>
      <c r="J33" s="1450">
        <v>3735.9706801256102</v>
      </c>
      <c r="K33" s="1450">
        <v>4293.90253750389</v>
      </c>
      <c r="L33" s="1450">
        <v>4409.5119733440297</v>
      </c>
      <c r="M33" s="1450">
        <v>4213.0341273008999</v>
      </c>
      <c r="N33" s="1450">
        <v>4811.3563752056898</v>
      </c>
      <c r="O33" s="1450">
        <v>5050.1496234506303</v>
      </c>
      <c r="P33" s="1450">
        <v>5095.6649774672696</v>
      </c>
      <c r="Q33" s="1450">
        <v>4397.6644213395202</v>
      </c>
      <c r="R33" s="1450">
        <v>4690.0851115627902</v>
      </c>
      <c r="S33" s="1450">
        <v>4828.6315654319897</v>
      </c>
      <c r="T33" s="1450">
        <v>4274.9663862287698</v>
      </c>
      <c r="U33" s="1450">
        <v>4305.9568520825796</v>
      </c>
      <c r="V33" s="1450">
        <v>4563.96499780466</v>
      </c>
      <c r="W33" s="1450">
        <v>4704.1460152119198</v>
      </c>
      <c r="X33" s="1450">
        <v>3953.2226025044001</v>
      </c>
      <c r="Y33" s="1450">
        <v>3736.3983638740601</v>
      </c>
      <c r="Z33" s="1450">
        <v>3914.60376475774</v>
      </c>
      <c r="AA33" s="1450">
        <v>4006.1916061828501</v>
      </c>
      <c r="AB33" s="1450">
        <v>3836.2168434724699</v>
      </c>
      <c r="AC33" s="1451">
        <f t="shared" si="2"/>
        <v>4.1992182051914195</v>
      </c>
      <c r="AD33" s="1451">
        <f t="shared" si="2"/>
        <v>4.3456548521880505</v>
      </c>
      <c r="AE33" s="1451">
        <f t="shared" si="2"/>
        <v>3.96657806238114</v>
      </c>
      <c r="AF33" s="1451">
        <f t="shared" si="2"/>
        <v>3.8846596428298499</v>
      </c>
      <c r="AG33" s="1451">
        <f t="shared" si="2"/>
        <v>3.69274350785403</v>
      </c>
      <c r="AH33" s="1451">
        <f t="shared" si="2"/>
        <v>4.1187224278769801</v>
      </c>
      <c r="AI33" s="1392"/>
      <c r="AJ33" s="1393"/>
      <c r="AK33" s="1393"/>
      <c r="AL33" s="1393"/>
      <c r="AM33" s="1393"/>
      <c r="AN33" s="1393"/>
      <c r="AO33" s="1393"/>
      <c r="AP33" s="1393"/>
      <c r="AQ33" s="1393"/>
      <c r="AR33" s="1393"/>
      <c r="AS33" s="1393"/>
      <c r="AT33" s="1393"/>
      <c r="AU33" s="1393"/>
      <c r="AV33" s="1393"/>
      <c r="AW33" s="1393"/>
      <c r="AX33" s="1393"/>
      <c r="AY33" s="1393"/>
      <c r="AZ33" s="1393"/>
      <c r="BA33" s="1393"/>
      <c r="BB33" s="1393"/>
      <c r="BC33" s="1393"/>
      <c r="BD33" s="1393"/>
      <c r="BE33" s="1393"/>
      <c r="BF33" s="1393"/>
      <c r="BG33" s="1453" t="s">
        <v>715</v>
      </c>
      <c r="BH33" s="1435"/>
      <c r="BI33" s="1435"/>
      <c r="BJ33" s="1450">
        <v>3730.43189844379</v>
      </c>
      <c r="BK33" s="1450">
        <v>3735.9706801256102</v>
      </c>
      <c r="BL33" s="1450">
        <v>4293.90253750389</v>
      </c>
      <c r="BM33" s="1450">
        <v>4409.5119733440297</v>
      </c>
      <c r="BN33" s="1450">
        <v>4213.0341273008999</v>
      </c>
      <c r="BO33" s="1450">
        <v>4811.3563752056898</v>
      </c>
      <c r="BP33" s="1450">
        <v>5050.1496234506303</v>
      </c>
      <c r="BQ33" s="1450">
        <v>5095.6649774672696</v>
      </c>
      <c r="BR33" s="1450">
        <v>4397.6644213395202</v>
      </c>
      <c r="BS33" s="1450">
        <v>4690.0851115627902</v>
      </c>
      <c r="BT33" s="1450">
        <v>4828.6315654319897</v>
      </c>
      <c r="BU33" s="1450">
        <v>4274.9663862287698</v>
      </c>
      <c r="BV33" s="1450">
        <v>4305.9568520825796</v>
      </c>
      <c r="BW33" s="1450">
        <v>4563.96499780466</v>
      </c>
      <c r="BX33" s="1450">
        <v>4704.1460152119198</v>
      </c>
      <c r="BY33" s="1450">
        <v>3953.2226025044001</v>
      </c>
      <c r="BZ33" s="1450">
        <v>3736.3983638740601</v>
      </c>
      <c r="CA33" s="1450">
        <v>3914.60376475774</v>
      </c>
      <c r="CB33" s="1450">
        <v>4006.1916061828501</v>
      </c>
      <c r="CC33" s="1450">
        <v>3836.2168434724699</v>
      </c>
      <c r="CD33" s="1450">
        <v>4199.2182051914197</v>
      </c>
      <c r="CE33" s="1450">
        <v>4345.6548521880504</v>
      </c>
      <c r="CF33" s="1450">
        <v>3966.5780623811402</v>
      </c>
      <c r="CG33" s="1450">
        <v>3884.6596428298499</v>
      </c>
      <c r="CH33" s="1450">
        <v>3692.7435078540302</v>
      </c>
      <c r="CI33" s="1452">
        <v>4118.72242787698</v>
      </c>
    </row>
    <row r="34" spans="2:87" x14ac:dyDescent="0.2">
      <c r="B34" s="1434" t="s">
        <v>701</v>
      </c>
      <c r="C34" s="1435" t="s">
        <v>39</v>
      </c>
      <c r="D34" s="1448"/>
      <c r="E34" s="1449"/>
      <c r="F34" s="1453" t="s">
        <v>716</v>
      </c>
      <c r="G34" s="1435"/>
      <c r="H34" s="1435"/>
      <c r="I34" s="1450">
        <v>72.412765121820399</v>
      </c>
      <c r="J34" s="1450">
        <v>69.3373425977111</v>
      </c>
      <c r="K34" s="1450">
        <v>72.005551626878798</v>
      </c>
      <c r="L34" s="1450">
        <v>76.195392272523904</v>
      </c>
      <c r="M34" s="1450">
        <v>78.600013372822801</v>
      </c>
      <c r="N34" s="1450">
        <v>85.541133039674605</v>
      </c>
      <c r="O34" s="1450">
        <v>87.649724818035693</v>
      </c>
      <c r="P34" s="1450">
        <v>90.382260828461497</v>
      </c>
      <c r="Q34" s="1450">
        <v>84.818759358051693</v>
      </c>
      <c r="R34" s="1450">
        <v>90.300359957144295</v>
      </c>
      <c r="S34" s="1450">
        <v>88.390207597843499</v>
      </c>
      <c r="T34" s="1450">
        <v>80.648929255694298</v>
      </c>
      <c r="U34" s="1450">
        <v>78.627223132561497</v>
      </c>
      <c r="V34" s="1450">
        <v>81.889639441206199</v>
      </c>
      <c r="W34" s="1450">
        <v>87.0069998595703</v>
      </c>
      <c r="X34" s="1450">
        <v>71.647745238172405</v>
      </c>
      <c r="Y34" s="1450">
        <v>65.736204646424795</v>
      </c>
      <c r="Z34" s="1450">
        <v>67.721488981740507</v>
      </c>
      <c r="AA34" s="1450">
        <v>67.688162154055902</v>
      </c>
      <c r="AB34" s="1450">
        <v>65.638980027236101</v>
      </c>
      <c r="AC34" s="1451">
        <f t="shared" si="2"/>
        <v>7.0994539579472507E-2</v>
      </c>
      <c r="AD34" s="1451">
        <f t="shared" si="2"/>
        <v>8.5217094349837499E-2</v>
      </c>
      <c r="AE34" s="1451">
        <f t="shared" si="2"/>
        <v>8.1410673234682901E-2</v>
      </c>
      <c r="AF34" s="1451">
        <f t="shared" si="2"/>
        <v>8.3960136529040205E-2</v>
      </c>
      <c r="AG34" s="1451">
        <f t="shared" si="2"/>
        <v>8.1573492098554204E-2</v>
      </c>
      <c r="AH34" s="1451">
        <f t="shared" si="2"/>
        <v>8.83655029428808E-2</v>
      </c>
      <c r="AI34" s="1392"/>
      <c r="AJ34" s="1393"/>
      <c r="AK34" s="1393"/>
      <c r="AL34" s="1393"/>
      <c r="AM34" s="1393"/>
      <c r="AN34" s="1393"/>
      <c r="AO34" s="1393"/>
      <c r="AP34" s="1393"/>
      <c r="AQ34" s="1393"/>
      <c r="AR34" s="1393"/>
      <c r="AS34" s="1393"/>
      <c r="AT34" s="1393"/>
      <c r="AU34" s="1393"/>
      <c r="AV34" s="1393"/>
      <c r="AW34" s="1393"/>
      <c r="AX34" s="1393"/>
      <c r="AY34" s="1393"/>
      <c r="AZ34" s="1393"/>
      <c r="BA34" s="1393"/>
      <c r="BB34" s="1393"/>
      <c r="BC34" s="1393"/>
      <c r="BD34" s="1393"/>
      <c r="BE34" s="1393"/>
      <c r="BF34" s="1393"/>
      <c r="BG34" s="1453" t="s">
        <v>716</v>
      </c>
      <c r="BH34" s="1435"/>
      <c r="BI34" s="1435"/>
      <c r="BJ34" s="1450">
        <v>72.412765121820399</v>
      </c>
      <c r="BK34" s="1450">
        <v>69.3373425977111</v>
      </c>
      <c r="BL34" s="1450">
        <v>72.005551626878798</v>
      </c>
      <c r="BM34" s="1450">
        <v>76.195392272523904</v>
      </c>
      <c r="BN34" s="1450">
        <v>78.600013372822801</v>
      </c>
      <c r="BO34" s="1450">
        <v>85.541133039674605</v>
      </c>
      <c r="BP34" s="1450">
        <v>87.649724818035693</v>
      </c>
      <c r="BQ34" s="1450">
        <v>90.382260828461497</v>
      </c>
      <c r="BR34" s="1450">
        <v>84.818759358051693</v>
      </c>
      <c r="BS34" s="1450">
        <v>90.300359957144295</v>
      </c>
      <c r="BT34" s="1450">
        <v>88.390207597843499</v>
      </c>
      <c r="BU34" s="1450">
        <v>80.648929255694298</v>
      </c>
      <c r="BV34" s="1450">
        <v>78.627223132561497</v>
      </c>
      <c r="BW34" s="1450">
        <v>81.889639441206199</v>
      </c>
      <c r="BX34" s="1450">
        <v>87.0069998595703</v>
      </c>
      <c r="BY34" s="1450">
        <v>71.647745238172405</v>
      </c>
      <c r="BZ34" s="1450">
        <v>65.736204646424795</v>
      </c>
      <c r="CA34" s="1450">
        <v>67.721488981740507</v>
      </c>
      <c r="CB34" s="1450">
        <v>67.688162154055902</v>
      </c>
      <c r="CC34" s="1450">
        <v>65.638980027236101</v>
      </c>
      <c r="CD34" s="1450">
        <v>70.994539579472502</v>
      </c>
      <c r="CE34" s="1450">
        <v>85.217094349837495</v>
      </c>
      <c r="CF34" s="1450">
        <v>81.410673234682903</v>
      </c>
      <c r="CG34" s="1450">
        <v>83.960136529040199</v>
      </c>
      <c r="CH34" s="1450">
        <v>81.573492098554198</v>
      </c>
      <c r="CI34" s="1452">
        <v>88.365502942880795</v>
      </c>
    </row>
    <row r="35" spans="2:87" x14ac:dyDescent="0.2">
      <c r="B35" s="1434" t="s">
        <v>701</v>
      </c>
      <c r="C35" s="1435" t="s">
        <v>39</v>
      </c>
      <c r="D35" s="1448"/>
      <c r="E35" s="1449"/>
      <c r="F35" s="1453" t="s">
        <v>717</v>
      </c>
      <c r="G35" s="1435"/>
      <c r="H35" s="1435"/>
      <c r="I35" s="1450">
        <v>695.89967167721204</v>
      </c>
      <c r="J35" s="1450">
        <v>639.85983762071805</v>
      </c>
      <c r="K35" s="1450">
        <v>651.19313913586097</v>
      </c>
      <c r="L35" s="1450">
        <v>662.80075491970297</v>
      </c>
      <c r="M35" s="1450">
        <v>661.09387516389904</v>
      </c>
      <c r="N35" s="1450">
        <v>707.71166210259503</v>
      </c>
      <c r="O35" s="1450">
        <v>712.28928349107196</v>
      </c>
      <c r="P35" s="1450">
        <v>709.98405541014301</v>
      </c>
      <c r="Q35" s="1450">
        <v>653.58607810300202</v>
      </c>
      <c r="R35" s="1450">
        <v>694.658617526169</v>
      </c>
      <c r="S35" s="1450">
        <v>671.317101165086</v>
      </c>
      <c r="T35" s="1450">
        <v>584.72865743544503</v>
      </c>
      <c r="U35" s="1450">
        <v>582.40448743778995</v>
      </c>
      <c r="V35" s="1450">
        <v>589.32422841862206</v>
      </c>
      <c r="W35" s="1450">
        <v>593.95970849544995</v>
      </c>
      <c r="X35" s="1450">
        <v>444.98071956552798</v>
      </c>
      <c r="Y35" s="1450">
        <v>394.940534571147</v>
      </c>
      <c r="Z35" s="1450">
        <v>391.88798322953897</v>
      </c>
      <c r="AA35" s="1450">
        <v>387.56790253983598</v>
      </c>
      <c r="AB35" s="1450">
        <v>376.18285495865302</v>
      </c>
      <c r="AC35" s="1451">
        <f t="shared" si="2"/>
        <v>0.40329043340148901</v>
      </c>
      <c r="AD35" s="1451">
        <f t="shared" si="2"/>
        <v>0.35180805001431203</v>
      </c>
      <c r="AE35" s="1451">
        <f t="shared" si="2"/>
        <v>0.34478572320004403</v>
      </c>
      <c r="AF35" s="1451">
        <f t="shared" si="2"/>
        <v>0.34108309049896796</v>
      </c>
      <c r="AG35" s="1451">
        <f t="shared" si="2"/>
        <v>0.32854707066030803</v>
      </c>
      <c r="AH35" s="1451">
        <f t="shared" si="2"/>
        <v>0.35196851371468801</v>
      </c>
      <c r="AI35" s="1392"/>
      <c r="AJ35" s="1393"/>
      <c r="AK35" s="1393"/>
      <c r="AL35" s="1393"/>
      <c r="AM35" s="1393"/>
      <c r="AN35" s="1393"/>
      <c r="AO35" s="1393"/>
      <c r="AP35" s="1393"/>
      <c r="AQ35" s="1393"/>
      <c r="AR35" s="1393"/>
      <c r="AS35" s="1393"/>
      <c r="AT35" s="1393"/>
      <c r="AU35" s="1393"/>
      <c r="AV35" s="1393"/>
      <c r="AW35" s="1393"/>
      <c r="AX35" s="1393"/>
      <c r="AY35" s="1393"/>
      <c r="AZ35" s="1393"/>
      <c r="BA35" s="1393"/>
      <c r="BB35" s="1393"/>
      <c r="BC35" s="1393"/>
      <c r="BD35" s="1393"/>
      <c r="BE35" s="1393"/>
      <c r="BF35" s="1393"/>
      <c r="BG35" s="1453" t="s">
        <v>717</v>
      </c>
      <c r="BH35" s="1435"/>
      <c r="BI35" s="1435"/>
      <c r="BJ35" s="1450">
        <v>695.89967167721204</v>
      </c>
      <c r="BK35" s="1450">
        <v>639.85983762071805</v>
      </c>
      <c r="BL35" s="1450">
        <v>651.19313913586097</v>
      </c>
      <c r="BM35" s="1450">
        <v>662.80075491970297</v>
      </c>
      <c r="BN35" s="1450">
        <v>661.09387516389904</v>
      </c>
      <c r="BO35" s="1450">
        <v>707.71166210259503</v>
      </c>
      <c r="BP35" s="1450">
        <v>712.28928349107196</v>
      </c>
      <c r="BQ35" s="1450">
        <v>709.98405541014301</v>
      </c>
      <c r="BR35" s="1450">
        <v>653.58607810300202</v>
      </c>
      <c r="BS35" s="1450">
        <v>694.658617526169</v>
      </c>
      <c r="BT35" s="1450">
        <v>671.317101165086</v>
      </c>
      <c r="BU35" s="1450">
        <v>584.72865743544503</v>
      </c>
      <c r="BV35" s="1450">
        <v>582.40448743778995</v>
      </c>
      <c r="BW35" s="1450">
        <v>589.32422841862206</v>
      </c>
      <c r="BX35" s="1450">
        <v>593.95970849544995</v>
      </c>
      <c r="BY35" s="1450">
        <v>444.98071956552798</v>
      </c>
      <c r="BZ35" s="1450">
        <v>394.940534571147</v>
      </c>
      <c r="CA35" s="1450">
        <v>391.88798322953897</v>
      </c>
      <c r="CB35" s="1450">
        <v>387.56790253983598</v>
      </c>
      <c r="CC35" s="1450">
        <v>376.18285495865302</v>
      </c>
      <c r="CD35" s="1450">
        <v>403.290433401489</v>
      </c>
      <c r="CE35" s="1450">
        <v>351.80805001431202</v>
      </c>
      <c r="CF35" s="1450">
        <v>344.785723200044</v>
      </c>
      <c r="CG35" s="1450">
        <v>341.08309049896798</v>
      </c>
      <c r="CH35" s="1450">
        <v>328.54707066030801</v>
      </c>
      <c r="CI35" s="1452">
        <v>351.96851371468802</v>
      </c>
    </row>
    <row r="36" spans="2:87" x14ac:dyDescent="0.2">
      <c r="B36" s="1434" t="s">
        <v>701</v>
      </c>
      <c r="C36" s="1435" t="s">
        <v>39</v>
      </c>
      <c r="D36" s="1448"/>
      <c r="E36" s="1449"/>
      <c r="F36" s="1453" t="s">
        <v>718</v>
      </c>
      <c r="G36" s="1454"/>
      <c r="H36" s="1454"/>
      <c r="I36" s="1450">
        <v>2276.5408528190001</v>
      </c>
      <c r="J36" s="1450">
        <v>2408.0943594119999</v>
      </c>
      <c r="K36" s="1450">
        <v>3254.498032122</v>
      </c>
      <c r="L36" s="1450">
        <v>3419.8256204680001</v>
      </c>
      <c r="M36" s="1450">
        <v>3466.0490070300002</v>
      </c>
      <c r="N36" s="1455">
        <v>4054.7468383</v>
      </c>
      <c r="O36" s="1455">
        <v>4369.00299</v>
      </c>
      <c r="P36" s="1455">
        <v>4247.3139874999997</v>
      </c>
      <c r="Q36" s="1455">
        <v>4069.2297250000001</v>
      </c>
      <c r="R36" s="1455">
        <v>4118.6426899999997</v>
      </c>
      <c r="S36" s="1455">
        <v>3635.9964074999998</v>
      </c>
      <c r="T36" s="1455">
        <v>2529.8878325000001</v>
      </c>
      <c r="U36" s="1455">
        <v>3086.98567</v>
      </c>
      <c r="V36" s="1455">
        <v>2517.0646700000002</v>
      </c>
      <c r="W36" s="1450">
        <v>2096.9131524999998</v>
      </c>
      <c r="X36" s="1450">
        <v>3066.139005</v>
      </c>
      <c r="Y36" s="1450">
        <v>2742.1549500000001</v>
      </c>
      <c r="Z36" s="1450">
        <v>2257.6982050000001</v>
      </c>
      <c r="AA36" s="1450">
        <v>1690.7352925</v>
      </c>
      <c r="AB36" s="1450">
        <v>1216.4644800000001</v>
      </c>
      <c r="AC36" s="1451">
        <f t="shared" si="2"/>
        <v>0.89653103499999998</v>
      </c>
      <c r="AD36" s="1451">
        <f t="shared" si="2"/>
        <v>0.89560106499999992</v>
      </c>
      <c r="AE36" s="1451">
        <f t="shared" si="2"/>
        <v>0.84378540000000002</v>
      </c>
      <c r="AF36" s="1451">
        <f t="shared" si="2"/>
        <v>1.0701137650000001</v>
      </c>
      <c r="AG36" s="1451">
        <f t="shared" si="2"/>
        <v>1.5348078725000001</v>
      </c>
      <c r="AH36" s="1451">
        <f t="shared" si="2"/>
        <v>1.5411396125000001</v>
      </c>
      <c r="AI36" s="1392"/>
      <c r="AJ36" s="1393"/>
      <c r="AK36" s="1393"/>
      <c r="AL36" s="1393"/>
      <c r="AM36" s="1393"/>
      <c r="AN36" s="1393"/>
      <c r="AO36" s="1393"/>
      <c r="AP36" s="1393"/>
      <c r="AQ36" s="1393"/>
      <c r="AR36" s="1393"/>
      <c r="AS36" s="1393"/>
      <c r="AT36" s="1393"/>
      <c r="AU36" s="1393"/>
      <c r="AV36" s="1393"/>
      <c r="AW36" s="1393"/>
      <c r="AX36" s="1393"/>
      <c r="AY36" s="1393"/>
      <c r="AZ36" s="1393"/>
      <c r="BA36" s="1393"/>
      <c r="BB36" s="1393"/>
      <c r="BC36" s="1393"/>
      <c r="BD36" s="1393"/>
      <c r="BE36" s="1393"/>
      <c r="BF36" s="1393"/>
      <c r="BG36" s="1453" t="s">
        <v>718</v>
      </c>
      <c r="BH36" s="1454"/>
      <c r="BI36" s="1454"/>
      <c r="BJ36" s="1450">
        <v>2276.5408528190001</v>
      </c>
      <c r="BK36" s="1450">
        <v>2408.0943594119999</v>
      </c>
      <c r="BL36" s="1450">
        <v>3254.498032122</v>
      </c>
      <c r="BM36" s="1450">
        <v>3419.8256204680001</v>
      </c>
      <c r="BN36" s="1450">
        <v>3466.0490070300002</v>
      </c>
      <c r="BO36" s="1455">
        <v>4054.7468383</v>
      </c>
      <c r="BP36" s="1455">
        <v>4369.00299</v>
      </c>
      <c r="BQ36" s="1455">
        <v>4247.3139874999997</v>
      </c>
      <c r="BR36" s="1455">
        <v>4069.2297250000001</v>
      </c>
      <c r="BS36" s="1455">
        <v>4118.6426899999997</v>
      </c>
      <c r="BT36" s="1455">
        <v>3635.9964074999998</v>
      </c>
      <c r="BU36" s="1455">
        <v>2529.8878325000001</v>
      </c>
      <c r="BV36" s="1455">
        <v>3086.98567</v>
      </c>
      <c r="BW36" s="1455">
        <v>2517.0646700000002</v>
      </c>
      <c r="BX36" s="1450">
        <v>2096.9131524999998</v>
      </c>
      <c r="BY36" s="1450">
        <v>3066.139005</v>
      </c>
      <c r="BZ36" s="1450">
        <v>2742.1549500000001</v>
      </c>
      <c r="CA36" s="1450">
        <v>2257.6982050000001</v>
      </c>
      <c r="CB36" s="1450">
        <v>1690.7352925</v>
      </c>
      <c r="CC36" s="1450">
        <v>1216.4644800000001</v>
      </c>
      <c r="CD36" s="1450">
        <v>896.53103499999997</v>
      </c>
      <c r="CE36" s="1450">
        <v>895.60106499999995</v>
      </c>
      <c r="CF36" s="1450">
        <v>843.78539999999998</v>
      </c>
      <c r="CG36" s="1450">
        <v>1070.1137650000001</v>
      </c>
      <c r="CH36" s="1450">
        <v>1534.8078725</v>
      </c>
      <c r="CI36" s="1452">
        <v>1541.1396125000001</v>
      </c>
    </row>
    <row r="37" spans="2:87" x14ac:dyDescent="0.2">
      <c r="B37" s="1441" t="s">
        <v>719</v>
      </c>
      <c r="C37" s="1442" t="s">
        <v>699</v>
      </c>
      <c r="D37" s="1456" t="s">
        <v>11</v>
      </c>
      <c r="E37" s="1457" t="s">
        <v>149</v>
      </c>
      <c r="F37" s="1457"/>
      <c r="G37" s="1458"/>
      <c r="H37" s="1458"/>
      <c r="I37" s="1459">
        <v>1565.0795460847201</v>
      </c>
      <c r="J37" s="1459">
        <v>1505.1838964400599</v>
      </c>
      <c r="K37" s="1459">
        <v>1537.7148397491901</v>
      </c>
      <c r="L37" s="1459">
        <v>1608.7906247871599</v>
      </c>
      <c r="M37" s="1459">
        <v>1626.34134822237</v>
      </c>
      <c r="N37" s="1459">
        <v>1656.8449335666601</v>
      </c>
      <c r="O37" s="1459">
        <v>1762.9572091406601</v>
      </c>
      <c r="P37" s="1459">
        <v>1787.3141760153001</v>
      </c>
      <c r="Q37" s="1459">
        <v>1796.8883164015499</v>
      </c>
      <c r="R37" s="1459">
        <v>1902.72521302112</v>
      </c>
      <c r="S37" s="1459">
        <v>1513.1444845907199</v>
      </c>
      <c r="T37" s="1459">
        <v>1461.1818394856</v>
      </c>
      <c r="U37" s="1459">
        <v>1437.9801514295</v>
      </c>
      <c r="V37" s="1459">
        <v>1540.0044001855799</v>
      </c>
      <c r="W37" s="1459">
        <v>1657.4989186436301</v>
      </c>
      <c r="X37" s="1459">
        <v>1549.3990352605899</v>
      </c>
      <c r="Y37" s="1459">
        <v>1486.77426656784</v>
      </c>
      <c r="Z37" s="1459">
        <v>1517.0276907546199</v>
      </c>
      <c r="AA37" s="1459">
        <v>1493.52262136014</v>
      </c>
      <c r="AB37" s="1459">
        <v>1522.11222452683</v>
      </c>
      <c r="AC37" s="1460">
        <f t="shared" si="2"/>
        <v>1.4411157429096599</v>
      </c>
      <c r="AD37" s="1460">
        <f t="shared" si="2"/>
        <v>1.3973717950828799</v>
      </c>
      <c r="AE37" s="1460">
        <f t="shared" si="2"/>
        <v>1.3437985523996099</v>
      </c>
      <c r="AF37" s="1460">
        <f t="shared" si="2"/>
        <v>1.3713882599146801</v>
      </c>
      <c r="AG37" s="1460">
        <f t="shared" si="2"/>
        <v>1.4499354329425</v>
      </c>
      <c r="AH37" s="1460">
        <f t="shared" si="2"/>
        <v>1.4570919634357198</v>
      </c>
      <c r="AI37" s="1392"/>
      <c r="AJ37" s="1393"/>
      <c r="AK37" s="1393"/>
      <c r="AL37" s="1393"/>
      <c r="AM37" s="1393"/>
      <c r="AN37" s="1393"/>
      <c r="AO37" s="1393"/>
      <c r="AP37" s="1393"/>
      <c r="AQ37" s="1393"/>
      <c r="AR37" s="1393"/>
      <c r="AS37" s="1393"/>
      <c r="AT37" s="1393"/>
      <c r="AU37" s="1393"/>
      <c r="AV37" s="1393"/>
      <c r="AW37" s="1393"/>
      <c r="AX37" s="1393"/>
      <c r="AY37" s="1393"/>
      <c r="AZ37" s="1393"/>
      <c r="BA37" s="1393"/>
      <c r="BB37" s="1393"/>
      <c r="BC37" s="1393"/>
      <c r="BD37" s="1393"/>
      <c r="BE37" s="1393"/>
      <c r="BF37" s="1393"/>
      <c r="BG37" s="1457"/>
      <c r="BH37" s="1458"/>
      <c r="BI37" s="1458"/>
      <c r="BJ37" s="1459">
        <v>1565.0795460847201</v>
      </c>
      <c r="BK37" s="1459">
        <v>1505.1838964400599</v>
      </c>
      <c r="BL37" s="1459">
        <v>1537.7148397491901</v>
      </c>
      <c r="BM37" s="1459">
        <v>1608.7906247871599</v>
      </c>
      <c r="BN37" s="1459">
        <v>1626.34134822237</v>
      </c>
      <c r="BO37" s="1459">
        <v>1656.8449335666601</v>
      </c>
      <c r="BP37" s="1459">
        <v>1762.9572091406601</v>
      </c>
      <c r="BQ37" s="1459">
        <v>1787.3141760153001</v>
      </c>
      <c r="BR37" s="1459">
        <v>1796.8883164015499</v>
      </c>
      <c r="BS37" s="1459">
        <v>1902.72521302112</v>
      </c>
      <c r="BT37" s="1459">
        <v>1513.1444845907199</v>
      </c>
      <c r="BU37" s="1459">
        <v>1461.1818394856</v>
      </c>
      <c r="BV37" s="1459">
        <v>1437.9801514295</v>
      </c>
      <c r="BW37" s="1459">
        <v>1540.0044001855799</v>
      </c>
      <c r="BX37" s="1459">
        <v>1657.4989186436301</v>
      </c>
      <c r="BY37" s="1459">
        <v>1549.3990352605899</v>
      </c>
      <c r="BZ37" s="1459">
        <v>1486.77426656784</v>
      </c>
      <c r="CA37" s="1459">
        <v>1517.0276907546199</v>
      </c>
      <c r="CB37" s="1459">
        <v>1493.52262136014</v>
      </c>
      <c r="CC37" s="1459">
        <v>1522.11222452683</v>
      </c>
      <c r="CD37" s="1459">
        <v>1441.11574290966</v>
      </c>
      <c r="CE37" s="1459">
        <v>1397.37179508288</v>
      </c>
      <c r="CF37" s="1459">
        <v>1343.7985523996099</v>
      </c>
      <c r="CG37" s="1459">
        <v>1371.38825991468</v>
      </c>
      <c r="CH37" s="1459">
        <v>1449.9354329425</v>
      </c>
      <c r="CI37" s="1461">
        <v>1457.0919634357199</v>
      </c>
    </row>
    <row r="38" spans="2:87" x14ac:dyDescent="0.2">
      <c r="B38" s="1441" t="s">
        <v>675</v>
      </c>
      <c r="C38" s="1442" t="s">
        <v>149</v>
      </c>
      <c r="D38" s="1462"/>
      <c r="E38" s="1463" t="s">
        <v>443</v>
      </c>
      <c r="F38" s="1464"/>
      <c r="G38" s="1458"/>
      <c r="H38" s="1458"/>
      <c r="I38" s="1465">
        <v>0</v>
      </c>
      <c r="J38" s="1465">
        <v>0</v>
      </c>
      <c r="K38" s="1465">
        <v>0</v>
      </c>
      <c r="L38" s="1465">
        <v>0</v>
      </c>
      <c r="M38" s="1465">
        <v>0</v>
      </c>
      <c r="N38" s="1465">
        <v>0</v>
      </c>
      <c r="O38" s="1465">
        <v>0</v>
      </c>
      <c r="P38" s="1465">
        <v>0</v>
      </c>
      <c r="Q38" s="1465">
        <v>0</v>
      </c>
      <c r="R38" s="1465">
        <v>0</v>
      </c>
      <c r="S38" s="1465">
        <v>0</v>
      </c>
      <c r="T38" s="1465">
        <v>0</v>
      </c>
      <c r="U38" s="1465">
        <v>0</v>
      </c>
      <c r="V38" s="1465">
        <v>0</v>
      </c>
      <c r="W38" s="1465">
        <v>0</v>
      </c>
      <c r="X38" s="1465">
        <v>0</v>
      </c>
      <c r="Y38" s="1465">
        <v>0</v>
      </c>
      <c r="Z38" s="1465">
        <v>0</v>
      </c>
      <c r="AA38" s="1465">
        <v>0</v>
      </c>
      <c r="AB38" s="1465">
        <v>0</v>
      </c>
      <c r="AC38" s="1466">
        <f t="shared" si="2"/>
        <v>0</v>
      </c>
      <c r="AD38" s="1466">
        <f t="shared" si="2"/>
        <v>0</v>
      </c>
      <c r="AE38" s="1466">
        <f t="shared" si="2"/>
        <v>0</v>
      </c>
      <c r="AF38" s="1466">
        <f t="shared" si="2"/>
        <v>0</v>
      </c>
      <c r="AG38" s="1466">
        <f t="shared" si="2"/>
        <v>0</v>
      </c>
      <c r="AH38" s="1466">
        <f t="shared" si="2"/>
        <v>0</v>
      </c>
      <c r="AI38" s="1392"/>
      <c r="AJ38" s="1393"/>
      <c r="AK38" s="1393"/>
      <c r="AL38" s="1393"/>
      <c r="AM38" s="1393"/>
      <c r="AN38" s="1393"/>
      <c r="AO38" s="1393"/>
      <c r="AP38" s="1393"/>
      <c r="AQ38" s="1393"/>
      <c r="AR38" s="1393"/>
      <c r="AS38" s="1393"/>
      <c r="AT38" s="1393"/>
      <c r="AU38" s="1393"/>
      <c r="AV38" s="1393"/>
      <c r="AW38" s="1393"/>
      <c r="AX38" s="1393"/>
      <c r="AY38" s="1393"/>
      <c r="AZ38" s="1393"/>
      <c r="BA38" s="1393"/>
      <c r="BB38" s="1393"/>
      <c r="BC38" s="1393"/>
      <c r="BD38" s="1393"/>
      <c r="BE38" s="1393"/>
      <c r="BF38" s="1393"/>
      <c r="BG38" s="1464"/>
      <c r="BH38" s="1458"/>
      <c r="BI38" s="1458"/>
      <c r="BJ38" s="1465">
        <v>0</v>
      </c>
      <c r="BK38" s="1465">
        <v>0</v>
      </c>
      <c r="BL38" s="1465">
        <v>0</v>
      </c>
      <c r="BM38" s="1465">
        <v>0</v>
      </c>
      <c r="BN38" s="1465">
        <v>0</v>
      </c>
      <c r="BO38" s="1465">
        <v>0</v>
      </c>
      <c r="BP38" s="1465">
        <v>0</v>
      </c>
      <c r="BQ38" s="1465">
        <v>0</v>
      </c>
      <c r="BR38" s="1465">
        <v>0</v>
      </c>
      <c r="BS38" s="1465">
        <v>0</v>
      </c>
      <c r="BT38" s="1465">
        <v>0</v>
      </c>
      <c r="BU38" s="1465">
        <v>0</v>
      </c>
      <c r="BV38" s="1465">
        <v>0</v>
      </c>
      <c r="BW38" s="1465">
        <v>0</v>
      </c>
      <c r="BX38" s="1465">
        <v>0</v>
      </c>
      <c r="BY38" s="1465">
        <v>0</v>
      </c>
      <c r="BZ38" s="1465">
        <v>0</v>
      </c>
      <c r="CA38" s="1465">
        <v>0</v>
      </c>
      <c r="CB38" s="1465">
        <v>0</v>
      </c>
      <c r="CC38" s="1465">
        <v>0</v>
      </c>
      <c r="CD38" s="1465">
        <v>0</v>
      </c>
      <c r="CE38" s="1465">
        <v>0</v>
      </c>
      <c r="CF38" s="1465">
        <v>0</v>
      </c>
      <c r="CG38" s="1465">
        <v>0</v>
      </c>
      <c r="CH38" s="1465">
        <v>0</v>
      </c>
      <c r="CI38" s="1467">
        <v>0</v>
      </c>
    </row>
    <row r="39" spans="2:87" x14ac:dyDescent="0.2">
      <c r="B39" s="1441" t="s">
        <v>675</v>
      </c>
      <c r="C39" s="1442" t="s">
        <v>149</v>
      </c>
      <c r="D39" s="1462"/>
      <c r="E39" s="1468" t="s">
        <v>13</v>
      </c>
      <c r="F39" s="1464"/>
      <c r="G39" s="1458"/>
      <c r="H39" s="1458"/>
      <c r="I39" s="1465">
        <v>1565.0795460847201</v>
      </c>
      <c r="J39" s="1465">
        <v>1505.1838964400599</v>
      </c>
      <c r="K39" s="1465">
        <v>1537.7148397491901</v>
      </c>
      <c r="L39" s="1465">
        <v>1608.7906247871599</v>
      </c>
      <c r="M39" s="1465">
        <v>1626.34134822237</v>
      </c>
      <c r="N39" s="1465">
        <v>1656.8449335666601</v>
      </c>
      <c r="O39" s="1465">
        <v>1762.9572091406601</v>
      </c>
      <c r="P39" s="1465">
        <v>1787.3141760153001</v>
      </c>
      <c r="Q39" s="1465">
        <v>1796.8883164015499</v>
      </c>
      <c r="R39" s="1465">
        <v>1902.72521302112</v>
      </c>
      <c r="S39" s="1465">
        <v>1513.1444845907199</v>
      </c>
      <c r="T39" s="1465">
        <v>1461.1818394856</v>
      </c>
      <c r="U39" s="1465">
        <v>1437.9801514295</v>
      </c>
      <c r="V39" s="1465">
        <v>1540.0044001855799</v>
      </c>
      <c r="W39" s="1465">
        <v>1657.4989186436301</v>
      </c>
      <c r="X39" s="1465">
        <v>1549.3990352605899</v>
      </c>
      <c r="Y39" s="1465">
        <v>1486.77426656784</v>
      </c>
      <c r="Z39" s="1465">
        <v>1517.0276907546199</v>
      </c>
      <c r="AA39" s="1465">
        <v>1493.52262136014</v>
      </c>
      <c r="AB39" s="1465">
        <v>1522.11222452683</v>
      </c>
      <c r="AC39" s="1466">
        <f t="shared" si="2"/>
        <v>1.4411157429096599</v>
      </c>
      <c r="AD39" s="1466">
        <f t="shared" si="2"/>
        <v>1.3973717950828799</v>
      </c>
      <c r="AE39" s="1466">
        <f t="shared" si="2"/>
        <v>1.3437985523996099</v>
      </c>
      <c r="AF39" s="1466">
        <f t="shared" si="2"/>
        <v>1.3713882599146801</v>
      </c>
      <c r="AG39" s="1466">
        <f t="shared" si="2"/>
        <v>1.4499354329425</v>
      </c>
      <c r="AH39" s="1466">
        <f t="shared" si="2"/>
        <v>1.4570919634357198</v>
      </c>
      <c r="AI39" s="1392"/>
      <c r="AJ39" s="1393"/>
      <c r="AK39" s="1393"/>
      <c r="AL39" s="1393"/>
      <c r="AM39" s="1393"/>
      <c r="AN39" s="1393"/>
      <c r="AO39" s="1393"/>
      <c r="AP39" s="1393"/>
      <c r="AQ39" s="1393"/>
      <c r="AR39" s="1393"/>
      <c r="AS39" s="1393"/>
      <c r="AT39" s="1393"/>
      <c r="AU39" s="1393"/>
      <c r="AV39" s="1393"/>
      <c r="AW39" s="1393"/>
      <c r="AX39" s="1393"/>
      <c r="AY39" s="1393"/>
      <c r="AZ39" s="1393"/>
      <c r="BA39" s="1393"/>
      <c r="BB39" s="1393"/>
      <c r="BC39" s="1393"/>
      <c r="BD39" s="1393"/>
      <c r="BE39" s="1393"/>
      <c r="BF39" s="1393"/>
      <c r="BG39" s="1464"/>
      <c r="BH39" s="1458"/>
      <c r="BI39" s="1458"/>
      <c r="BJ39" s="1465">
        <v>1565.0795460847201</v>
      </c>
      <c r="BK39" s="1465">
        <v>1505.1838964400599</v>
      </c>
      <c r="BL39" s="1465">
        <v>1537.7148397491901</v>
      </c>
      <c r="BM39" s="1465">
        <v>1608.7906247871599</v>
      </c>
      <c r="BN39" s="1465">
        <v>1626.34134822237</v>
      </c>
      <c r="BO39" s="1465">
        <v>1656.8449335666601</v>
      </c>
      <c r="BP39" s="1465">
        <v>1762.9572091406601</v>
      </c>
      <c r="BQ39" s="1465">
        <v>1787.3141760153001</v>
      </c>
      <c r="BR39" s="1465">
        <v>1796.8883164015499</v>
      </c>
      <c r="BS39" s="1465">
        <v>1902.72521302112</v>
      </c>
      <c r="BT39" s="1465">
        <v>1513.1444845907199</v>
      </c>
      <c r="BU39" s="1465">
        <v>1461.1818394856</v>
      </c>
      <c r="BV39" s="1465">
        <v>1437.9801514295</v>
      </c>
      <c r="BW39" s="1465">
        <v>1540.0044001855799</v>
      </c>
      <c r="BX39" s="1465">
        <v>1657.4989186436301</v>
      </c>
      <c r="BY39" s="1465">
        <v>1549.3990352605899</v>
      </c>
      <c r="BZ39" s="1465">
        <v>1486.77426656784</v>
      </c>
      <c r="CA39" s="1465">
        <v>1517.0276907546199</v>
      </c>
      <c r="CB39" s="1465">
        <v>1493.52262136014</v>
      </c>
      <c r="CC39" s="1465">
        <v>1522.11222452683</v>
      </c>
      <c r="CD39" s="1465">
        <v>1441.11574290966</v>
      </c>
      <c r="CE39" s="1465">
        <v>1397.37179508288</v>
      </c>
      <c r="CF39" s="1465">
        <v>1343.7985523996099</v>
      </c>
      <c r="CG39" s="1465">
        <v>1371.38825991468</v>
      </c>
      <c r="CH39" s="1465">
        <v>1449.9354329425</v>
      </c>
      <c r="CI39" s="1467">
        <v>1457.0919634357199</v>
      </c>
    </row>
    <row r="40" spans="2:87" x14ac:dyDescent="0.2">
      <c r="B40" s="1434" t="s">
        <v>701</v>
      </c>
      <c r="C40" s="1435" t="s">
        <v>720</v>
      </c>
      <c r="D40" s="1469" t="s">
        <v>21</v>
      </c>
      <c r="E40" s="1470" t="s">
        <v>721</v>
      </c>
      <c r="F40" s="1470"/>
      <c r="G40" s="1471"/>
      <c r="H40" s="1471"/>
      <c r="I40" s="1472">
        <v>0</v>
      </c>
      <c r="J40" s="1472">
        <v>0</v>
      </c>
      <c r="K40" s="1472">
        <v>0</v>
      </c>
      <c r="L40" s="1472">
        <v>0</v>
      </c>
      <c r="M40" s="1472">
        <v>0</v>
      </c>
      <c r="N40" s="1472">
        <v>0</v>
      </c>
      <c r="O40" s="1472">
        <v>0</v>
      </c>
      <c r="P40" s="1472">
        <v>0</v>
      </c>
      <c r="Q40" s="1472">
        <v>0</v>
      </c>
      <c r="R40" s="1472">
        <v>0</v>
      </c>
      <c r="S40" s="1472">
        <v>0</v>
      </c>
      <c r="T40" s="1472">
        <v>0</v>
      </c>
      <c r="U40" s="1472">
        <v>0</v>
      </c>
      <c r="V40" s="1472">
        <v>0</v>
      </c>
      <c r="W40" s="1472">
        <v>0</v>
      </c>
      <c r="X40" s="1472">
        <v>0</v>
      </c>
      <c r="Y40" s="1472">
        <v>0</v>
      </c>
      <c r="Z40" s="1472">
        <v>0</v>
      </c>
      <c r="AA40" s="1472">
        <v>0</v>
      </c>
      <c r="AB40" s="1472">
        <v>0</v>
      </c>
      <c r="AC40" s="1473">
        <f t="shared" si="2"/>
        <v>0</v>
      </c>
      <c r="AD40" s="1473">
        <f t="shared" si="2"/>
        <v>0</v>
      </c>
      <c r="AE40" s="1473">
        <f t="shared" si="2"/>
        <v>0</v>
      </c>
      <c r="AF40" s="1473">
        <f t="shared" si="2"/>
        <v>0</v>
      </c>
      <c r="AG40" s="1473">
        <f t="shared" si="2"/>
        <v>0</v>
      </c>
      <c r="AH40" s="1473">
        <f t="shared" si="2"/>
        <v>0</v>
      </c>
      <c r="AI40" s="1392"/>
      <c r="AJ40" s="1393"/>
      <c r="AK40" s="1393"/>
      <c r="AL40" s="1393"/>
      <c r="AM40" s="1393"/>
      <c r="AN40" s="1393"/>
      <c r="AO40" s="1393"/>
      <c r="AP40" s="1393"/>
      <c r="AQ40" s="1393"/>
      <c r="AR40" s="1393"/>
      <c r="AS40" s="1393"/>
      <c r="AT40" s="1393"/>
      <c r="AU40" s="1393"/>
      <c r="AV40" s="1393"/>
      <c r="AW40" s="1393"/>
      <c r="AX40" s="1393"/>
      <c r="AY40" s="1393"/>
      <c r="AZ40" s="1393"/>
      <c r="BA40" s="1393"/>
      <c r="BB40" s="1393"/>
      <c r="BC40" s="1393"/>
      <c r="BD40" s="1393"/>
      <c r="BE40" s="1393"/>
      <c r="BF40" s="1393"/>
      <c r="BG40" s="1470"/>
      <c r="BH40" s="1471"/>
      <c r="BI40" s="1471"/>
      <c r="BJ40" s="1472">
        <v>0</v>
      </c>
      <c r="BK40" s="1472">
        <v>0</v>
      </c>
      <c r="BL40" s="1472">
        <v>0</v>
      </c>
      <c r="BM40" s="1472">
        <v>0</v>
      </c>
      <c r="BN40" s="1472">
        <v>0</v>
      </c>
      <c r="BO40" s="1472">
        <v>0</v>
      </c>
      <c r="BP40" s="1472">
        <v>0</v>
      </c>
      <c r="BQ40" s="1472">
        <v>0</v>
      </c>
      <c r="BR40" s="1472">
        <v>0</v>
      </c>
      <c r="BS40" s="1472">
        <v>0</v>
      </c>
      <c r="BT40" s="1472">
        <v>0</v>
      </c>
      <c r="BU40" s="1472">
        <v>0</v>
      </c>
      <c r="BV40" s="1472">
        <v>0</v>
      </c>
      <c r="BW40" s="1472">
        <v>0</v>
      </c>
      <c r="BX40" s="1472">
        <v>0</v>
      </c>
      <c r="BY40" s="1472">
        <v>0</v>
      </c>
      <c r="BZ40" s="1472">
        <v>0</v>
      </c>
      <c r="CA40" s="1472">
        <v>0</v>
      </c>
      <c r="CB40" s="1472">
        <v>0</v>
      </c>
      <c r="CC40" s="1472">
        <v>0</v>
      </c>
      <c r="CD40" s="1472">
        <v>0</v>
      </c>
      <c r="CE40" s="1472">
        <v>0</v>
      </c>
      <c r="CF40" s="1472">
        <v>0</v>
      </c>
      <c r="CG40" s="1472">
        <v>0</v>
      </c>
      <c r="CH40" s="1472">
        <v>0</v>
      </c>
      <c r="CI40" s="1474">
        <v>0</v>
      </c>
    </row>
    <row r="41" spans="2:87" x14ac:dyDescent="0.2">
      <c r="B41" s="1417"/>
      <c r="C41" s="1418" t="s">
        <v>699</v>
      </c>
      <c r="D41" s="1475" t="s">
        <v>722</v>
      </c>
      <c r="E41" s="1476"/>
      <c r="F41" s="1477"/>
      <c r="G41" s="1418"/>
      <c r="H41" s="1418"/>
      <c r="I41" s="1478">
        <v>30197.740762013502</v>
      </c>
      <c r="J41" s="1478">
        <v>30930.646608130301</v>
      </c>
      <c r="K41" s="1478">
        <v>30873.9165648749</v>
      </c>
      <c r="L41" s="1478">
        <v>28356.858204993699</v>
      </c>
      <c r="M41" s="1478">
        <v>29791.642181569299</v>
      </c>
      <c r="N41" s="1478">
        <v>31045.078841306698</v>
      </c>
      <c r="O41" s="1478">
        <v>31870.600074580201</v>
      </c>
      <c r="P41" s="1478">
        <v>30514.571777727801</v>
      </c>
      <c r="Q41" s="1478">
        <v>27054.025226257399</v>
      </c>
      <c r="R41" s="1478">
        <v>25010.3198907853</v>
      </c>
      <c r="S41" s="1478">
        <v>24477.212678086398</v>
      </c>
      <c r="T41" s="1478">
        <v>22614.497200319202</v>
      </c>
      <c r="U41" s="1478">
        <v>24051.638228142401</v>
      </c>
      <c r="V41" s="1478">
        <v>23583.819704286299</v>
      </c>
      <c r="W41" s="1478">
        <v>27578.778414388002</v>
      </c>
      <c r="X41" s="1478">
        <v>24528.588499916299</v>
      </c>
      <c r="Y41" s="1478">
        <v>25104.499487806599</v>
      </c>
      <c r="Z41" s="1478">
        <v>24823.162635661301</v>
      </c>
      <c r="AA41" s="1478">
        <v>24619.718933163</v>
      </c>
      <c r="AB41" s="1478">
        <v>18392.852691303699</v>
      </c>
      <c r="AC41" s="1479">
        <f t="shared" si="2"/>
        <v>20.300167388775801</v>
      </c>
      <c r="AD41" s="1479">
        <f t="shared" si="2"/>
        <v>21.595902816328902</v>
      </c>
      <c r="AE41" s="1479">
        <f t="shared" si="2"/>
        <v>23.654052239362802</v>
      </c>
      <c r="AF41" s="1479">
        <f t="shared" si="2"/>
        <v>22.059572337707902</v>
      </c>
      <c r="AG41" s="1479">
        <f t="shared" si="2"/>
        <v>22.5634742964404</v>
      </c>
      <c r="AH41" s="1479">
        <f t="shared" si="2"/>
        <v>21.806010002840701</v>
      </c>
      <c r="AI41" s="1392"/>
      <c r="AJ41" s="1393"/>
      <c r="AK41" s="1393"/>
      <c r="AL41" s="1393"/>
      <c r="AM41" s="1393"/>
      <c r="AN41" s="1393"/>
      <c r="AO41" s="1393"/>
      <c r="AP41" s="1393"/>
      <c r="AQ41" s="1393"/>
      <c r="AR41" s="1393"/>
      <c r="AS41" s="1393"/>
      <c r="AT41" s="1393"/>
      <c r="AU41" s="1393"/>
      <c r="AV41" s="1393"/>
      <c r="AW41" s="1393"/>
      <c r="AX41" s="1393"/>
      <c r="AY41" s="1393"/>
      <c r="AZ41" s="1393"/>
      <c r="BA41" s="1393"/>
      <c r="BB41" s="1393"/>
      <c r="BC41" s="1393"/>
      <c r="BD41" s="1393"/>
      <c r="BE41" s="1393"/>
      <c r="BF41" s="1393"/>
      <c r="BG41" s="1477"/>
      <c r="BH41" s="1418"/>
      <c r="BI41" s="1418"/>
      <c r="BJ41" s="1478">
        <v>30197.740762013502</v>
      </c>
      <c r="BK41" s="1478">
        <v>30930.646608130301</v>
      </c>
      <c r="BL41" s="1478">
        <v>30873.9165648749</v>
      </c>
      <c r="BM41" s="1478">
        <v>28356.858204993699</v>
      </c>
      <c r="BN41" s="1478">
        <v>29791.642181569299</v>
      </c>
      <c r="BO41" s="1478">
        <v>31045.078841306698</v>
      </c>
      <c r="BP41" s="1478">
        <v>31870.600074580201</v>
      </c>
      <c r="BQ41" s="1478">
        <v>30514.571777727801</v>
      </c>
      <c r="BR41" s="1478">
        <v>27054.025226257399</v>
      </c>
      <c r="BS41" s="1478">
        <v>25010.3198907853</v>
      </c>
      <c r="BT41" s="1478">
        <v>24477.212678086398</v>
      </c>
      <c r="BU41" s="1478">
        <v>22614.497200319202</v>
      </c>
      <c r="BV41" s="1478">
        <v>24051.638228142401</v>
      </c>
      <c r="BW41" s="1478">
        <v>23583.819704286299</v>
      </c>
      <c r="BX41" s="1478">
        <v>27578.778414388002</v>
      </c>
      <c r="BY41" s="1478">
        <v>24528.588499916299</v>
      </c>
      <c r="BZ41" s="1478">
        <v>25104.499487806599</v>
      </c>
      <c r="CA41" s="1478">
        <v>24823.162635661301</v>
      </c>
      <c r="CB41" s="1478">
        <v>24619.718933163</v>
      </c>
      <c r="CC41" s="1478">
        <v>18392.852691303699</v>
      </c>
      <c r="CD41" s="1478">
        <v>20300.167388775801</v>
      </c>
      <c r="CE41" s="1478">
        <v>21595.9028163289</v>
      </c>
      <c r="CF41" s="1478">
        <v>23654.052239362802</v>
      </c>
      <c r="CG41" s="1478">
        <v>22059.572337707901</v>
      </c>
      <c r="CH41" s="1478">
        <v>22563.474296440399</v>
      </c>
      <c r="CI41" s="1480">
        <v>21806.0100028407</v>
      </c>
    </row>
    <row r="42" spans="2:87" x14ac:dyDescent="0.2">
      <c r="B42" s="1417"/>
      <c r="C42" s="1418" t="s">
        <v>699</v>
      </c>
      <c r="D42" s="1481" t="s">
        <v>700</v>
      </c>
      <c r="E42" s="1482" t="s">
        <v>15</v>
      </c>
      <c r="F42" s="1482"/>
      <c r="G42" s="1418"/>
      <c r="H42" s="1418"/>
      <c r="I42" s="1483">
        <v>3909.5364261463301</v>
      </c>
      <c r="J42" s="1483">
        <v>3700.4005423100498</v>
      </c>
      <c r="K42" s="1483">
        <v>3685.4651657041099</v>
      </c>
      <c r="L42" s="1483">
        <v>3620.5957518776099</v>
      </c>
      <c r="M42" s="1483">
        <v>4092.1967285246701</v>
      </c>
      <c r="N42" s="1483">
        <v>4401.4939194333901</v>
      </c>
      <c r="O42" s="1483">
        <v>4383.5220708789202</v>
      </c>
      <c r="P42" s="1483">
        <v>4557.5292034608701</v>
      </c>
      <c r="Q42" s="1483">
        <v>4613.1451676787301</v>
      </c>
      <c r="R42" s="1483">
        <v>4591.2957199370203</v>
      </c>
      <c r="S42" s="1483">
        <v>4796.3725674878997</v>
      </c>
      <c r="T42" s="1483">
        <v>4535.4358610320296</v>
      </c>
      <c r="U42" s="1483">
        <v>4516.9444093280599</v>
      </c>
      <c r="V42" s="1483">
        <v>4553.2060233962402</v>
      </c>
      <c r="W42" s="1483">
        <v>4798.3222006392798</v>
      </c>
      <c r="X42" s="1483">
        <v>4806.3414316360204</v>
      </c>
      <c r="Y42" s="1483">
        <v>4814.40926318931</v>
      </c>
      <c r="Z42" s="1483">
        <v>4748.93720275139</v>
      </c>
      <c r="AA42" s="1483">
        <v>4324.5528630232302</v>
      </c>
      <c r="AB42" s="1483">
        <v>3230.2834423674399</v>
      </c>
      <c r="AC42" s="1484">
        <f t="shared" si="2"/>
        <v>3.4281300764181801</v>
      </c>
      <c r="AD42" s="1484">
        <f t="shared" si="2"/>
        <v>3.47199022080328</v>
      </c>
      <c r="AE42" s="1484">
        <f t="shared" si="2"/>
        <v>3.7034441605627597</v>
      </c>
      <c r="AF42" s="1484">
        <f t="shared" si="2"/>
        <v>3.3772274807003599</v>
      </c>
      <c r="AG42" s="1484">
        <f t="shared" si="2"/>
        <v>3.4023823714778501</v>
      </c>
      <c r="AH42" s="1484">
        <f t="shared" si="2"/>
        <v>3.5040144375435101</v>
      </c>
      <c r="AI42" s="1392"/>
      <c r="AJ42" s="1393"/>
      <c r="AK42" s="1393"/>
      <c r="AL42" s="1393"/>
      <c r="AM42" s="1393"/>
      <c r="AN42" s="1393"/>
      <c r="AO42" s="1393"/>
      <c r="AP42" s="1393"/>
      <c r="AQ42" s="1393"/>
      <c r="AR42" s="1393"/>
      <c r="AS42" s="1393"/>
      <c r="AT42" s="1393"/>
      <c r="AU42" s="1393"/>
      <c r="AV42" s="1393"/>
      <c r="AW42" s="1393"/>
      <c r="AX42" s="1393"/>
      <c r="AY42" s="1393"/>
      <c r="AZ42" s="1393"/>
      <c r="BA42" s="1393"/>
      <c r="BB42" s="1393"/>
      <c r="BC42" s="1393"/>
      <c r="BD42" s="1393"/>
      <c r="BE42" s="1393"/>
      <c r="BF42" s="1393"/>
      <c r="BG42" s="1482"/>
      <c r="BH42" s="1418"/>
      <c r="BI42" s="1418"/>
      <c r="BJ42" s="1483">
        <v>3909.5364261463301</v>
      </c>
      <c r="BK42" s="1483">
        <v>3700.4005423100498</v>
      </c>
      <c r="BL42" s="1483">
        <v>3685.4651657041099</v>
      </c>
      <c r="BM42" s="1483">
        <v>3620.5957518776099</v>
      </c>
      <c r="BN42" s="1483">
        <v>4092.1967285246701</v>
      </c>
      <c r="BO42" s="1483">
        <v>4401.4939194333901</v>
      </c>
      <c r="BP42" s="1483">
        <v>4383.5220708789202</v>
      </c>
      <c r="BQ42" s="1483">
        <v>4557.5292034608701</v>
      </c>
      <c r="BR42" s="1483">
        <v>4613.1451676787301</v>
      </c>
      <c r="BS42" s="1483">
        <v>4591.2957199370203</v>
      </c>
      <c r="BT42" s="1483">
        <v>4796.3725674878997</v>
      </c>
      <c r="BU42" s="1483">
        <v>4535.4358610320296</v>
      </c>
      <c r="BV42" s="1483">
        <v>4516.9444093280599</v>
      </c>
      <c r="BW42" s="1483">
        <v>4553.2060233962402</v>
      </c>
      <c r="BX42" s="1483">
        <v>4798.3222006392798</v>
      </c>
      <c r="BY42" s="1483">
        <v>4806.3414316360204</v>
      </c>
      <c r="BZ42" s="1483">
        <v>4814.40926318931</v>
      </c>
      <c r="CA42" s="1483">
        <v>4748.93720275139</v>
      </c>
      <c r="CB42" s="1483">
        <v>4324.5528630232302</v>
      </c>
      <c r="CC42" s="1483">
        <v>3230.2834423674399</v>
      </c>
      <c r="CD42" s="1483">
        <v>3428.1300764181801</v>
      </c>
      <c r="CE42" s="1483">
        <v>3471.99022080328</v>
      </c>
      <c r="CF42" s="1483">
        <v>3703.4441605627599</v>
      </c>
      <c r="CG42" s="1483">
        <v>3377.22748070036</v>
      </c>
      <c r="CH42" s="1483">
        <v>3402.38237147785</v>
      </c>
      <c r="CI42" s="1480">
        <v>3504.0144375435102</v>
      </c>
    </row>
    <row r="43" spans="2:87" x14ac:dyDescent="0.2">
      <c r="B43" s="1417" t="s">
        <v>701</v>
      </c>
      <c r="C43" s="1418" t="s">
        <v>36</v>
      </c>
      <c r="D43" s="1419"/>
      <c r="E43" s="1424"/>
      <c r="F43" s="1485" t="s">
        <v>16</v>
      </c>
      <c r="G43" s="1418"/>
      <c r="H43" s="1418"/>
      <c r="I43" s="1421">
        <v>2410.25772033871</v>
      </c>
      <c r="J43" s="1421">
        <v>2125.10642181599</v>
      </c>
      <c r="K43" s="1421">
        <v>2241.4942902048101</v>
      </c>
      <c r="L43" s="1421">
        <v>2252.6057261903502</v>
      </c>
      <c r="M43" s="1421">
        <v>2654.3350944353701</v>
      </c>
      <c r="N43" s="1421">
        <v>2949.7604560418199</v>
      </c>
      <c r="O43" s="1421">
        <v>2928.0613578704401</v>
      </c>
      <c r="P43" s="1421">
        <v>3151.7172224296801</v>
      </c>
      <c r="Q43" s="1421">
        <v>3233.0612921154898</v>
      </c>
      <c r="R43" s="1421">
        <v>3257.1777556688398</v>
      </c>
      <c r="S43" s="1421">
        <v>3548.6756492745399</v>
      </c>
      <c r="T43" s="1421">
        <v>3494.32934947278</v>
      </c>
      <c r="U43" s="1421">
        <v>3421.6585962801</v>
      </c>
      <c r="V43" s="1421">
        <v>3500.6169633320401</v>
      </c>
      <c r="W43" s="1421">
        <v>3649.0530625562501</v>
      </c>
      <c r="X43" s="1421">
        <v>3689.8642587784898</v>
      </c>
      <c r="Y43" s="1421">
        <v>3705.4547771392299</v>
      </c>
      <c r="Z43" s="1421">
        <v>3638.1361207548098</v>
      </c>
      <c r="AA43" s="1421">
        <v>3249.4736728945099</v>
      </c>
      <c r="AB43" s="1421">
        <v>2472.2170140816802</v>
      </c>
      <c r="AC43" s="1422">
        <f t="shared" si="2"/>
        <v>2.7093350733284001</v>
      </c>
      <c r="AD43" s="1422">
        <f t="shared" si="2"/>
        <v>2.71748732202076</v>
      </c>
      <c r="AE43" s="1422">
        <f t="shared" si="2"/>
        <v>2.9439122258358696</v>
      </c>
      <c r="AF43" s="1422">
        <f t="shared" si="2"/>
        <v>2.6835842882156</v>
      </c>
      <c r="AG43" s="1422">
        <f t="shared" si="2"/>
        <v>2.66726613703874</v>
      </c>
      <c r="AH43" s="1422">
        <f t="shared" si="2"/>
        <v>2.8097965324700498</v>
      </c>
      <c r="AI43" s="1392"/>
      <c r="AJ43" s="1393"/>
      <c r="AK43" s="1393"/>
      <c r="AL43" s="1393"/>
      <c r="AM43" s="1393"/>
      <c r="AN43" s="1393"/>
      <c r="AO43" s="1393"/>
      <c r="AP43" s="1393"/>
      <c r="AQ43" s="1393"/>
      <c r="AR43" s="1393"/>
      <c r="AS43" s="1393"/>
      <c r="AT43" s="1393"/>
      <c r="AU43" s="1393"/>
      <c r="AV43" s="1393"/>
      <c r="AW43" s="1393"/>
      <c r="AX43" s="1393"/>
      <c r="AY43" s="1393"/>
      <c r="AZ43" s="1393"/>
      <c r="BA43" s="1393"/>
      <c r="BB43" s="1393"/>
      <c r="BC43" s="1393"/>
      <c r="BD43" s="1393"/>
      <c r="BE43" s="1393"/>
      <c r="BF43" s="1393"/>
      <c r="BG43" s="1485" t="s">
        <v>16</v>
      </c>
      <c r="BH43" s="1418"/>
      <c r="BI43" s="1418"/>
      <c r="BJ43" s="1421">
        <v>2410.25772033871</v>
      </c>
      <c r="BK43" s="1421">
        <v>2125.10642181599</v>
      </c>
      <c r="BL43" s="1421">
        <v>2241.4942902048101</v>
      </c>
      <c r="BM43" s="1421">
        <v>2252.6057261903502</v>
      </c>
      <c r="BN43" s="1421">
        <v>2654.3350944353701</v>
      </c>
      <c r="BO43" s="1421">
        <v>2949.7604560418199</v>
      </c>
      <c r="BP43" s="1421">
        <v>2928.0613578704401</v>
      </c>
      <c r="BQ43" s="1421">
        <v>3151.7172224296801</v>
      </c>
      <c r="BR43" s="1421">
        <v>3233.0612921154898</v>
      </c>
      <c r="BS43" s="1421">
        <v>3257.1777556688398</v>
      </c>
      <c r="BT43" s="1421">
        <v>3548.6756492745399</v>
      </c>
      <c r="BU43" s="1421">
        <v>3494.32934947278</v>
      </c>
      <c r="BV43" s="1421">
        <v>3421.6585962801</v>
      </c>
      <c r="BW43" s="1421">
        <v>3500.6169633320401</v>
      </c>
      <c r="BX43" s="1421">
        <v>3649.0530625562501</v>
      </c>
      <c r="BY43" s="1421">
        <v>3689.8642587784898</v>
      </c>
      <c r="BZ43" s="1421">
        <v>3705.4547771392299</v>
      </c>
      <c r="CA43" s="1421">
        <v>3638.1361207548098</v>
      </c>
      <c r="CB43" s="1421">
        <v>3249.4736728945099</v>
      </c>
      <c r="CC43" s="1421">
        <v>2472.2170140816802</v>
      </c>
      <c r="CD43" s="1421">
        <v>2709.3350733284001</v>
      </c>
      <c r="CE43" s="1421">
        <v>2717.4873220207601</v>
      </c>
      <c r="CF43" s="1421">
        <v>2943.9122258358698</v>
      </c>
      <c r="CG43" s="1421">
        <v>2683.5842882155998</v>
      </c>
      <c r="CH43" s="1421">
        <v>2667.26613703874</v>
      </c>
      <c r="CI43" s="1423">
        <v>2809.7965324700499</v>
      </c>
    </row>
    <row r="44" spans="2:87" x14ac:dyDescent="0.2">
      <c r="B44" s="1417" t="s">
        <v>701</v>
      </c>
      <c r="C44" s="1418" t="s">
        <v>36</v>
      </c>
      <c r="D44" s="1419"/>
      <c r="E44" s="1424"/>
      <c r="F44" s="1485" t="s">
        <v>17</v>
      </c>
      <c r="G44" s="1418"/>
      <c r="H44" s="1418"/>
      <c r="I44" s="1421">
        <v>1087.5612223073799</v>
      </c>
      <c r="J44" s="1421">
        <v>1102.8511600106599</v>
      </c>
      <c r="K44" s="1421">
        <v>1118.51402167641</v>
      </c>
      <c r="L44" s="1421">
        <v>1058.9927917934299</v>
      </c>
      <c r="M44" s="1421">
        <v>1090.0474224228601</v>
      </c>
      <c r="N44" s="1421">
        <v>1125.6345602599099</v>
      </c>
      <c r="O44" s="1421">
        <v>1090.93343305506</v>
      </c>
      <c r="P44" s="1421">
        <v>987.39240792376097</v>
      </c>
      <c r="Q44" s="1421">
        <v>973.76955424143102</v>
      </c>
      <c r="R44" s="1421">
        <v>1020.00990695675</v>
      </c>
      <c r="S44" s="1421">
        <v>905.51281654182799</v>
      </c>
      <c r="T44" s="1421">
        <v>760.27281257794698</v>
      </c>
      <c r="U44" s="1421">
        <v>783.48899765332396</v>
      </c>
      <c r="V44" s="1421">
        <v>762.96041101882997</v>
      </c>
      <c r="W44" s="1421">
        <v>821.65059591069803</v>
      </c>
      <c r="X44" s="1421">
        <v>797.36978365079005</v>
      </c>
      <c r="Y44" s="1421">
        <v>793.65700910861494</v>
      </c>
      <c r="Z44" s="1421">
        <v>772.61786191299802</v>
      </c>
      <c r="AA44" s="1421">
        <v>749.49768536273302</v>
      </c>
      <c r="AB44" s="1421">
        <v>519.05497066781595</v>
      </c>
      <c r="AC44" s="1422">
        <f t="shared" si="2"/>
        <v>0.57221993654060499</v>
      </c>
      <c r="AD44" s="1422">
        <f t="shared" si="2"/>
        <v>0.59634183740868896</v>
      </c>
      <c r="AE44" s="1422">
        <f t="shared" si="2"/>
        <v>0.603682286134816</v>
      </c>
      <c r="AF44" s="1422">
        <f t="shared" si="2"/>
        <v>0.569044623425213</v>
      </c>
      <c r="AG44" s="1422">
        <f t="shared" si="2"/>
        <v>0.61343834383819296</v>
      </c>
      <c r="AH44" s="1422">
        <f t="shared" si="2"/>
        <v>0.55830803751295799</v>
      </c>
      <c r="AI44" s="1392"/>
      <c r="AJ44" s="1393"/>
      <c r="AK44" s="1393"/>
      <c r="AL44" s="1393"/>
      <c r="AM44" s="1393"/>
      <c r="AN44" s="1393"/>
      <c r="AO44" s="1393"/>
      <c r="AP44" s="1393"/>
      <c r="AQ44" s="1393"/>
      <c r="AR44" s="1393"/>
      <c r="AS44" s="1393"/>
      <c r="AT44" s="1393"/>
      <c r="AU44" s="1393"/>
      <c r="AV44" s="1393"/>
      <c r="AW44" s="1393"/>
      <c r="AX44" s="1393"/>
      <c r="AY44" s="1393"/>
      <c r="AZ44" s="1393"/>
      <c r="BA44" s="1393"/>
      <c r="BB44" s="1393"/>
      <c r="BC44" s="1393"/>
      <c r="BD44" s="1393"/>
      <c r="BE44" s="1393"/>
      <c r="BF44" s="1393"/>
      <c r="BG44" s="1485" t="s">
        <v>17</v>
      </c>
      <c r="BH44" s="1418"/>
      <c r="BI44" s="1418"/>
      <c r="BJ44" s="1421">
        <v>1087.5612223073799</v>
      </c>
      <c r="BK44" s="1421">
        <v>1102.8511600106599</v>
      </c>
      <c r="BL44" s="1421">
        <v>1118.51402167641</v>
      </c>
      <c r="BM44" s="1421">
        <v>1058.9927917934299</v>
      </c>
      <c r="BN44" s="1421">
        <v>1090.0474224228601</v>
      </c>
      <c r="BO44" s="1421">
        <v>1125.6345602599099</v>
      </c>
      <c r="BP44" s="1421">
        <v>1090.93343305506</v>
      </c>
      <c r="BQ44" s="1421">
        <v>987.39240792376097</v>
      </c>
      <c r="BR44" s="1421">
        <v>973.76955424143102</v>
      </c>
      <c r="BS44" s="1421">
        <v>1020.00990695675</v>
      </c>
      <c r="BT44" s="1421">
        <v>905.51281654182799</v>
      </c>
      <c r="BU44" s="1421">
        <v>760.27281257794698</v>
      </c>
      <c r="BV44" s="1421">
        <v>783.48899765332396</v>
      </c>
      <c r="BW44" s="1421">
        <v>762.96041101882997</v>
      </c>
      <c r="BX44" s="1421">
        <v>821.65059591069803</v>
      </c>
      <c r="BY44" s="1421">
        <v>797.36978365079005</v>
      </c>
      <c r="BZ44" s="1421">
        <v>793.65700910861494</v>
      </c>
      <c r="CA44" s="1421">
        <v>772.61786191299802</v>
      </c>
      <c r="CB44" s="1421">
        <v>749.49768536273302</v>
      </c>
      <c r="CC44" s="1421">
        <v>519.05497066781595</v>
      </c>
      <c r="CD44" s="1421">
        <v>572.21993654060498</v>
      </c>
      <c r="CE44" s="1421">
        <v>596.341837408689</v>
      </c>
      <c r="CF44" s="1421">
        <v>603.68228613481597</v>
      </c>
      <c r="CG44" s="1421">
        <v>569.04462342521299</v>
      </c>
      <c r="CH44" s="1421">
        <v>613.43834383819296</v>
      </c>
      <c r="CI44" s="1423">
        <v>558.30803751295798</v>
      </c>
    </row>
    <row r="45" spans="2:87" x14ac:dyDescent="0.2">
      <c r="B45" s="1417" t="s">
        <v>701</v>
      </c>
      <c r="C45" s="1418" t="s">
        <v>36</v>
      </c>
      <c r="D45" s="1419"/>
      <c r="E45" s="1424"/>
      <c r="F45" s="1485" t="s">
        <v>723</v>
      </c>
      <c r="G45" s="1418"/>
      <c r="H45" s="1418"/>
      <c r="I45" s="1421">
        <v>411.71748350024302</v>
      </c>
      <c r="J45" s="1421">
        <v>472.44296048340902</v>
      </c>
      <c r="K45" s="1421">
        <v>325.45685382289099</v>
      </c>
      <c r="L45" s="1421">
        <v>308.99723389382098</v>
      </c>
      <c r="M45" s="1421">
        <v>347.81421166644202</v>
      </c>
      <c r="N45" s="1421">
        <v>326.09890313166602</v>
      </c>
      <c r="O45" s="1421">
        <v>364.527279953429</v>
      </c>
      <c r="P45" s="1421">
        <v>418.41957310741998</v>
      </c>
      <c r="Q45" s="1421">
        <v>406.31432132180902</v>
      </c>
      <c r="R45" s="1421">
        <v>314.10805731143699</v>
      </c>
      <c r="S45" s="1421">
        <v>342.18410167153201</v>
      </c>
      <c r="T45" s="1421">
        <v>280.83369898130098</v>
      </c>
      <c r="U45" s="1421">
        <v>311.796815394639</v>
      </c>
      <c r="V45" s="1421">
        <v>289.62864904537503</v>
      </c>
      <c r="W45" s="1421">
        <v>327.61854217232298</v>
      </c>
      <c r="X45" s="1421">
        <v>319.10738920674299</v>
      </c>
      <c r="Y45" s="1421">
        <v>315.29747694146403</v>
      </c>
      <c r="Z45" s="1421">
        <v>338.183220083582</v>
      </c>
      <c r="AA45" s="1421">
        <v>325.58150476599297</v>
      </c>
      <c r="AB45" s="1421">
        <v>239.011457617948</v>
      </c>
      <c r="AC45" s="1422">
        <f t="shared" si="2"/>
        <v>0.14657506654917798</v>
      </c>
      <c r="AD45" s="1422">
        <f t="shared" si="2"/>
        <v>0.15816106137383801</v>
      </c>
      <c r="AE45" s="1422">
        <f t="shared" si="2"/>
        <v>0.15584964859207098</v>
      </c>
      <c r="AF45" s="1422">
        <f t="shared" si="2"/>
        <v>0.124598569059545</v>
      </c>
      <c r="AG45" s="1422">
        <f t="shared" si="2"/>
        <v>0.12167789060091801</v>
      </c>
      <c r="AH45" s="1422">
        <f t="shared" si="2"/>
        <v>0.135909867560501</v>
      </c>
      <c r="AI45" s="1392"/>
      <c r="AJ45" s="1393"/>
      <c r="AK45" s="1393"/>
      <c r="AL45" s="1393"/>
      <c r="AM45" s="1393"/>
      <c r="AN45" s="1393"/>
      <c r="AO45" s="1393"/>
      <c r="AP45" s="1393"/>
      <c r="AQ45" s="1393"/>
      <c r="AR45" s="1393"/>
      <c r="AS45" s="1393"/>
      <c r="AT45" s="1393"/>
      <c r="AU45" s="1393"/>
      <c r="AV45" s="1393"/>
      <c r="AW45" s="1393"/>
      <c r="AX45" s="1393"/>
      <c r="AY45" s="1393"/>
      <c r="AZ45" s="1393"/>
      <c r="BA45" s="1393"/>
      <c r="BB45" s="1393"/>
      <c r="BC45" s="1393"/>
      <c r="BD45" s="1393"/>
      <c r="BE45" s="1393"/>
      <c r="BF45" s="1393"/>
      <c r="BG45" s="1485" t="s">
        <v>723</v>
      </c>
      <c r="BH45" s="1418"/>
      <c r="BI45" s="1418"/>
      <c r="BJ45" s="1421">
        <v>411.71748350024302</v>
      </c>
      <c r="BK45" s="1421">
        <v>472.44296048340902</v>
      </c>
      <c r="BL45" s="1421">
        <v>325.45685382289099</v>
      </c>
      <c r="BM45" s="1421">
        <v>308.99723389382098</v>
      </c>
      <c r="BN45" s="1421">
        <v>347.81421166644202</v>
      </c>
      <c r="BO45" s="1421">
        <v>326.09890313166602</v>
      </c>
      <c r="BP45" s="1421">
        <v>364.527279953429</v>
      </c>
      <c r="BQ45" s="1421">
        <v>418.41957310741998</v>
      </c>
      <c r="BR45" s="1421">
        <v>406.31432132180902</v>
      </c>
      <c r="BS45" s="1421">
        <v>314.10805731143699</v>
      </c>
      <c r="BT45" s="1421">
        <v>342.18410167153201</v>
      </c>
      <c r="BU45" s="1421">
        <v>280.83369898130098</v>
      </c>
      <c r="BV45" s="1421">
        <v>311.796815394639</v>
      </c>
      <c r="BW45" s="1421">
        <v>289.62864904537503</v>
      </c>
      <c r="BX45" s="1421">
        <v>327.61854217232298</v>
      </c>
      <c r="BY45" s="1421">
        <v>319.10738920674299</v>
      </c>
      <c r="BZ45" s="1421">
        <v>315.29747694146403</v>
      </c>
      <c r="CA45" s="1421">
        <v>338.183220083582</v>
      </c>
      <c r="CB45" s="1421">
        <v>325.58150476599297</v>
      </c>
      <c r="CC45" s="1421">
        <v>239.011457617948</v>
      </c>
      <c r="CD45" s="1421">
        <v>146.57506654917799</v>
      </c>
      <c r="CE45" s="1421">
        <v>158.16106137383801</v>
      </c>
      <c r="CF45" s="1421">
        <v>155.84964859207099</v>
      </c>
      <c r="CG45" s="1421">
        <v>124.598569059545</v>
      </c>
      <c r="CH45" s="1421">
        <v>121.677890600918</v>
      </c>
      <c r="CI45" s="1423">
        <v>135.909867560501</v>
      </c>
    </row>
    <row r="46" spans="2:87" s="1356" customFormat="1" x14ac:dyDescent="0.2">
      <c r="B46" s="1486"/>
      <c r="C46" s="1418" t="s">
        <v>699</v>
      </c>
      <c r="D46" s="1481" t="s">
        <v>6</v>
      </c>
      <c r="E46" s="1482" t="s">
        <v>724</v>
      </c>
      <c r="F46" s="1482"/>
      <c r="G46" s="1487"/>
      <c r="H46" s="1487"/>
      <c r="I46" s="1483">
        <v>10303.35</v>
      </c>
      <c r="J46" s="1483">
        <v>9613.1820000000007</v>
      </c>
      <c r="K46" s="1483">
        <v>9565.7999999999993</v>
      </c>
      <c r="L46" s="1483">
        <v>8728.42</v>
      </c>
      <c r="M46" s="1483">
        <v>10543.538</v>
      </c>
      <c r="N46" s="1483">
        <v>10310.799999999999</v>
      </c>
      <c r="O46" s="1483">
        <v>11026</v>
      </c>
      <c r="P46" s="1483">
        <v>9503.8160000000007</v>
      </c>
      <c r="Q46" s="1483">
        <v>4869.0219999999999</v>
      </c>
      <c r="R46" s="1483">
        <v>1681.3726200000001</v>
      </c>
      <c r="S46" s="1483">
        <v>865.29067999999995</v>
      </c>
      <c r="T46" s="1483">
        <v>773.15503999999999</v>
      </c>
      <c r="U46" s="1483">
        <v>1202.6982</v>
      </c>
      <c r="V46" s="1483">
        <v>1043.20562</v>
      </c>
      <c r="W46" s="1483">
        <v>2974.7849999999999</v>
      </c>
      <c r="X46" s="1483">
        <v>2546.1120000000001</v>
      </c>
      <c r="Y46" s="1483">
        <v>1161.902</v>
      </c>
      <c r="Z46" s="1483">
        <v>1433.7384939999999</v>
      </c>
      <c r="AA46" s="1483">
        <v>2315.317258</v>
      </c>
      <c r="AB46" s="1483">
        <v>636.26397199999997</v>
      </c>
      <c r="AC46" s="1484">
        <f t="shared" si="2"/>
        <v>0</v>
      </c>
      <c r="AD46" s="1484">
        <f t="shared" si="2"/>
        <v>0</v>
      </c>
      <c r="AE46" s="1484">
        <f t="shared" si="2"/>
        <v>0</v>
      </c>
      <c r="AF46" s="1484">
        <f t="shared" si="2"/>
        <v>0</v>
      </c>
      <c r="AG46" s="1484">
        <f t="shared" si="2"/>
        <v>0</v>
      </c>
      <c r="AH46" s="1484">
        <f t="shared" si="2"/>
        <v>0</v>
      </c>
      <c r="AI46" s="1488"/>
      <c r="AJ46" s="1489"/>
      <c r="AK46" s="1489"/>
      <c r="AL46" s="1489"/>
      <c r="AM46" s="1489"/>
      <c r="AN46" s="1489"/>
      <c r="AO46" s="1489"/>
      <c r="AP46" s="1489"/>
      <c r="AQ46" s="1489"/>
      <c r="AR46" s="1489"/>
      <c r="AS46" s="1489"/>
      <c r="AT46" s="1489"/>
      <c r="AU46" s="1489"/>
      <c r="AV46" s="1489"/>
      <c r="AW46" s="1489"/>
      <c r="AX46" s="1489"/>
      <c r="AY46" s="1489"/>
      <c r="AZ46" s="1489"/>
      <c r="BA46" s="1489"/>
      <c r="BB46" s="1489"/>
      <c r="BC46" s="1489"/>
      <c r="BD46" s="1489"/>
      <c r="BE46" s="1489"/>
      <c r="BF46" s="1489"/>
      <c r="BG46" s="1482"/>
      <c r="BH46" s="1487"/>
      <c r="BI46" s="1487"/>
      <c r="BJ46" s="1483">
        <v>10303.35</v>
      </c>
      <c r="BK46" s="1483">
        <v>9613.1820000000007</v>
      </c>
      <c r="BL46" s="1483">
        <v>9565.7999999999993</v>
      </c>
      <c r="BM46" s="1483">
        <v>8728.42</v>
      </c>
      <c r="BN46" s="1483">
        <v>10543.538</v>
      </c>
      <c r="BO46" s="1483">
        <v>10310.799999999999</v>
      </c>
      <c r="BP46" s="1483">
        <v>11026</v>
      </c>
      <c r="BQ46" s="1483">
        <v>9503.8160000000007</v>
      </c>
      <c r="BR46" s="1483">
        <v>4869.0219999999999</v>
      </c>
      <c r="BS46" s="1483">
        <v>1681.3726200000001</v>
      </c>
      <c r="BT46" s="1483">
        <v>865.29067999999995</v>
      </c>
      <c r="BU46" s="1483">
        <v>773.15503999999999</v>
      </c>
      <c r="BV46" s="1483">
        <v>1202.6982</v>
      </c>
      <c r="BW46" s="1483">
        <v>1043.20562</v>
      </c>
      <c r="BX46" s="1483">
        <v>2974.7849999999999</v>
      </c>
      <c r="BY46" s="1483">
        <v>2546.1120000000001</v>
      </c>
      <c r="BZ46" s="1483">
        <v>1161.902</v>
      </c>
      <c r="CA46" s="1483">
        <v>1433.7384939999999</v>
      </c>
      <c r="CB46" s="1483">
        <v>2315.317258</v>
      </c>
      <c r="CC46" s="1483">
        <v>636.26397199999997</v>
      </c>
      <c r="CD46" s="1483">
        <v>0</v>
      </c>
      <c r="CE46" s="1483">
        <v>0</v>
      </c>
      <c r="CF46" s="1483">
        <v>0</v>
      </c>
      <c r="CG46" s="1483">
        <v>0</v>
      </c>
      <c r="CH46" s="1483">
        <v>0</v>
      </c>
      <c r="CI46" s="1480">
        <v>0</v>
      </c>
    </row>
    <row r="47" spans="2:87" x14ac:dyDescent="0.2">
      <c r="B47" s="1417" t="s">
        <v>701</v>
      </c>
      <c r="C47" s="1418" t="s">
        <v>36</v>
      </c>
      <c r="D47" s="1419"/>
      <c r="E47" s="1424"/>
      <c r="F47" s="1485" t="s">
        <v>725</v>
      </c>
      <c r="G47" s="1418"/>
      <c r="H47" s="1418"/>
      <c r="I47" s="1421">
        <v>10303.35</v>
      </c>
      <c r="J47" s="1421">
        <v>9613.1820000000007</v>
      </c>
      <c r="K47" s="1421">
        <v>9565.7999999999993</v>
      </c>
      <c r="L47" s="1421">
        <v>8728.42</v>
      </c>
      <c r="M47" s="1421">
        <v>10543.538</v>
      </c>
      <c r="N47" s="1421">
        <v>10310.799999999999</v>
      </c>
      <c r="O47" s="1421">
        <v>11026</v>
      </c>
      <c r="P47" s="1421">
        <v>9503.8160000000007</v>
      </c>
      <c r="Q47" s="1421">
        <v>4869.0219999999999</v>
      </c>
      <c r="R47" s="1421">
        <v>1681.3726200000001</v>
      </c>
      <c r="S47" s="1421">
        <v>865.29067999999995</v>
      </c>
      <c r="T47" s="1421">
        <v>773.15503999999999</v>
      </c>
      <c r="U47" s="1421">
        <v>1202.6982</v>
      </c>
      <c r="V47" s="1421">
        <v>1043.20562</v>
      </c>
      <c r="W47" s="1421">
        <v>2974.7849999999999</v>
      </c>
      <c r="X47" s="1421">
        <v>2546.1120000000001</v>
      </c>
      <c r="Y47" s="1421">
        <v>1161.902</v>
      </c>
      <c r="Z47" s="1421">
        <v>1433.7384939999999</v>
      </c>
      <c r="AA47" s="1421">
        <v>2315.317258</v>
      </c>
      <c r="AB47" s="1421">
        <v>636.26397199999997</v>
      </c>
      <c r="AC47" s="1422">
        <f t="shared" si="2"/>
        <v>0</v>
      </c>
      <c r="AD47" s="1422">
        <f t="shared" si="2"/>
        <v>0</v>
      </c>
      <c r="AE47" s="1422">
        <f t="shared" si="2"/>
        <v>0</v>
      </c>
      <c r="AF47" s="1422">
        <f t="shared" si="2"/>
        <v>0</v>
      </c>
      <c r="AG47" s="1422">
        <f t="shared" si="2"/>
        <v>0</v>
      </c>
      <c r="AH47" s="1422">
        <f t="shared" si="2"/>
        <v>0</v>
      </c>
      <c r="AI47" s="1392"/>
      <c r="AJ47" s="1393"/>
      <c r="AK47" s="1393"/>
      <c r="AL47" s="1393"/>
      <c r="AM47" s="1393"/>
      <c r="AN47" s="1393"/>
      <c r="AO47" s="1393"/>
      <c r="AP47" s="1393"/>
      <c r="AQ47" s="1393"/>
      <c r="AR47" s="1393"/>
      <c r="AS47" s="1393"/>
      <c r="AT47" s="1393"/>
      <c r="AU47" s="1393"/>
      <c r="AV47" s="1393"/>
      <c r="AW47" s="1393"/>
      <c r="AX47" s="1393"/>
      <c r="AY47" s="1393"/>
      <c r="AZ47" s="1393"/>
      <c r="BA47" s="1393"/>
      <c r="BB47" s="1393"/>
      <c r="BC47" s="1393"/>
      <c r="BD47" s="1393"/>
      <c r="BE47" s="1393"/>
      <c r="BF47" s="1393"/>
      <c r="BG47" s="1485" t="s">
        <v>725</v>
      </c>
      <c r="BH47" s="1418"/>
      <c r="BI47" s="1418"/>
      <c r="BJ47" s="1421">
        <v>10303.35</v>
      </c>
      <c r="BK47" s="1421">
        <v>9613.1820000000007</v>
      </c>
      <c r="BL47" s="1421">
        <v>9565.7999999999993</v>
      </c>
      <c r="BM47" s="1421">
        <v>8728.42</v>
      </c>
      <c r="BN47" s="1421">
        <v>10543.538</v>
      </c>
      <c r="BO47" s="1421">
        <v>10310.799999999999</v>
      </c>
      <c r="BP47" s="1421">
        <v>11026</v>
      </c>
      <c r="BQ47" s="1421">
        <v>9503.8160000000007</v>
      </c>
      <c r="BR47" s="1421">
        <v>4869.0219999999999</v>
      </c>
      <c r="BS47" s="1421">
        <v>1681.3726200000001</v>
      </c>
      <c r="BT47" s="1421">
        <v>865.29067999999995</v>
      </c>
      <c r="BU47" s="1421">
        <v>773.15503999999999</v>
      </c>
      <c r="BV47" s="1421">
        <v>1202.6982</v>
      </c>
      <c r="BW47" s="1421">
        <v>1043.20562</v>
      </c>
      <c r="BX47" s="1421">
        <v>2974.7849999999999</v>
      </c>
      <c r="BY47" s="1421">
        <v>2546.1120000000001</v>
      </c>
      <c r="BZ47" s="1421">
        <v>1161.902</v>
      </c>
      <c r="CA47" s="1421">
        <v>1433.7384939999999</v>
      </c>
      <c r="CB47" s="1421">
        <v>2315.317258</v>
      </c>
      <c r="CC47" s="1421">
        <v>636.26397199999997</v>
      </c>
      <c r="CD47" s="1421">
        <v>0</v>
      </c>
      <c r="CE47" s="1421">
        <v>0</v>
      </c>
      <c r="CF47" s="1421">
        <v>0</v>
      </c>
      <c r="CG47" s="1421">
        <v>0</v>
      </c>
      <c r="CH47" s="1421">
        <v>0</v>
      </c>
      <c r="CI47" s="1423">
        <v>0</v>
      </c>
    </row>
    <row r="48" spans="2:87" s="1356" customFormat="1" x14ac:dyDescent="0.2">
      <c r="B48" s="1486"/>
      <c r="C48" s="1418" t="s">
        <v>699</v>
      </c>
      <c r="D48" s="1481" t="s">
        <v>11</v>
      </c>
      <c r="E48" s="1482" t="s">
        <v>18</v>
      </c>
      <c r="F48" s="1482"/>
      <c r="G48" s="1487"/>
      <c r="H48" s="1487"/>
      <c r="I48" s="1483">
        <v>11165.9853422041</v>
      </c>
      <c r="J48" s="1483">
        <v>12901.0776432859</v>
      </c>
      <c r="K48" s="1483">
        <v>13088.4921373628</v>
      </c>
      <c r="L48" s="1483">
        <v>12480.876284690299</v>
      </c>
      <c r="M48" s="1483">
        <v>11630.7947484007</v>
      </c>
      <c r="N48" s="1483">
        <v>12134.107140063499</v>
      </c>
      <c r="O48" s="1483">
        <v>11989.289232621801</v>
      </c>
      <c r="P48" s="1483">
        <v>11956.8214448984</v>
      </c>
      <c r="Q48" s="1483">
        <v>12561.5662134663</v>
      </c>
      <c r="R48" s="1483">
        <v>12946.663304387799</v>
      </c>
      <c r="S48" s="1483">
        <v>13246.272594592599</v>
      </c>
      <c r="T48" s="1483">
        <v>11838.066097454401</v>
      </c>
      <c r="U48" s="1483">
        <v>11848.2489804493</v>
      </c>
      <c r="V48" s="1483">
        <v>11656.5414171184</v>
      </c>
      <c r="W48" s="1483">
        <v>11777.187404587101</v>
      </c>
      <c r="X48" s="1483">
        <v>11438.915684469999</v>
      </c>
      <c r="Y48" s="1483">
        <v>12496.871665008901</v>
      </c>
      <c r="Z48" s="1483">
        <v>11556.669793158801</v>
      </c>
      <c r="AA48" s="1483">
        <v>11174.365118678301</v>
      </c>
      <c r="AB48" s="1483">
        <v>8281.7229171601994</v>
      </c>
      <c r="AC48" s="1484">
        <f t="shared" si="2"/>
        <v>9.299788178932781</v>
      </c>
      <c r="AD48" s="1484">
        <f t="shared" si="2"/>
        <v>10.212614923277201</v>
      </c>
      <c r="AE48" s="1484">
        <f t="shared" si="2"/>
        <v>10.3757987516972</v>
      </c>
      <c r="AF48" s="1484">
        <f t="shared" si="2"/>
        <v>8.1991099413387083</v>
      </c>
      <c r="AG48" s="1484">
        <f t="shared" si="2"/>
        <v>9.1091964365511195</v>
      </c>
      <c r="AH48" s="1484">
        <f t="shared" si="2"/>
        <v>8.1644782307997499</v>
      </c>
      <c r="AI48" s="1488"/>
      <c r="AJ48" s="1489"/>
      <c r="AK48" s="1489"/>
      <c r="AL48" s="1489"/>
      <c r="AM48" s="1489"/>
      <c r="AN48" s="1489"/>
      <c r="AO48" s="1489"/>
      <c r="AP48" s="1489"/>
      <c r="AQ48" s="1489"/>
      <c r="AR48" s="1489"/>
      <c r="AS48" s="1489"/>
      <c r="AT48" s="1489"/>
      <c r="AU48" s="1489"/>
      <c r="AV48" s="1489"/>
      <c r="AW48" s="1489"/>
      <c r="AX48" s="1489"/>
      <c r="AY48" s="1489"/>
      <c r="AZ48" s="1489"/>
      <c r="BA48" s="1489"/>
      <c r="BB48" s="1489"/>
      <c r="BC48" s="1489"/>
      <c r="BD48" s="1489"/>
      <c r="BE48" s="1489"/>
      <c r="BF48" s="1489"/>
      <c r="BG48" s="1482"/>
      <c r="BH48" s="1487"/>
      <c r="BI48" s="1487"/>
      <c r="BJ48" s="1483">
        <v>11165.9853422041</v>
      </c>
      <c r="BK48" s="1483">
        <v>12901.0776432859</v>
      </c>
      <c r="BL48" s="1483">
        <v>13088.4921373628</v>
      </c>
      <c r="BM48" s="1483">
        <v>12480.876284690299</v>
      </c>
      <c r="BN48" s="1483">
        <v>11630.7947484007</v>
      </c>
      <c r="BO48" s="1483">
        <v>12134.107140063499</v>
      </c>
      <c r="BP48" s="1483">
        <v>11989.289232621801</v>
      </c>
      <c r="BQ48" s="1483">
        <v>11956.8214448984</v>
      </c>
      <c r="BR48" s="1483">
        <v>12561.5662134663</v>
      </c>
      <c r="BS48" s="1483">
        <v>12946.663304387799</v>
      </c>
      <c r="BT48" s="1483">
        <v>13246.272594592599</v>
      </c>
      <c r="BU48" s="1483">
        <v>11838.066097454401</v>
      </c>
      <c r="BV48" s="1483">
        <v>11848.2489804493</v>
      </c>
      <c r="BW48" s="1483">
        <v>11656.5414171184</v>
      </c>
      <c r="BX48" s="1483">
        <v>11777.187404587101</v>
      </c>
      <c r="BY48" s="1483">
        <v>11438.915684469999</v>
      </c>
      <c r="BZ48" s="1483">
        <v>12496.871665008901</v>
      </c>
      <c r="CA48" s="1483">
        <v>11556.669793158801</v>
      </c>
      <c r="CB48" s="1483">
        <v>11174.365118678301</v>
      </c>
      <c r="CC48" s="1483">
        <v>8281.7229171601994</v>
      </c>
      <c r="CD48" s="1483">
        <v>9299.7881789327803</v>
      </c>
      <c r="CE48" s="1483">
        <v>10212.6149232772</v>
      </c>
      <c r="CF48" s="1483">
        <v>10375.798751697201</v>
      </c>
      <c r="CG48" s="1483">
        <v>8199.1099413387092</v>
      </c>
      <c r="CH48" s="1483">
        <v>9109.1964365511194</v>
      </c>
      <c r="CI48" s="1480">
        <v>8164.4782307997502</v>
      </c>
    </row>
    <row r="49" spans="2:87" x14ac:dyDescent="0.2">
      <c r="B49" s="1417" t="s">
        <v>701</v>
      </c>
      <c r="C49" s="1418" t="s">
        <v>36</v>
      </c>
      <c r="D49" s="1419"/>
      <c r="E49" s="1420"/>
      <c r="F49" s="1420" t="s">
        <v>19</v>
      </c>
      <c r="G49" s="1418"/>
      <c r="H49" s="1418"/>
      <c r="I49" s="1421">
        <v>10479.1929575539</v>
      </c>
      <c r="J49" s="1421">
        <v>12129.458122357</v>
      </c>
      <c r="K49" s="1421">
        <v>12409.514408759</v>
      </c>
      <c r="L49" s="1421">
        <v>11839.9345242258</v>
      </c>
      <c r="M49" s="1421">
        <v>10952.185427090701</v>
      </c>
      <c r="N49" s="1421">
        <v>11433.791395529301</v>
      </c>
      <c r="O49" s="1421">
        <v>11275.633240220899</v>
      </c>
      <c r="P49" s="1421">
        <v>11106.869883532099</v>
      </c>
      <c r="Q49" s="1421">
        <v>11360.1272210921</v>
      </c>
      <c r="R49" s="1421">
        <v>11636.243292581499</v>
      </c>
      <c r="S49" s="1421">
        <v>11798.663800390101</v>
      </c>
      <c r="T49" s="1421">
        <v>10828.196161502299</v>
      </c>
      <c r="U49" s="1421">
        <v>10542.208388958799</v>
      </c>
      <c r="V49" s="1421">
        <v>10470.400365072301</v>
      </c>
      <c r="W49" s="1421">
        <v>10627.0873175777</v>
      </c>
      <c r="X49" s="1421">
        <v>10310.099310215401</v>
      </c>
      <c r="Y49" s="1421">
        <v>11272.454735535701</v>
      </c>
      <c r="Z49" s="1421">
        <v>11109.8170547028</v>
      </c>
      <c r="AA49" s="1421">
        <v>10775.386867929799</v>
      </c>
      <c r="AB49" s="1421">
        <v>8117.6085171601999</v>
      </c>
      <c r="AC49" s="1422">
        <f t="shared" si="2"/>
        <v>9.1296684732792084</v>
      </c>
      <c r="AD49" s="1422">
        <f t="shared" si="2"/>
        <v>10.042776639800101</v>
      </c>
      <c r="AE49" s="1422">
        <f t="shared" si="2"/>
        <v>10.143865063953401</v>
      </c>
      <c r="AF49" s="1422">
        <f t="shared" si="2"/>
        <v>8.008097590757691</v>
      </c>
      <c r="AG49" s="1422">
        <f t="shared" si="2"/>
        <v>8.9037203556315703</v>
      </c>
      <c r="AH49" s="1422">
        <f t="shared" si="2"/>
        <v>7.9668831746000901</v>
      </c>
      <c r="AI49" s="1392"/>
      <c r="AJ49" s="1393"/>
      <c r="AK49" s="1393"/>
      <c r="AL49" s="1393"/>
      <c r="AM49" s="1393"/>
      <c r="AN49" s="1393"/>
      <c r="AO49" s="1393"/>
      <c r="AP49" s="1393"/>
      <c r="AQ49" s="1393"/>
      <c r="AR49" s="1393"/>
      <c r="AS49" s="1393"/>
      <c r="AT49" s="1393"/>
      <c r="AU49" s="1393"/>
      <c r="AV49" s="1393"/>
      <c r="AW49" s="1393"/>
      <c r="AX49" s="1393"/>
      <c r="AY49" s="1393"/>
      <c r="AZ49" s="1393"/>
      <c r="BA49" s="1393"/>
      <c r="BB49" s="1393"/>
      <c r="BC49" s="1393"/>
      <c r="BD49" s="1393"/>
      <c r="BE49" s="1393"/>
      <c r="BF49" s="1393"/>
      <c r="BG49" s="1420" t="s">
        <v>19</v>
      </c>
      <c r="BH49" s="1418"/>
      <c r="BI49" s="1418"/>
      <c r="BJ49" s="1421">
        <v>10479.1929575539</v>
      </c>
      <c r="BK49" s="1421">
        <v>12129.458122357</v>
      </c>
      <c r="BL49" s="1421">
        <v>12409.514408759</v>
      </c>
      <c r="BM49" s="1421">
        <v>11839.9345242258</v>
      </c>
      <c r="BN49" s="1421">
        <v>10952.185427090701</v>
      </c>
      <c r="BO49" s="1421">
        <v>11433.791395529301</v>
      </c>
      <c r="BP49" s="1421">
        <v>11275.633240220899</v>
      </c>
      <c r="BQ49" s="1421">
        <v>11106.869883532099</v>
      </c>
      <c r="BR49" s="1421">
        <v>11360.1272210921</v>
      </c>
      <c r="BS49" s="1421">
        <v>11636.243292581499</v>
      </c>
      <c r="BT49" s="1421">
        <v>11798.663800390101</v>
      </c>
      <c r="BU49" s="1421">
        <v>10828.196161502299</v>
      </c>
      <c r="BV49" s="1421">
        <v>10542.208388958799</v>
      </c>
      <c r="BW49" s="1421">
        <v>10470.400365072301</v>
      </c>
      <c r="BX49" s="1421">
        <v>10627.0873175777</v>
      </c>
      <c r="BY49" s="1421">
        <v>10310.099310215401</v>
      </c>
      <c r="BZ49" s="1421">
        <v>11272.454735535701</v>
      </c>
      <c r="CA49" s="1421">
        <v>11109.8170547028</v>
      </c>
      <c r="CB49" s="1421">
        <v>10775.386867929799</v>
      </c>
      <c r="CC49" s="1421">
        <v>8117.6085171601999</v>
      </c>
      <c r="CD49" s="1421">
        <v>9129.6684732792091</v>
      </c>
      <c r="CE49" s="1421">
        <v>10042.7766398001</v>
      </c>
      <c r="CF49" s="1421">
        <v>10143.865063953401</v>
      </c>
      <c r="CG49" s="1421">
        <v>8008.0975907576903</v>
      </c>
      <c r="CH49" s="1421">
        <v>8903.7203556315708</v>
      </c>
      <c r="CI49" s="1423">
        <v>7966.8831746000897</v>
      </c>
    </row>
    <row r="50" spans="2:87" x14ac:dyDescent="0.2">
      <c r="B50" s="1417" t="s">
        <v>701</v>
      </c>
      <c r="C50" s="1418" t="s">
        <v>36</v>
      </c>
      <c r="D50" s="1419"/>
      <c r="E50" s="1420"/>
      <c r="F50" s="1420" t="s">
        <v>20</v>
      </c>
      <c r="G50" s="1418"/>
      <c r="H50" s="1418"/>
      <c r="I50" s="1421">
        <v>0</v>
      </c>
      <c r="J50" s="1421">
        <v>0</v>
      </c>
      <c r="K50" s="1421">
        <v>0</v>
      </c>
      <c r="L50" s="1421">
        <v>0</v>
      </c>
      <c r="M50" s="1421">
        <v>0</v>
      </c>
      <c r="N50" s="1421">
        <v>0</v>
      </c>
      <c r="O50" s="1421">
        <v>0</v>
      </c>
      <c r="P50" s="1421">
        <v>0</v>
      </c>
      <c r="Q50" s="1421">
        <v>0</v>
      </c>
      <c r="R50" s="1421">
        <v>0</v>
      </c>
      <c r="S50" s="1421">
        <v>0</v>
      </c>
      <c r="T50" s="1421">
        <v>0</v>
      </c>
      <c r="U50" s="1421">
        <v>0</v>
      </c>
      <c r="V50" s="1421">
        <v>0</v>
      </c>
      <c r="W50" s="1421">
        <v>0</v>
      </c>
      <c r="X50" s="1421">
        <v>0</v>
      </c>
      <c r="Y50" s="1421">
        <v>0</v>
      </c>
      <c r="Z50" s="1421">
        <v>0</v>
      </c>
      <c r="AA50" s="1421">
        <v>0</v>
      </c>
      <c r="AB50" s="1421">
        <v>0</v>
      </c>
      <c r="AC50" s="1422">
        <f t="shared" si="2"/>
        <v>0</v>
      </c>
      <c r="AD50" s="1422">
        <f t="shared" si="2"/>
        <v>0</v>
      </c>
      <c r="AE50" s="1422">
        <f t="shared" si="2"/>
        <v>0</v>
      </c>
      <c r="AF50" s="1422">
        <f t="shared" si="2"/>
        <v>0</v>
      </c>
      <c r="AG50" s="1422">
        <f t="shared" si="2"/>
        <v>0</v>
      </c>
      <c r="AH50" s="1422">
        <f t="shared" si="2"/>
        <v>0</v>
      </c>
      <c r="AI50" s="1392"/>
      <c r="AJ50" s="1393"/>
      <c r="AK50" s="1393"/>
      <c r="AL50" s="1393"/>
      <c r="AM50" s="1393"/>
      <c r="AN50" s="1393"/>
      <c r="AO50" s="1393"/>
      <c r="AP50" s="1393"/>
      <c r="AQ50" s="1393"/>
      <c r="AR50" s="1393"/>
      <c r="AS50" s="1393"/>
      <c r="AT50" s="1393"/>
      <c r="AU50" s="1393"/>
      <c r="AV50" s="1393"/>
      <c r="AW50" s="1393"/>
      <c r="AX50" s="1393"/>
      <c r="AY50" s="1393"/>
      <c r="AZ50" s="1393"/>
      <c r="BA50" s="1393"/>
      <c r="BB50" s="1393"/>
      <c r="BC50" s="1393"/>
      <c r="BD50" s="1393"/>
      <c r="BE50" s="1393"/>
      <c r="BF50" s="1393"/>
      <c r="BG50" s="1420" t="s">
        <v>20</v>
      </c>
      <c r="BH50" s="1418"/>
      <c r="BI50" s="1418"/>
      <c r="BJ50" s="1421">
        <v>0</v>
      </c>
      <c r="BK50" s="1421">
        <v>0</v>
      </c>
      <c r="BL50" s="1421">
        <v>0</v>
      </c>
      <c r="BM50" s="1421">
        <v>0</v>
      </c>
      <c r="BN50" s="1421">
        <v>0</v>
      </c>
      <c r="BO50" s="1421">
        <v>0</v>
      </c>
      <c r="BP50" s="1421">
        <v>0</v>
      </c>
      <c r="BQ50" s="1421">
        <v>0</v>
      </c>
      <c r="BR50" s="1421">
        <v>0</v>
      </c>
      <c r="BS50" s="1421">
        <v>0</v>
      </c>
      <c r="BT50" s="1421">
        <v>0</v>
      </c>
      <c r="BU50" s="1421">
        <v>0</v>
      </c>
      <c r="BV50" s="1421">
        <v>0</v>
      </c>
      <c r="BW50" s="1421">
        <v>0</v>
      </c>
      <c r="BX50" s="1421">
        <v>0</v>
      </c>
      <c r="BY50" s="1421">
        <v>0</v>
      </c>
      <c r="BZ50" s="1421">
        <v>0</v>
      </c>
      <c r="CA50" s="1421">
        <v>0</v>
      </c>
      <c r="CB50" s="1421">
        <v>0</v>
      </c>
      <c r="CC50" s="1421">
        <v>0</v>
      </c>
      <c r="CD50" s="1421">
        <v>0</v>
      </c>
      <c r="CE50" s="1421">
        <v>0</v>
      </c>
      <c r="CF50" s="1421">
        <v>0</v>
      </c>
      <c r="CG50" s="1421">
        <v>0</v>
      </c>
      <c r="CH50" s="1421">
        <v>0</v>
      </c>
      <c r="CI50" s="1423">
        <v>0</v>
      </c>
    </row>
    <row r="51" spans="2:87" x14ac:dyDescent="0.2">
      <c r="B51" s="1417" t="s">
        <v>701</v>
      </c>
      <c r="C51" s="1418" t="s">
        <v>36</v>
      </c>
      <c r="D51" s="1490"/>
      <c r="E51" s="1491"/>
      <c r="F51" s="1491" t="s">
        <v>726</v>
      </c>
      <c r="G51" s="1492"/>
      <c r="H51" s="1492"/>
      <c r="I51" s="1493">
        <v>686.79238465027697</v>
      </c>
      <c r="J51" s="1493">
        <v>771.61952092896695</v>
      </c>
      <c r="K51" s="1493">
        <v>678.97772860382804</v>
      </c>
      <c r="L51" s="1493">
        <v>640.94176046448297</v>
      </c>
      <c r="M51" s="1493">
        <v>678.60932130998799</v>
      </c>
      <c r="N51" s="1493">
        <v>700.31574453415601</v>
      </c>
      <c r="O51" s="1493">
        <v>713.65599240091603</v>
      </c>
      <c r="P51" s="1493">
        <v>849.95156136634102</v>
      </c>
      <c r="Q51" s="1493">
        <v>1201.4389923742301</v>
      </c>
      <c r="R51" s="1493">
        <v>1310.42001180633</v>
      </c>
      <c r="S51" s="1493">
        <v>1447.6087942024999</v>
      </c>
      <c r="T51" s="1493">
        <v>1009.8699359521</v>
      </c>
      <c r="U51" s="1493">
        <v>1306.04059149052</v>
      </c>
      <c r="V51" s="1493">
        <v>1186.14105204609</v>
      </c>
      <c r="W51" s="1493">
        <v>1150.1000870093401</v>
      </c>
      <c r="X51" s="1493">
        <v>1128.8163742545601</v>
      </c>
      <c r="Y51" s="1493">
        <v>1224.4169294732201</v>
      </c>
      <c r="Z51" s="1493">
        <v>446.852738455956</v>
      </c>
      <c r="AA51" s="1493">
        <v>398.97825074843502</v>
      </c>
      <c r="AB51" s="1493">
        <v>164.11439999999999</v>
      </c>
      <c r="AC51" s="1494">
        <f t="shared" si="2"/>
        <v>0.17011970565357398</v>
      </c>
      <c r="AD51" s="1494">
        <f t="shared" si="2"/>
        <v>0.169838283477141</v>
      </c>
      <c r="AE51" s="1494">
        <f t="shared" si="2"/>
        <v>0.23193368774380801</v>
      </c>
      <c r="AF51" s="1494">
        <f t="shared" si="2"/>
        <v>0.19101235058101698</v>
      </c>
      <c r="AG51" s="1494">
        <f t="shared" si="2"/>
        <v>0.20547608091955</v>
      </c>
      <c r="AH51" s="1494">
        <f t="shared" si="2"/>
        <v>0.19759505619965601</v>
      </c>
      <c r="AI51" s="1392"/>
      <c r="AJ51" s="1393"/>
      <c r="AK51" s="1393"/>
      <c r="AL51" s="1393"/>
      <c r="AM51" s="1393"/>
      <c r="AN51" s="1393"/>
      <c r="AO51" s="1393"/>
      <c r="AP51" s="1393"/>
      <c r="AQ51" s="1393"/>
      <c r="AR51" s="1393"/>
      <c r="AS51" s="1393"/>
      <c r="AT51" s="1393"/>
      <c r="AU51" s="1393"/>
      <c r="AV51" s="1393"/>
      <c r="AW51" s="1393"/>
      <c r="AX51" s="1393"/>
      <c r="AY51" s="1393"/>
      <c r="AZ51" s="1393"/>
      <c r="BA51" s="1393"/>
      <c r="BB51" s="1393"/>
      <c r="BC51" s="1393"/>
      <c r="BD51" s="1393"/>
      <c r="BE51" s="1393"/>
      <c r="BF51" s="1393"/>
      <c r="BG51" s="1491" t="s">
        <v>726</v>
      </c>
      <c r="BH51" s="1492"/>
      <c r="BI51" s="1492"/>
      <c r="BJ51" s="1493">
        <v>686.79238465027697</v>
      </c>
      <c r="BK51" s="1493">
        <v>771.61952092896695</v>
      </c>
      <c r="BL51" s="1493">
        <v>678.97772860382804</v>
      </c>
      <c r="BM51" s="1493">
        <v>640.94176046448297</v>
      </c>
      <c r="BN51" s="1493">
        <v>678.60932130998799</v>
      </c>
      <c r="BO51" s="1493">
        <v>700.31574453415601</v>
      </c>
      <c r="BP51" s="1493">
        <v>713.65599240091603</v>
      </c>
      <c r="BQ51" s="1493">
        <v>849.95156136634102</v>
      </c>
      <c r="BR51" s="1493">
        <v>1201.4389923742301</v>
      </c>
      <c r="BS51" s="1493">
        <v>1310.42001180633</v>
      </c>
      <c r="BT51" s="1493">
        <v>1447.6087942024999</v>
      </c>
      <c r="BU51" s="1493">
        <v>1009.8699359521</v>
      </c>
      <c r="BV51" s="1493">
        <v>1306.04059149052</v>
      </c>
      <c r="BW51" s="1493">
        <v>1186.14105204609</v>
      </c>
      <c r="BX51" s="1493">
        <v>1150.1000870093401</v>
      </c>
      <c r="BY51" s="1493">
        <v>1128.8163742545601</v>
      </c>
      <c r="BZ51" s="1493">
        <v>1224.4169294732201</v>
      </c>
      <c r="CA51" s="1493">
        <v>446.852738455956</v>
      </c>
      <c r="CB51" s="1493">
        <v>398.97825074843502</v>
      </c>
      <c r="CC51" s="1493">
        <v>164.11439999999999</v>
      </c>
      <c r="CD51" s="1493">
        <v>170.11970565357399</v>
      </c>
      <c r="CE51" s="1493">
        <v>169.838283477141</v>
      </c>
      <c r="CF51" s="1493">
        <v>231.93368774380801</v>
      </c>
      <c r="CG51" s="1493">
        <v>191.01235058101699</v>
      </c>
      <c r="CH51" s="1493">
        <v>205.47608091954999</v>
      </c>
      <c r="CI51" s="1495">
        <v>197.595056199656</v>
      </c>
    </row>
    <row r="52" spans="2:87" x14ac:dyDescent="0.2">
      <c r="B52" s="1441" t="s">
        <v>675</v>
      </c>
      <c r="C52" s="1442" t="s">
        <v>36</v>
      </c>
      <c r="D52" s="1496" t="s">
        <v>21</v>
      </c>
      <c r="E52" s="1497" t="s">
        <v>727</v>
      </c>
      <c r="F52" s="1457"/>
      <c r="G52" s="1497"/>
      <c r="H52" s="1457"/>
      <c r="I52" s="1465">
        <v>973.09340140022596</v>
      </c>
      <c r="J52" s="1465">
        <v>1059.4617036274001</v>
      </c>
      <c r="K52" s="1465">
        <v>832.61932896306598</v>
      </c>
      <c r="L52" s="1465">
        <v>2.7750480789205501</v>
      </c>
      <c r="M52" s="1465">
        <v>2.82546614225084</v>
      </c>
      <c r="N52" s="1465">
        <v>198.08232671394799</v>
      </c>
      <c r="O52" s="1465">
        <v>316.68122449508797</v>
      </c>
      <c r="P52" s="1465">
        <v>430.141160595945</v>
      </c>
      <c r="Q52" s="1465">
        <v>608.24949438210194</v>
      </c>
      <c r="R52" s="1465">
        <v>812.70995092641397</v>
      </c>
      <c r="S52" s="1465">
        <v>1038.0837246726801</v>
      </c>
      <c r="T52" s="1465">
        <v>1189.4879708902199</v>
      </c>
      <c r="U52" s="1465">
        <v>1347.1867296357</v>
      </c>
      <c r="V52" s="1465">
        <v>1472.7266692519399</v>
      </c>
      <c r="W52" s="1465">
        <v>1731.3433897986399</v>
      </c>
      <c r="X52" s="1465">
        <v>1964.3033542528301</v>
      </c>
      <c r="Y52" s="1465">
        <v>2047.5808014945701</v>
      </c>
      <c r="Z52" s="1465">
        <v>2274.7613782661501</v>
      </c>
      <c r="AA52" s="1465">
        <v>2243.9397041526699</v>
      </c>
      <c r="AB52" s="1465">
        <v>2531.71792045859</v>
      </c>
      <c r="AC52" s="1466">
        <f t="shared" si="2"/>
        <v>2.9158036365208999</v>
      </c>
      <c r="AD52" s="1466">
        <f t="shared" si="2"/>
        <v>3.22956839350912</v>
      </c>
      <c r="AE52" s="1466">
        <f t="shared" si="2"/>
        <v>3.3661483687445304</v>
      </c>
      <c r="AF52" s="1466">
        <f t="shared" si="2"/>
        <v>3.5458196601599603</v>
      </c>
      <c r="AG52" s="1466">
        <f t="shared" si="2"/>
        <v>3.7759625894753999</v>
      </c>
      <c r="AH52" s="1466">
        <f t="shared" si="2"/>
        <v>4.1423817605497195</v>
      </c>
      <c r="AI52" s="1392"/>
      <c r="AJ52" s="1393"/>
      <c r="AK52" s="1393"/>
      <c r="AL52" s="1393"/>
      <c r="AM52" s="1393"/>
      <c r="AN52" s="1393"/>
      <c r="AO52" s="1393"/>
      <c r="AP52" s="1393"/>
      <c r="AQ52" s="1393"/>
      <c r="AR52" s="1393"/>
      <c r="AS52" s="1393"/>
      <c r="AT52" s="1393"/>
      <c r="AU52" s="1393"/>
      <c r="AV52" s="1393"/>
      <c r="AW52" s="1393"/>
      <c r="AX52" s="1393"/>
      <c r="AY52" s="1393"/>
      <c r="AZ52" s="1393"/>
      <c r="BA52" s="1393"/>
      <c r="BB52" s="1393"/>
      <c r="BC52" s="1393"/>
      <c r="BD52" s="1393"/>
      <c r="BE52" s="1393"/>
      <c r="BF52" s="1393"/>
      <c r="BG52" s="1457"/>
      <c r="BH52" s="1497"/>
      <c r="BI52" s="1457"/>
      <c r="BJ52" s="1465">
        <v>973.09340140022596</v>
      </c>
      <c r="BK52" s="1465">
        <v>1059.4617036274001</v>
      </c>
      <c r="BL52" s="1465">
        <v>832.61932896306598</v>
      </c>
      <c r="BM52" s="1465">
        <v>2.7750480789205501</v>
      </c>
      <c r="BN52" s="1465">
        <v>2.82546614225084</v>
      </c>
      <c r="BO52" s="1465">
        <v>198.08232671394799</v>
      </c>
      <c r="BP52" s="1465">
        <v>316.68122449508797</v>
      </c>
      <c r="BQ52" s="1465">
        <v>430.141160595945</v>
      </c>
      <c r="BR52" s="1465">
        <v>608.24949438210194</v>
      </c>
      <c r="BS52" s="1465">
        <v>812.70995092641397</v>
      </c>
      <c r="BT52" s="1465">
        <v>1038.0837246726801</v>
      </c>
      <c r="BU52" s="1465">
        <v>1189.4879708902199</v>
      </c>
      <c r="BV52" s="1465">
        <v>1347.1867296357</v>
      </c>
      <c r="BW52" s="1465">
        <v>1472.7266692519399</v>
      </c>
      <c r="BX52" s="1465">
        <v>1731.3433897986399</v>
      </c>
      <c r="BY52" s="1465">
        <v>1964.3033542528301</v>
      </c>
      <c r="BZ52" s="1465">
        <v>2047.5808014945701</v>
      </c>
      <c r="CA52" s="1465">
        <v>2274.7613782661501</v>
      </c>
      <c r="CB52" s="1465">
        <v>2243.9397041526699</v>
      </c>
      <c r="CC52" s="1465">
        <v>2531.71792045859</v>
      </c>
      <c r="CD52" s="1465">
        <v>2915.8036365209</v>
      </c>
      <c r="CE52" s="1465">
        <v>3229.5683935091201</v>
      </c>
      <c r="CF52" s="1465">
        <v>3366.1483687445302</v>
      </c>
      <c r="CG52" s="1465">
        <v>3545.8196601599602</v>
      </c>
      <c r="CH52" s="1465">
        <v>3775.9625894753999</v>
      </c>
      <c r="CI52" s="1467">
        <v>4142.3817605497197</v>
      </c>
    </row>
    <row r="53" spans="2:87" s="1418" customFormat="1" x14ac:dyDescent="0.2">
      <c r="B53" s="1417" t="s">
        <v>701</v>
      </c>
      <c r="C53" s="1418" t="s">
        <v>36</v>
      </c>
      <c r="D53" s="1538" t="s">
        <v>22</v>
      </c>
      <c r="E53" s="1539" t="s">
        <v>445</v>
      </c>
      <c r="F53" s="1540"/>
      <c r="G53" s="1492"/>
      <c r="H53" s="1492"/>
      <c r="I53" s="1493">
        <v>3705.6553486307098</v>
      </c>
      <c r="J53" s="1493">
        <v>3519.5022854523099</v>
      </c>
      <c r="K53" s="1493">
        <v>3574.5134479375301</v>
      </c>
      <c r="L53" s="1493">
        <v>3390.8409311309001</v>
      </c>
      <c r="M53" s="1493">
        <v>3383.1383439092001</v>
      </c>
      <c r="N53" s="1493">
        <v>3847.9649287714301</v>
      </c>
      <c r="O53" s="1493">
        <v>4022.2616117889002</v>
      </c>
      <c r="P53" s="1493">
        <v>3917.4641587843998</v>
      </c>
      <c r="Q53" s="1493">
        <v>4182.8223240185698</v>
      </c>
      <c r="R53" s="1493">
        <v>4756.1492847122299</v>
      </c>
      <c r="S53" s="1493">
        <v>4290.8040123093397</v>
      </c>
      <c r="T53" s="1493">
        <v>4024.9279980093702</v>
      </c>
      <c r="U53" s="1493">
        <v>4941.7135174445802</v>
      </c>
      <c r="V53" s="1493">
        <v>4611.6060557576302</v>
      </c>
      <c r="W53" s="1493">
        <v>6060.2418114226302</v>
      </c>
      <c r="X53" s="1493">
        <v>3579.75642270751</v>
      </c>
      <c r="Y53" s="1493">
        <v>4389.6642443828396</v>
      </c>
      <c r="Z53" s="1493">
        <v>4581.0784093011498</v>
      </c>
      <c r="AA53" s="1493">
        <v>4370.3154261727404</v>
      </c>
      <c r="AB53" s="1493">
        <v>3553.8867117899399</v>
      </c>
      <c r="AC53" s="1494">
        <f t="shared" si="2"/>
        <v>4.50355921507537</v>
      </c>
      <c r="AD53" s="1494">
        <f t="shared" si="2"/>
        <v>4.5426195492257104</v>
      </c>
      <c r="AE53" s="1494">
        <f t="shared" si="2"/>
        <v>6.0348632361489098</v>
      </c>
      <c r="AF53" s="1494">
        <f t="shared" si="2"/>
        <v>6.7666096165446996</v>
      </c>
      <c r="AG53" s="1494">
        <f t="shared" si="2"/>
        <v>6.1289597728001803</v>
      </c>
      <c r="AH53" s="1494">
        <f t="shared" si="2"/>
        <v>5.8303782341921595</v>
      </c>
      <c r="AI53" s="1541"/>
      <c r="AJ53" s="1541"/>
      <c r="AK53" s="1541"/>
      <c r="AL53" s="1541"/>
      <c r="AM53" s="1541"/>
      <c r="AN53" s="1541"/>
      <c r="AO53" s="1541"/>
      <c r="AP53" s="1541"/>
      <c r="AQ53" s="1541"/>
      <c r="AR53" s="1541"/>
      <c r="AS53" s="1541"/>
      <c r="AT53" s="1541"/>
      <c r="AU53" s="1541"/>
      <c r="AV53" s="1541"/>
      <c r="AW53" s="1541"/>
      <c r="AX53" s="1541"/>
      <c r="AY53" s="1541"/>
      <c r="AZ53" s="1541"/>
      <c r="BA53" s="1541"/>
      <c r="BB53" s="1541"/>
      <c r="BC53" s="1541"/>
      <c r="BD53" s="1541"/>
      <c r="BE53" s="1541"/>
      <c r="BF53" s="1541"/>
      <c r="BG53" s="1540"/>
      <c r="BH53" s="1492"/>
      <c r="BI53" s="1492"/>
      <c r="BJ53" s="1493">
        <v>3705.6553486307098</v>
      </c>
      <c r="BK53" s="1493">
        <v>3519.5022854523099</v>
      </c>
      <c r="BL53" s="1493">
        <v>3574.5134479375301</v>
      </c>
      <c r="BM53" s="1493">
        <v>3390.8409311309001</v>
      </c>
      <c r="BN53" s="1493">
        <v>3383.1383439092001</v>
      </c>
      <c r="BO53" s="1493">
        <v>3847.9649287714301</v>
      </c>
      <c r="BP53" s="1493">
        <v>4022.2616117889002</v>
      </c>
      <c r="BQ53" s="1493">
        <v>3917.4641587843998</v>
      </c>
      <c r="BR53" s="1493">
        <v>4182.8223240185698</v>
      </c>
      <c r="BS53" s="1493">
        <v>4756.1492847122299</v>
      </c>
      <c r="BT53" s="1493">
        <v>4290.8040123093397</v>
      </c>
      <c r="BU53" s="1493">
        <v>4024.9279980093702</v>
      </c>
      <c r="BV53" s="1493">
        <v>4941.7135174445802</v>
      </c>
      <c r="BW53" s="1493">
        <v>4611.6060557576302</v>
      </c>
      <c r="BX53" s="1493">
        <v>6060.2418114226302</v>
      </c>
      <c r="BY53" s="1493">
        <v>3579.75642270751</v>
      </c>
      <c r="BZ53" s="1493">
        <v>4389.6642443828396</v>
      </c>
      <c r="CA53" s="1493">
        <v>4581.0784093011498</v>
      </c>
      <c r="CB53" s="1493">
        <v>4370.3154261727404</v>
      </c>
      <c r="CC53" s="1493">
        <v>3553.8867117899399</v>
      </c>
      <c r="CD53" s="1493">
        <v>4503.55921507537</v>
      </c>
      <c r="CE53" s="1493">
        <v>4542.6195492257102</v>
      </c>
      <c r="CF53" s="1493">
        <v>6034.8632361489099</v>
      </c>
      <c r="CG53" s="1493">
        <v>6766.6096165446997</v>
      </c>
      <c r="CH53" s="1493">
        <v>6128.95977280018</v>
      </c>
      <c r="CI53" s="1495">
        <v>5830.3782341921597</v>
      </c>
    </row>
    <row r="54" spans="2:87" x14ac:dyDescent="0.2">
      <c r="B54" s="1441" t="s">
        <v>675</v>
      </c>
      <c r="C54" s="1442" t="s">
        <v>36</v>
      </c>
      <c r="D54" s="1498" t="s">
        <v>34</v>
      </c>
      <c r="E54" s="1499" t="s">
        <v>728</v>
      </c>
      <c r="F54" s="1500"/>
      <c r="G54" s="1501"/>
      <c r="H54" s="1501"/>
      <c r="I54" s="1502">
        <v>140.12024363212501</v>
      </c>
      <c r="J54" s="1502">
        <v>137.02243345464001</v>
      </c>
      <c r="K54" s="1502">
        <v>127.02648490729401</v>
      </c>
      <c r="L54" s="1502">
        <v>133.35018921595901</v>
      </c>
      <c r="M54" s="1502">
        <v>139.14889459241201</v>
      </c>
      <c r="N54" s="1502">
        <v>152.630526324486</v>
      </c>
      <c r="O54" s="1502">
        <v>132.845934795403</v>
      </c>
      <c r="P54" s="1502">
        <v>148.79980998822299</v>
      </c>
      <c r="Q54" s="1502">
        <v>219.220026711663</v>
      </c>
      <c r="R54" s="1502">
        <v>222.129010821848</v>
      </c>
      <c r="S54" s="1502">
        <v>240.38909902392899</v>
      </c>
      <c r="T54" s="1502">
        <v>253.42423293316</v>
      </c>
      <c r="U54" s="1502">
        <v>194.846391284737</v>
      </c>
      <c r="V54" s="1502">
        <v>246.533918762155</v>
      </c>
      <c r="W54" s="1502">
        <v>236.898607940408</v>
      </c>
      <c r="X54" s="1502">
        <v>193.159606849949</v>
      </c>
      <c r="Y54" s="1502">
        <v>194.07151373094999</v>
      </c>
      <c r="Z54" s="1502">
        <v>227.977358183783</v>
      </c>
      <c r="AA54" s="1502">
        <v>191.22856313610501</v>
      </c>
      <c r="AB54" s="1502">
        <v>158.97772752748301</v>
      </c>
      <c r="AC54" s="1503">
        <f t="shared" si="2"/>
        <v>0.15288628182860001</v>
      </c>
      <c r="AD54" s="1503">
        <f t="shared" si="2"/>
        <v>0.13910972951353098</v>
      </c>
      <c r="AE54" s="1503">
        <f t="shared" si="2"/>
        <v>0.17379772220937301</v>
      </c>
      <c r="AF54" s="1503">
        <f t="shared" si="2"/>
        <v>0.17080563896412099</v>
      </c>
      <c r="AG54" s="1503">
        <f t="shared" si="2"/>
        <v>0.14697312613581201</v>
      </c>
      <c r="AH54" s="1503">
        <f t="shared" si="2"/>
        <v>0.16475733975555801</v>
      </c>
      <c r="AI54" s="1392"/>
      <c r="AJ54" s="1393"/>
      <c r="AK54" s="1393"/>
      <c r="AL54" s="1393"/>
      <c r="AM54" s="1393"/>
      <c r="AN54" s="1393"/>
      <c r="AO54" s="1393"/>
      <c r="AP54" s="1393"/>
      <c r="AQ54" s="1393"/>
      <c r="AR54" s="1393"/>
      <c r="AS54" s="1393"/>
      <c r="AT54" s="1393"/>
      <c r="AU54" s="1393"/>
      <c r="AV54" s="1393"/>
      <c r="AW54" s="1393"/>
      <c r="AX54" s="1393"/>
      <c r="AY54" s="1393"/>
      <c r="AZ54" s="1393"/>
      <c r="BA54" s="1393"/>
      <c r="BB54" s="1393"/>
      <c r="BC54" s="1393"/>
      <c r="BD54" s="1393"/>
      <c r="BE54" s="1393"/>
      <c r="BF54" s="1393"/>
      <c r="BG54" s="1500"/>
      <c r="BH54" s="1501"/>
      <c r="BI54" s="1501"/>
      <c r="BJ54" s="1502">
        <v>140.12024363212501</v>
      </c>
      <c r="BK54" s="1502">
        <v>137.02243345464001</v>
      </c>
      <c r="BL54" s="1502">
        <v>127.02648490729401</v>
      </c>
      <c r="BM54" s="1502">
        <v>133.35018921595901</v>
      </c>
      <c r="BN54" s="1502">
        <v>139.14889459241201</v>
      </c>
      <c r="BO54" s="1502">
        <v>152.630526324486</v>
      </c>
      <c r="BP54" s="1502">
        <v>132.845934795403</v>
      </c>
      <c r="BQ54" s="1502">
        <v>148.79980998822299</v>
      </c>
      <c r="BR54" s="1502">
        <v>219.220026711663</v>
      </c>
      <c r="BS54" s="1502">
        <v>222.129010821848</v>
      </c>
      <c r="BT54" s="1502">
        <v>240.38909902392899</v>
      </c>
      <c r="BU54" s="1502">
        <v>253.42423293316</v>
      </c>
      <c r="BV54" s="1502">
        <v>194.846391284737</v>
      </c>
      <c r="BW54" s="1502">
        <v>246.533918762155</v>
      </c>
      <c r="BX54" s="1502">
        <v>236.898607940408</v>
      </c>
      <c r="BY54" s="1502">
        <v>193.159606849949</v>
      </c>
      <c r="BZ54" s="1502">
        <v>194.07151373094999</v>
      </c>
      <c r="CA54" s="1502">
        <v>227.977358183783</v>
      </c>
      <c r="CB54" s="1502">
        <v>191.22856313610501</v>
      </c>
      <c r="CC54" s="1502">
        <v>158.97772752748301</v>
      </c>
      <c r="CD54" s="1502">
        <v>152.8862818286</v>
      </c>
      <c r="CE54" s="1502">
        <v>139.10972951353099</v>
      </c>
      <c r="CF54" s="1502">
        <v>173.79772220937301</v>
      </c>
      <c r="CG54" s="1502">
        <v>170.80563896412099</v>
      </c>
      <c r="CH54" s="1502">
        <v>146.97312613581201</v>
      </c>
      <c r="CI54" s="1504">
        <v>164.75733975555801</v>
      </c>
    </row>
    <row r="55" spans="2:87" x14ac:dyDescent="0.2">
      <c r="B55" s="1441" t="s">
        <v>675</v>
      </c>
      <c r="C55" s="1442" t="s">
        <v>447</v>
      </c>
      <c r="D55" s="1505" t="s">
        <v>23</v>
      </c>
      <c r="E55" s="1506"/>
      <c r="F55" s="1506"/>
      <c r="G55" s="1442"/>
      <c r="H55" s="1442"/>
      <c r="I55" s="1507">
        <v>10519.484177693999</v>
      </c>
      <c r="J55" s="1507">
        <v>10241.3447587638</v>
      </c>
      <c r="K55" s="1507">
        <v>10235.312044689401</v>
      </c>
      <c r="L55" s="1507">
        <v>10149.6548611206</v>
      </c>
      <c r="M55" s="1507">
        <v>10358.7489110693</v>
      </c>
      <c r="N55" s="1508">
        <v>10688.683589604399</v>
      </c>
      <c r="O55" s="1508">
        <v>10597.888244719699</v>
      </c>
      <c r="P55" s="1508">
        <v>10475.975862503899</v>
      </c>
      <c r="Q55" s="1508">
        <v>10533.716840033199</v>
      </c>
      <c r="R55" s="1508">
        <v>10500.3324977137</v>
      </c>
      <c r="S55" s="1508">
        <v>10274.0111473997</v>
      </c>
      <c r="T55" s="1508">
        <v>10050.264101312299</v>
      </c>
      <c r="U55" s="1508">
        <v>10294.185212750201</v>
      </c>
      <c r="V55" s="1508">
        <v>10554.940338201901</v>
      </c>
      <c r="W55" s="1508">
        <v>10505.360290525299</v>
      </c>
      <c r="X55" s="1508">
        <v>10220.935366547399</v>
      </c>
      <c r="Y55" s="1508">
        <v>10728.547811173101</v>
      </c>
      <c r="Z55" s="1508">
        <v>10349.985164142499</v>
      </c>
      <c r="AA55" s="1508">
        <v>9920.1075593612204</v>
      </c>
      <c r="AB55" s="1508">
        <v>10264.6584210008</v>
      </c>
      <c r="AC55" s="1509">
        <f t="shared" si="2"/>
        <v>10.440966476061</v>
      </c>
      <c r="AD55" s="1509">
        <f t="shared" si="2"/>
        <v>9.8661980190880012</v>
      </c>
      <c r="AE55" s="1509">
        <f t="shared" si="2"/>
        <v>9.7394322844284194</v>
      </c>
      <c r="AF55" s="1509">
        <f t="shared" si="2"/>
        <v>10.155591958415799</v>
      </c>
      <c r="AG55" s="1509">
        <f t="shared" si="2"/>
        <v>9.8646988303758292</v>
      </c>
      <c r="AH55" s="1509">
        <f t="shared" si="2"/>
        <v>9.6575409198612903</v>
      </c>
      <c r="AI55" s="1392"/>
      <c r="AJ55" s="1393"/>
      <c r="AK55" s="1393"/>
      <c r="AL55" s="1393"/>
      <c r="AM55" s="1393"/>
      <c r="AN55" s="1393"/>
      <c r="AO55" s="1393"/>
      <c r="AP55" s="1393"/>
      <c r="AQ55" s="1393"/>
      <c r="AR55" s="1393"/>
      <c r="AS55" s="1393"/>
      <c r="AT55" s="1393"/>
      <c r="AU55" s="1393"/>
      <c r="AV55" s="1393"/>
      <c r="AW55" s="1393"/>
      <c r="AX55" s="1393"/>
      <c r="AY55" s="1393"/>
      <c r="AZ55" s="1393"/>
      <c r="BA55" s="1393"/>
      <c r="BB55" s="1393"/>
      <c r="BC55" s="1393"/>
      <c r="BD55" s="1393"/>
      <c r="BE55" s="1393"/>
      <c r="BF55" s="1393"/>
      <c r="BG55" s="1506"/>
      <c r="BH55" s="1442"/>
      <c r="BI55" s="1442"/>
      <c r="BJ55" s="1507">
        <v>10519.484177693999</v>
      </c>
      <c r="BK55" s="1507">
        <v>10241.3447587638</v>
      </c>
      <c r="BL55" s="1507">
        <v>10235.312044689401</v>
      </c>
      <c r="BM55" s="1507">
        <v>10149.6548611206</v>
      </c>
      <c r="BN55" s="1507">
        <v>10358.7489110693</v>
      </c>
      <c r="BO55" s="1508">
        <v>10688.683589604399</v>
      </c>
      <c r="BP55" s="1508">
        <v>10597.888244719699</v>
      </c>
      <c r="BQ55" s="1508">
        <v>10475.975862503899</v>
      </c>
      <c r="BR55" s="1508">
        <v>10533.716840033199</v>
      </c>
      <c r="BS55" s="1508">
        <v>10500.3324977137</v>
      </c>
      <c r="BT55" s="1508">
        <v>10274.0111473997</v>
      </c>
      <c r="BU55" s="1508">
        <v>10050.264101312299</v>
      </c>
      <c r="BV55" s="1508">
        <v>10294.185212750201</v>
      </c>
      <c r="BW55" s="1508">
        <v>10554.940338201901</v>
      </c>
      <c r="BX55" s="1508">
        <v>10505.360290525299</v>
      </c>
      <c r="BY55" s="1508">
        <v>10220.935366547399</v>
      </c>
      <c r="BZ55" s="1508">
        <v>10728.547811173101</v>
      </c>
      <c r="CA55" s="1508">
        <v>10349.985164142499</v>
      </c>
      <c r="CB55" s="1508">
        <v>9920.1075593612204</v>
      </c>
      <c r="CC55" s="1508">
        <v>10264.6584210008</v>
      </c>
      <c r="CD55" s="1508">
        <v>10440.966476060999</v>
      </c>
      <c r="CE55" s="1508">
        <v>9866.1980190880004</v>
      </c>
      <c r="CF55" s="1508">
        <v>9739.4322844284197</v>
      </c>
      <c r="CG55" s="1508">
        <v>10155.5919584158</v>
      </c>
      <c r="CH55" s="1508">
        <v>9864.6988303758299</v>
      </c>
      <c r="CI55" s="1510">
        <v>9657.5409198612906</v>
      </c>
    </row>
    <row r="56" spans="2:87" x14ac:dyDescent="0.2">
      <c r="B56" s="1441"/>
      <c r="C56" s="1442"/>
      <c r="D56" s="1511" t="s">
        <v>700</v>
      </c>
      <c r="E56" s="1512" t="s">
        <v>729</v>
      </c>
      <c r="F56" s="1512"/>
      <c r="G56" s="1442"/>
      <c r="H56" s="1442"/>
      <c r="I56" s="1465">
        <v>4437.5102330889604</v>
      </c>
      <c r="J56" s="1465">
        <v>4446.1021676104001</v>
      </c>
      <c r="K56" s="1465">
        <v>4467.1127777257398</v>
      </c>
      <c r="L56" s="1465">
        <v>4381.5618166795803</v>
      </c>
      <c r="M56" s="1465">
        <v>4463.6098433921898</v>
      </c>
      <c r="N56" s="1445">
        <v>4596.0682813185904</v>
      </c>
      <c r="O56" s="1445">
        <v>4650.3981008554401</v>
      </c>
      <c r="P56" s="1445">
        <v>4598.8744170169703</v>
      </c>
      <c r="Q56" s="1445">
        <v>4504.5293919715396</v>
      </c>
      <c r="R56" s="1445">
        <v>4397.88736230004</v>
      </c>
      <c r="S56" s="1445">
        <v>4320.9708968527702</v>
      </c>
      <c r="T56" s="1445">
        <v>4327.93951712137</v>
      </c>
      <c r="U56" s="1445">
        <v>4322.8040266839898</v>
      </c>
      <c r="V56" s="1445">
        <v>4399.2769040863604</v>
      </c>
      <c r="W56" s="1445">
        <v>4371.3570282748296</v>
      </c>
      <c r="X56" s="1445">
        <v>4294.4649168519099</v>
      </c>
      <c r="Y56" s="1445">
        <v>4130.7131683215403</v>
      </c>
      <c r="Z56" s="1445">
        <v>3965.4199470356202</v>
      </c>
      <c r="AA56" s="1445">
        <v>3875.3619281207698</v>
      </c>
      <c r="AB56" s="1445">
        <v>3691.38104366576</v>
      </c>
      <c r="AC56" s="1446">
        <f t="shared" si="2"/>
        <v>3.6579312478218498</v>
      </c>
      <c r="AD56" s="1446">
        <f t="shared" si="2"/>
        <v>3.5886146062381501</v>
      </c>
      <c r="AE56" s="1446">
        <f t="shared" si="2"/>
        <v>3.5809258068995402</v>
      </c>
      <c r="AF56" s="1446">
        <f t="shared" si="2"/>
        <v>3.6020969778941998</v>
      </c>
      <c r="AG56" s="1446">
        <f t="shared" si="2"/>
        <v>3.5922627126475799</v>
      </c>
      <c r="AH56" s="1446">
        <f t="shared" si="2"/>
        <v>3.5945714204191899</v>
      </c>
      <c r="AI56" s="1392"/>
      <c r="AJ56" s="1393"/>
      <c r="AK56" s="1393"/>
      <c r="AL56" s="1393"/>
      <c r="AM56" s="1393"/>
      <c r="AN56" s="1393"/>
      <c r="AO56" s="1393"/>
      <c r="AP56" s="1393"/>
      <c r="AQ56" s="1393"/>
      <c r="AR56" s="1393"/>
      <c r="AS56" s="1393"/>
      <c r="AT56" s="1393"/>
      <c r="AU56" s="1393"/>
      <c r="AV56" s="1393"/>
      <c r="AW56" s="1393"/>
      <c r="AX56" s="1393"/>
      <c r="AY56" s="1393"/>
      <c r="AZ56" s="1393"/>
      <c r="BA56" s="1393"/>
      <c r="BB56" s="1393"/>
      <c r="BC56" s="1393"/>
      <c r="BD56" s="1393"/>
      <c r="BE56" s="1393"/>
      <c r="BF56" s="1393"/>
      <c r="BG56" s="1512"/>
      <c r="BH56" s="1442"/>
      <c r="BI56" s="1442"/>
      <c r="BJ56" s="1465">
        <v>4437.5102330889604</v>
      </c>
      <c r="BK56" s="1465">
        <v>4446.1021676104001</v>
      </c>
      <c r="BL56" s="1465">
        <v>4467.1127777257398</v>
      </c>
      <c r="BM56" s="1465">
        <v>4381.5618166795803</v>
      </c>
      <c r="BN56" s="1465">
        <v>4463.6098433921898</v>
      </c>
      <c r="BO56" s="1445">
        <v>4596.0682813185904</v>
      </c>
      <c r="BP56" s="1445">
        <v>4650.3981008554401</v>
      </c>
      <c r="BQ56" s="1445">
        <v>4598.8744170169703</v>
      </c>
      <c r="BR56" s="1445">
        <v>4504.5293919715396</v>
      </c>
      <c r="BS56" s="1445">
        <v>4397.88736230004</v>
      </c>
      <c r="BT56" s="1445">
        <v>4320.9708968527702</v>
      </c>
      <c r="BU56" s="1445">
        <v>4327.93951712137</v>
      </c>
      <c r="BV56" s="1445">
        <v>4322.8040266839898</v>
      </c>
      <c r="BW56" s="1445">
        <v>4399.2769040863604</v>
      </c>
      <c r="BX56" s="1445">
        <v>4371.3570282748296</v>
      </c>
      <c r="BY56" s="1445">
        <v>4294.4649168519099</v>
      </c>
      <c r="BZ56" s="1445">
        <v>4130.7131683215403</v>
      </c>
      <c r="CA56" s="1445">
        <v>3965.4199470356202</v>
      </c>
      <c r="CB56" s="1445">
        <v>3875.3619281207698</v>
      </c>
      <c r="CC56" s="1445">
        <v>3691.38104366576</v>
      </c>
      <c r="CD56" s="1445">
        <v>3657.9312478218499</v>
      </c>
      <c r="CE56" s="1445">
        <v>3588.6146062381499</v>
      </c>
      <c r="CF56" s="1445">
        <v>3580.92580689954</v>
      </c>
      <c r="CG56" s="1445">
        <v>3602.0969778941999</v>
      </c>
      <c r="CH56" s="1445">
        <v>3592.26271264758</v>
      </c>
      <c r="CI56" s="1447">
        <v>3594.57142041919</v>
      </c>
    </row>
    <row r="57" spans="2:87" x14ac:dyDescent="0.2">
      <c r="B57" s="1441"/>
      <c r="C57" s="1442"/>
      <c r="D57" s="1511" t="s">
        <v>6</v>
      </c>
      <c r="E57" s="1512" t="s">
        <v>730</v>
      </c>
      <c r="F57" s="1512"/>
      <c r="G57" s="1442"/>
      <c r="H57" s="1442"/>
      <c r="I57" s="1465">
        <v>2094.8301777237202</v>
      </c>
      <c r="J57" s="1465">
        <v>2082.7178857655899</v>
      </c>
      <c r="K57" s="1465">
        <v>2093.6422368818398</v>
      </c>
      <c r="L57" s="1465">
        <v>2050.07629912729</v>
      </c>
      <c r="M57" s="1465">
        <v>2078.57992268616</v>
      </c>
      <c r="N57" s="1445">
        <v>2133.8207161191599</v>
      </c>
      <c r="O57" s="1445">
        <v>2136.6281146862598</v>
      </c>
      <c r="P57" s="1445">
        <v>2139.5070878444599</v>
      </c>
      <c r="Q57" s="1445">
        <v>2155.34162264835</v>
      </c>
      <c r="R57" s="1445">
        <v>2149.7047317618599</v>
      </c>
      <c r="S57" s="1445">
        <v>2158.34784912736</v>
      </c>
      <c r="T57" s="1445">
        <v>2170.6737477316201</v>
      </c>
      <c r="U57" s="1445">
        <v>2191.5890667123999</v>
      </c>
      <c r="V57" s="1445">
        <v>2235.91620814115</v>
      </c>
      <c r="W57" s="1445">
        <v>2226.4963638112799</v>
      </c>
      <c r="X57" s="1445">
        <v>2235.8273206007698</v>
      </c>
      <c r="Y57" s="1445">
        <v>2184.0173649312501</v>
      </c>
      <c r="Z57" s="1445">
        <v>2094.7617088582401</v>
      </c>
      <c r="AA57" s="1445">
        <v>2005.0946163011599</v>
      </c>
      <c r="AB57" s="1445">
        <v>1933.3484007455299</v>
      </c>
      <c r="AC57" s="1446">
        <f t="shared" si="2"/>
        <v>1.91180448365926</v>
      </c>
      <c r="AD57" s="1446">
        <f t="shared" si="2"/>
        <v>1.89449557800038</v>
      </c>
      <c r="AE57" s="1446">
        <f t="shared" si="2"/>
        <v>1.8966378031937499</v>
      </c>
      <c r="AF57" s="1446">
        <f t="shared" si="2"/>
        <v>1.8947766529452899</v>
      </c>
      <c r="AG57" s="1446">
        <f t="shared" si="2"/>
        <v>1.9022321773837301</v>
      </c>
      <c r="AH57" s="1446">
        <f t="shared" si="2"/>
        <v>1.9212501674496401</v>
      </c>
      <c r="AI57" s="1392"/>
      <c r="AJ57" s="1393"/>
      <c r="AK57" s="1393"/>
      <c r="AL57" s="1393"/>
      <c r="AM57" s="1393"/>
      <c r="AN57" s="1393"/>
      <c r="AO57" s="1393"/>
      <c r="AP57" s="1393"/>
      <c r="AQ57" s="1393"/>
      <c r="AR57" s="1393"/>
      <c r="AS57" s="1393"/>
      <c r="AT57" s="1393"/>
      <c r="AU57" s="1393"/>
      <c r="AV57" s="1393"/>
      <c r="AW57" s="1393"/>
      <c r="AX57" s="1393"/>
      <c r="AY57" s="1393"/>
      <c r="AZ57" s="1393"/>
      <c r="BA57" s="1393"/>
      <c r="BB57" s="1393"/>
      <c r="BC57" s="1393"/>
      <c r="BD57" s="1393"/>
      <c r="BE57" s="1393"/>
      <c r="BF57" s="1393"/>
      <c r="BG57" s="1512"/>
      <c r="BH57" s="1442"/>
      <c r="BI57" s="1442"/>
      <c r="BJ57" s="1465">
        <v>2094.8301777237202</v>
      </c>
      <c r="BK57" s="1465">
        <v>2082.7178857655899</v>
      </c>
      <c r="BL57" s="1465">
        <v>2093.6422368818398</v>
      </c>
      <c r="BM57" s="1465">
        <v>2050.07629912729</v>
      </c>
      <c r="BN57" s="1465">
        <v>2078.57992268616</v>
      </c>
      <c r="BO57" s="1445">
        <v>2133.8207161191599</v>
      </c>
      <c r="BP57" s="1445">
        <v>2136.6281146862598</v>
      </c>
      <c r="BQ57" s="1445">
        <v>2139.5070878444599</v>
      </c>
      <c r="BR57" s="1445">
        <v>2155.34162264835</v>
      </c>
      <c r="BS57" s="1445">
        <v>2149.7047317618599</v>
      </c>
      <c r="BT57" s="1445">
        <v>2158.34784912736</v>
      </c>
      <c r="BU57" s="1445">
        <v>2170.6737477316201</v>
      </c>
      <c r="BV57" s="1445">
        <v>2191.5890667123999</v>
      </c>
      <c r="BW57" s="1445">
        <v>2235.91620814115</v>
      </c>
      <c r="BX57" s="1445">
        <v>2226.4963638112799</v>
      </c>
      <c r="BY57" s="1445">
        <v>2235.8273206007698</v>
      </c>
      <c r="BZ57" s="1445">
        <v>2184.0173649312501</v>
      </c>
      <c r="CA57" s="1445">
        <v>2094.7617088582401</v>
      </c>
      <c r="CB57" s="1445">
        <v>2005.0946163011599</v>
      </c>
      <c r="CC57" s="1445">
        <v>1933.3484007455299</v>
      </c>
      <c r="CD57" s="1445">
        <v>1911.8044836592601</v>
      </c>
      <c r="CE57" s="1445">
        <v>1894.49557800038</v>
      </c>
      <c r="CF57" s="1445">
        <v>1896.63780319375</v>
      </c>
      <c r="CG57" s="1445">
        <v>1894.7766529452899</v>
      </c>
      <c r="CH57" s="1445">
        <v>1902.23217738373</v>
      </c>
      <c r="CI57" s="1447">
        <v>1921.25016744964</v>
      </c>
    </row>
    <row r="58" spans="2:87" x14ac:dyDescent="0.2">
      <c r="B58" s="1441"/>
      <c r="C58" s="1442"/>
      <c r="D58" s="1511" t="s">
        <v>11</v>
      </c>
      <c r="E58" s="1512" t="s">
        <v>731</v>
      </c>
      <c r="F58" s="1512"/>
      <c r="G58" s="1442"/>
      <c r="H58" s="1442"/>
      <c r="I58" s="1513">
        <v>3732.4432849955401</v>
      </c>
      <c r="J58" s="1513">
        <v>3489.33696837764</v>
      </c>
      <c r="K58" s="1513">
        <v>3449.0836292182498</v>
      </c>
      <c r="L58" s="1513">
        <v>3497.3872253008299</v>
      </c>
      <c r="M58" s="1513">
        <v>3567.3034985828799</v>
      </c>
      <c r="N58" s="1513">
        <v>3683.96740248591</v>
      </c>
      <c r="O58" s="1513">
        <v>3538.0637136926398</v>
      </c>
      <c r="P58" s="1513">
        <v>3466.4766367331499</v>
      </c>
      <c r="Q58" s="1513">
        <v>3643.5392517953901</v>
      </c>
      <c r="R58" s="1513">
        <v>3728.7657747460898</v>
      </c>
      <c r="S58" s="1513">
        <v>3522.2379678748798</v>
      </c>
      <c r="T58" s="1513">
        <v>3422.54877044147</v>
      </c>
      <c r="U58" s="1513">
        <v>3553.8381657862801</v>
      </c>
      <c r="V58" s="1513">
        <v>3722.4358647008698</v>
      </c>
      <c r="W58" s="1513">
        <v>3722.9420095636201</v>
      </c>
      <c r="X58" s="1513">
        <v>3526.7562741792899</v>
      </c>
      <c r="Y58" s="1513">
        <v>4220.1448586288498</v>
      </c>
      <c r="Z58" s="1513">
        <v>4077.2225962757798</v>
      </c>
      <c r="AA58" s="1513">
        <v>3925.0740836100999</v>
      </c>
      <c r="AB58" s="1513">
        <v>4428.6323918567596</v>
      </c>
      <c r="AC58" s="1514">
        <f t="shared" si="2"/>
        <v>4.6876504699943196</v>
      </c>
      <c r="AD58" s="1514">
        <f t="shared" si="2"/>
        <v>4.18232363405654</v>
      </c>
      <c r="AE58" s="1514">
        <f t="shared" si="2"/>
        <v>4.06373760865129</v>
      </c>
      <c r="AF58" s="1514">
        <f t="shared" si="2"/>
        <v>4.4277668906638503</v>
      </c>
      <c r="AG58" s="1514">
        <f t="shared" si="2"/>
        <v>4.1761609791608301</v>
      </c>
      <c r="AH58" s="1514">
        <f t="shared" si="2"/>
        <v>3.9863754400919902</v>
      </c>
      <c r="AI58" s="1392"/>
      <c r="AJ58" s="1393"/>
      <c r="AK58" s="1393"/>
      <c r="AL58" s="1393"/>
      <c r="AM58" s="1393"/>
      <c r="AN58" s="1393"/>
      <c r="AO58" s="1393"/>
      <c r="AP58" s="1393"/>
      <c r="AQ58" s="1393"/>
      <c r="AR58" s="1393"/>
      <c r="AS58" s="1393"/>
      <c r="AT58" s="1393"/>
      <c r="AU58" s="1393"/>
      <c r="AV58" s="1393"/>
      <c r="AW58" s="1393"/>
      <c r="AX58" s="1393"/>
      <c r="AY58" s="1393"/>
      <c r="AZ58" s="1393"/>
      <c r="BA58" s="1393"/>
      <c r="BB58" s="1393"/>
      <c r="BC58" s="1393"/>
      <c r="BD58" s="1393"/>
      <c r="BE58" s="1393"/>
      <c r="BF58" s="1393"/>
      <c r="BG58" s="1512"/>
      <c r="BH58" s="1442"/>
      <c r="BI58" s="1442"/>
      <c r="BJ58" s="1513">
        <v>3732.4432849955401</v>
      </c>
      <c r="BK58" s="1513">
        <v>3489.33696837764</v>
      </c>
      <c r="BL58" s="1513">
        <v>3449.0836292182498</v>
      </c>
      <c r="BM58" s="1513">
        <v>3497.3872253008299</v>
      </c>
      <c r="BN58" s="1513">
        <v>3567.3034985828799</v>
      </c>
      <c r="BO58" s="1513">
        <v>3683.96740248591</v>
      </c>
      <c r="BP58" s="1513">
        <v>3538.0637136926398</v>
      </c>
      <c r="BQ58" s="1513">
        <v>3466.4766367331499</v>
      </c>
      <c r="BR58" s="1513">
        <v>3643.5392517953901</v>
      </c>
      <c r="BS58" s="1513">
        <v>3728.7657747460898</v>
      </c>
      <c r="BT58" s="1513">
        <v>3522.2379678748798</v>
      </c>
      <c r="BU58" s="1513">
        <v>3422.54877044147</v>
      </c>
      <c r="BV58" s="1513">
        <v>3553.8381657862801</v>
      </c>
      <c r="BW58" s="1513">
        <v>3722.4358647008698</v>
      </c>
      <c r="BX58" s="1513">
        <v>3722.9420095636201</v>
      </c>
      <c r="BY58" s="1513">
        <v>3526.7562741792899</v>
      </c>
      <c r="BZ58" s="1513">
        <v>4220.1448586288498</v>
      </c>
      <c r="CA58" s="1513">
        <v>4077.2225962757798</v>
      </c>
      <c r="CB58" s="1513">
        <v>3925.0740836100999</v>
      </c>
      <c r="CC58" s="1513">
        <v>4428.6323918567596</v>
      </c>
      <c r="CD58" s="1513">
        <v>4687.6504699943198</v>
      </c>
      <c r="CE58" s="1513">
        <v>4182.32363405654</v>
      </c>
      <c r="CF58" s="1513">
        <v>4063.73760865129</v>
      </c>
      <c r="CG58" s="1513">
        <v>4427.7668906638501</v>
      </c>
      <c r="CH58" s="1513">
        <v>4176.1609791608298</v>
      </c>
      <c r="CI58" s="1510">
        <v>3986.3754400919902</v>
      </c>
    </row>
    <row r="59" spans="2:87" x14ac:dyDescent="0.2">
      <c r="B59" s="1441"/>
      <c r="C59" s="1442"/>
      <c r="D59" s="1511"/>
      <c r="E59" s="1512"/>
      <c r="F59" s="1468" t="s">
        <v>732</v>
      </c>
      <c r="G59" s="1442"/>
      <c r="H59" s="1442"/>
      <c r="I59" s="1465">
        <v>3167.94978480901</v>
      </c>
      <c r="J59" s="1465">
        <v>2957.5076946692998</v>
      </c>
      <c r="K59" s="1465">
        <v>2923.5688903014202</v>
      </c>
      <c r="L59" s="1465">
        <v>2971.2462401666799</v>
      </c>
      <c r="M59" s="1465">
        <v>3032.9385898628798</v>
      </c>
      <c r="N59" s="1445">
        <v>3132.7814406786501</v>
      </c>
      <c r="O59" s="1445">
        <v>3005.10128015084</v>
      </c>
      <c r="P59" s="1445">
        <v>2949.4593779707998</v>
      </c>
      <c r="Q59" s="1445">
        <v>3107.1902659244302</v>
      </c>
      <c r="R59" s="1445">
        <v>3184.6029984578099</v>
      </c>
      <c r="S59" s="1445">
        <v>3003.37626502481</v>
      </c>
      <c r="T59" s="1445">
        <v>2916.82490589699</v>
      </c>
      <c r="U59" s="1445">
        <v>3029.83727237322</v>
      </c>
      <c r="V59" s="1445">
        <v>3172.5470983834098</v>
      </c>
      <c r="W59" s="1445">
        <v>3172.48494609007</v>
      </c>
      <c r="X59" s="1445">
        <v>3006.7986383225798</v>
      </c>
      <c r="Y59" s="1445">
        <v>3616.29705911363</v>
      </c>
      <c r="Z59" s="1445">
        <v>3487.8161748839998</v>
      </c>
      <c r="AA59" s="1445">
        <v>3382.68245828009</v>
      </c>
      <c r="AB59" s="1445">
        <v>3812.1647807520599</v>
      </c>
      <c r="AC59" s="1446">
        <f t="shared" si="2"/>
        <v>4.0481888499229699</v>
      </c>
      <c r="AD59" s="1446">
        <f t="shared" si="2"/>
        <v>3.6025803731521302</v>
      </c>
      <c r="AE59" s="1446">
        <f t="shared" si="2"/>
        <v>3.5021464827836</v>
      </c>
      <c r="AF59" s="1446">
        <f t="shared" si="2"/>
        <v>3.8205253188871504</v>
      </c>
      <c r="AG59" s="1446">
        <f t="shared" si="2"/>
        <v>3.6065343989323999</v>
      </c>
      <c r="AH59" s="1446">
        <f t="shared" si="2"/>
        <v>3.4477473044739297</v>
      </c>
      <c r="AI59" s="1392"/>
      <c r="AJ59" s="1393"/>
      <c r="AK59" s="1393"/>
      <c r="AL59" s="1393"/>
      <c r="AM59" s="1393"/>
      <c r="AN59" s="1393"/>
      <c r="AO59" s="1393"/>
      <c r="AP59" s="1393"/>
      <c r="AQ59" s="1393"/>
      <c r="AR59" s="1393"/>
      <c r="AS59" s="1393"/>
      <c r="AT59" s="1393"/>
      <c r="AU59" s="1393"/>
      <c r="AV59" s="1393"/>
      <c r="AW59" s="1393"/>
      <c r="AX59" s="1393"/>
      <c r="AY59" s="1393"/>
      <c r="AZ59" s="1393"/>
      <c r="BA59" s="1393"/>
      <c r="BB59" s="1393"/>
      <c r="BC59" s="1393"/>
      <c r="BD59" s="1393"/>
      <c r="BE59" s="1393"/>
      <c r="BF59" s="1393"/>
      <c r="BG59" s="1468" t="s">
        <v>732</v>
      </c>
      <c r="BH59" s="1442"/>
      <c r="BI59" s="1442"/>
      <c r="BJ59" s="1465">
        <v>3167.94978480901</v>
      </c>
      <c r="BK59" s="1465">
        <v>2957.5076946692998</v>
      </c>
      <c r="BL59" s="1465">
        <v>2923.5688903014202</v>
      </c>
      <c r="BM59" s="1465">
        <v>2971.2462401666799</v>
      </c>
      <c r="BN59" s="1465">
        <v>3032.9385898628798</v>
      </c>
      <c r="BO59" s="1445">
        <v>3132.7814406786501</v>
      </c>
      <c r="BP59" s="1445">
        <v>3005.10128015084</v>
      </c>
      <c r="BQ59" s="1445">
        <v>2949.4593779707998</v>
      </c>
      <c r="BR59" s="1445">
        <v>3107.1902659244302</v>
      </c>
      <c r="BS59" s="1445">
        <v>3184.6029984578099</v>
      </c>
      <c r="BT59" s="1445">
        <v>3003.37626502481</v>
      </c>
      <c r="BU59" s="1445">
        <v>2916.82490589699</v>
      </c>
      <c r="BV59" s="1445">
        <v>3029.83727237322</v>
      </c>
      <c r="BW59" s="1445">
        <v>3172.5470983834098</v>
      </c>
      <c r="BX59" s="1445">
        <v>3172.48494609007</v>
      </c>
      <c r="BY59" s="1445">
        <v>3006.7986383225798</v>
      </c>
      <c r="BZ59" s="1445">
        <v>3616.29705911363</v>
      </c>
      <c r="CA59" s="1445">
        <v>3487.8161748839998</v>
      </c>
      <c r="CB59" s="1445">
        <v>3382.68245828009</v>
      </c>
      <c r="CC59" s="1445">
        <v>3812.1647807520599</v>
      </c>
      <c r="CD59" s="1445">
        <v>4048.1888499229699</v>
      </c>
      <c r="CE59" s="1445">
        <v>3602.5803731521301</v>
      </c>
      <c r="CF59" s="1445">
        <v>3502.1464827835998</v>
      </c>
      <c r="CG59" s="1445">
        <v>3820.5253188871502</v>
      </c>
      <c r="CH59" s="1445">
        <v>3606.5343989324001</v>
      </c>
      <c r="CI59" s="1447">
        <v>3447.7473044739299</v>
      </c>
    </row>
    <row r="60" spans="2:87" x14ac:dyDescent="0.2">
      <c r="B60" s="1441"/>
      <c r="C60" s="1442"/>
      <c r="D60" s="1462"/>
      <c r="E60" s="1468"/>
      <c r="F60" s="1468" t="s">
        <v>733</v>
      </c>
      <c r="G60" s="1458"/>
      <c r="H60" s="1458"/>
      <c r="I60" s="1465">
        <v>564.49350018653297</v>
      </c>
      <c r="J60" s="1465">
        <v>531.82927370834398</v>
      </c>
      <c r="K60" s="1465">
        <v>525.51473891683497</v>
      </c>
      <c r="L60" s="1465">
        <v>526.14098513415195</v>
      </c>
      <c r="M60" s="1465">
        <v>534.36490872000104</v>
      </c>
      <c r="N60" s="1465">
        <v>551.18596180726001</v>
      </c>
      <c r="O60" s="1465">
        <v>532.96243354179398</v>
      </c>
      <c r="P60" s="1465">
        <v>517.01725876235105</v>
      </c>
      <c r="Q60" s="1465">
        <v>536.34898587095097</v>
      </c>
      <c r="R60" s="1465">
        <v>544.16277628827402</v>
      </c>
      <c r="S60" s="1465">
        <v>518.86170285007199</v>
      </c>
      <c r="T60" s="1465">
        <v>505.72386454448002</v>
      </c>
      <c r="U60" s="1465">
        <v>524.00089341306204</v>
      </c>
      <c r="V60" s="1465">
        <v>549.88876631746803</v>
      </c>
      <c r="W60" s="1465">
        <v>550.45706347354803</v>
      </c>
      <c r="X60" s="1465">
        <v>519.957635856715</v>
      </c>
      <c r="Y60" s="1465">
        <v>603.84779951521796</v>
      </c>
      <c r="Z60" s="1465">
        <v>589.40642139177703</v>
      </c>
      <c r="AA60" s="1465">
        <v>542.39162533000695</v>
      </c>
      <c r="AB60" s="1465">
        <v>616.46761110469799</v>
      </c>
      <c r="AC60" s="1466">
        <f t="shared" si="2"/>
        <v>0.639461620071343</v>
      </c>
      <c r="AD60" s="1466">
        <f t="shared" si="2"/>
        <v>0.57974326090441297</v>
      </c>
      <c r="AE60" s="1466">
        <f t="shared" si="2"/>
        <v>0.561591125867695</v>
      </c>
      <c r="AF60" s="1466">
        <f t="shared" si="2"/>
        <v>0.60724157177669102</v>
      </c>
      <c r="AG60" s="1466">
        <f t="shared" si="2"/>
        <v>0.56962658022843005</v>
      </c>
      <c r="AH60" s="1466">
        <f t="shared" si="2"/>
        <v>0.53862813561806</v>
      </c>
      <c r="AI60" s="1392"/>
      <c r="AJ60" s="1393"/>
      <c r="AK60" s="1393"/>
      <c r="AL60" s="1393"/>
      <c r="AM60" s="1393"/>
      <c r="AN60" s="1393"/>
      <c r="AO60" s="1393"/>
      <c r="AP60" s="1393"/>
      <c r="AQ60" s="1393"/>
      <c r="AR60" s="1393"/>
      <c r="AS60" s="1393"/>
      <c r="AT60" s="1393"/>
      <c r="AU60" s="1393"/>
      <c r="AV60" s="1393"/>
      <c r="AW60" s="1393"/>
      <c r="AX60" s="1393"/>
      <c r="AY60" s="1393"/>
      <c r="AZ60" s="1393"/>
      <c r="BA60" s="1393"/>
      <c r="BB60" s="1393"/>
      <c r="BC60" s="1393"/>
      <c r="BD60" s="1393"/>
      <c r="BE60" s="1393"/>
      <c r="BF60" s="1393"/>
      <c r="BG60" s="1468" t="s">
        <v>733</v>
      </c>
      <c r="BH60" s="1458"/>
      <c r="BI60" s="1458"/>
      <c r="BJ60" s="1465">
        <v>564.49350018653297</v>
      </c>
      <c r="BK60" s="1465">
        <v>531.82927370834398</v>
      </c>
      <c r="BL60" s="1465">
        <v>525.51473891683497</v>
      </c>
      <c r="BM60" s="1465">
        <v>526.14098513415195</v>
      </c>
      <c r="BN60" s="1465">
        <v>534.36490872000104</v>
      </c>
      <c r="BO60" s="1465">
        <v>551.18596180726001</v>
      </c>
      <c r="BP60" s="1465">
        <v>532.96243354179398</v>
      </c>
      <c r="BQ60" s="1465">
        <v>517.01725876235105</v>
      </c>
      <c r="BR60" s="1465">
        <v>536.34898587095097</v>
      </c>
      <c r="BS60" s="1465">
        <v>544.16277628827402</v>
      </c>
      <c r="BT60" s="1465">
        <v>518.86170285007199</v>
      </c>
      <c r="BU60" s="1465">
        <v>505.72386454448002</v>
      </c>
      <c r="BV60" s="1465">
        <v>524.00089341306204</v>
      </c>
      <c r="BW60" s="1465">
        <v>549.88876631746803</v>
      </c>
      <c r="BX60" s="1465">
        <v>550.45706347354803</v>
      </c>
      <c r="BY60" s="1465">
        <v>519.957635856715</v>
      </c>
      <c r="BZ60" s="1465">
        <v>603.84779951521796</v>
      </c>
      <c r="CA60" s="1465">
        <v>589.40642139177703</v>
      </c>
      <c r="CB60" s="1465">
        <v>542.39162533000695</v>
      </c>
      <c r="CC60" s="1465">
        <v>616.46761110469799</v>
      </c>
      <c r="CD60" s="1465">
        <v>639.46162007134296</v>
      </c>
      <c r="CE60" s="1465">
        <v>579.74326090441298</v>
      </c>
      <c r="CF60" s="1465">
        <v>561.59112586769504</v>
      </c>
      <c r="CG60" s="1465">
        <v>607.24157177669099</v>
      </c>
      <c r="CH60" s="1465">
        <v>569.62658022843004</v>
      </c>
      <c r="CI60" s="1467">
        <v>538.62813561806001</v>
      </c>
    </row>
    <row r="61" spans="2:87" x14ac:dyDescent="0.2">
      <c r="B61" s="1441"/>
      <c r="C61" s="1442"/>
      <c r="D61" s="1456" t="s">
        <v>21</v>
      </c>
      <c r="E61" s="1457" t="s">
        <v>734</v>
      </c>
      <c r="F61" s="1515"/>
      <c r="G61" s="1458"/>
      <c r="H61" s="1458"/>
      <c r="I61" s="1465">
        <v>3.8062985868025301</v>
      </c>
      <c r="J61" s="1465">
        <v>3.10986509382905</v>
      </c>
      <c r="K61" s="1465">
        <v>3.0472039868524798</v>
      </c>
      <c r="L61" s="1465">
        <v>2.9945317462238901</v>
      </c>
      <c r="M61" s="1465">
        <v>2.5889888081079899</v>
      </c>
      <c r="N61" s="1465">
        <v>2.5320134140683801</v>
      </c>
      <c r="O61" s="1465">
        <v>2.11761361865819</v>
      </c>
      <c r="P61" s="1465">
        <v>2.3970078426713299</v>
      </c>
      <c r="Q61" s="1465">
        <v>2.2039794845816898</v>
      </c>
      <c r="R61" s="1465">
        <v>2.0745094390484198</v>
      </c>
      <c r="S61" s="1465">
        <v>1.5708154113120001</v>
      </c>
      <c r="T61" s="1465">
        <v>1.7326318845094699</v>
      </c>
      <c r="U61" s="1465">
        <v>1.81229223422063</v>
      </c>
      <c r="V61" s="1465">
        <v>1.6965778068075801</v>
      </c>
      <c r="W61" s="1465">
        <v>0.61894647558568405</v>
      </c>
      <c r="X61" s="1465">
        <v>0.56995758210694702</v>
      </c>
      <c r="Y61" s="1465">
        <v>0.570590224825263</v>
      </c>
      <c r="Z61" s="1465">
        <v>0.48331490614231598</v>
      </c>
      <c r="AA61" s="1465">
        <v>0.40179186252379001</v>
      </c>
      <c r="AB61" s="1465">
        <v>0.45509673275620999</v>
      </c>
      <c r="AC61" s="1466">
        <f t="shared" si="2"/>
        <v>4.8317431887157905E-4</v>
      </c>
      <c r="AD61" s="1466">
        <f t="shared" si="2"/>
        <v>3.0496159293473703E-4</v>
      </c>
      <c r="AE61" s="1466">
        <f t="shared" si="2"/>
        <v>3.5853688383157901E-4</v>
      </c>
      <c r="AF61" s="1466">
        <f t="shared" si="2"/>
        <v>3.1147424579368397E-4</v>
      </c>
      <c r="AG61" s="1466">
        <f t="shared" si="2"/>
        <v>3.2272385034947396E-4</v>
      </c>
      <c r="AH61" s="1466">
        <f t="shared" si="2"/>
        <v>3.4365456714947402E-4</v>
      </c>
      <c r="AI61" s="1392"/>
      <c r="AJ61" s="1393"/>
      <c r="AK61" s="1393"/>
      <c r="AL61" s="1393"/>
      <c r="AM61" s="1393"/>
      <c r="AN61" s="1393"/>
      <c r="AO61" s="1393"/>
      <c r="AP61" s="1393"/>
      <c r="AQ61" s="1393"/>
      <c r="AR61" s="1393"/>
      <c r="AS61" s="1393"/>
      <c r="AT61" s="1393"/>
      <c r="AU61" s="1393"/>
      <c r="AV61" s="1393"/>
      <c r="AW61" s="1393"/>
      <c r="AX61" s="1393"/>
      <c r="AY61" s="1393"/>
      <c r="AZ61" s="1393"/>
      <c r="BA61" s="1393"/>
      <c r="BB61" s="1393"/>
      <c r="BC61" s="1393"/>
      <c r="BD61" s="1393"/>
      <c r="BE61" s="1393"/>
      <c r="BF61" s="1393"/>
      <c r="BG61" s="1515"/>
      <c r="BH61" s="1458"/>
      <c r="BI61" s="1458"/>
      <c r="BJ61" s="1465">
        <v>3.8062985868025301</v>
      </c>
      <c r="BK61" s="1465">
        <v>3.10986509382905</v>
      </c>
      <c r="BL61" s="1465">
        <v>3.0472039868524798</v>
      </c>
      <c r="BM61" s="1465">
        <v>2.9945317462238901</v>
      </c>
      <c r="BN61" s="1465">
        <v>2.5889888081079899</v>
      </c>
      <c r="BO61" s="1465">
        <v>2.5320134140683801</v>
      </c>
      <c r="BP61" s="1465">
        <v>2.11761361865819</v>
      </c>
      <c r="BQ61" s="1465">
        <v>2.3970078426713299</v>
      </c>
      <c r="BR61" s="1465">
        <v>2.2039794845816898</v>
      </c>
      <c r="BS61" s="1465">
        <v>2.0745094390484198</v>
      </c>
      <c r="BT61" s="1465">
        <v>1.5708154113120001</v>
      </c>
      <c r="BU61" s="1465">
        <v>1.7326318845094699</v>
      </c>
      <c r="BV61" s="1465">
        <v>1.81229223422063</v>
      </c>
      <c r="BW61" s="1465">
        <v>1.6965778068075801</v>
      </c>
      <c r="BX61" s="1465">
        <v>0.61894647558568405</v>
      </c>
      <c r="BY61" s="1465">
        <v>0.56995758210694702</v>
      </c>
      <c r="BZ61" s="1465">
        <v>0.570590224825263</v>
      </c>
      <c r="CA61" s="1465">
        <v>0.48331490614231598</v>
      </c>
      <c r="CB61" s="1465">
        <v>0.40179186252379001</v>
      </c>
      <c r="CC61" s="1465">
        <v>0.45509673275620999</v>
      </c>
      <c r="CD61" s="1465">
        <v>0.48317431887157902</v>
      </c>
      <c r="CE61" s="1465">
        <v>0.30496159293473701</v>
      </c>
      <c r="CF61" s="1465">
        <v>0.358536883831579</v>
      </c>
      <c r="CG61" s="1465">
        <v>0.31147424579368399</v>
      </c>
      <c r="CH61" s="1465">
        <v>0.32272385034947398</v>
      </c>
      <c r="CI61" s="1467">
        <v>0.34365456714947401</v>
      </c>
    </row>
    <row r="62" spans="2:87" x14ac:dyDescent="0.2">
      <c r="B62" s="1441"/>
      <c r="C62" s="1442"/>
      <c r="D62" s="1516" t="s">
        <v>22</v>
      </c>
      <c r="E62" s="1499" t="s">
        <v>735</v>
      </c>
      <c r="F62" s="1517"/>
      <c r="G62" s="1501"/>
      <c r="H62" s="1501"/>
      <c r="I62" s="1518">
        <v>250.89418329901</v>
      </c>
      <c r="J62" s="1518">
        <v>220.07787191634901</v>
      </c>
      <c r="K62" s="1518">
        <v>222.426196876739</v>
      </c>
      <c r="L62" s="1518">
        <v>217.63498826666699</v>
      </c>
      <c r="M62" s="1518">
        <v>246.66665760000001</v>
      </c>
      <c r="N62" s="1502">
        <v>272.295176266667</v>
      </c>
      <c r="O62" s="1502">
        <v>270.68070186666699</v>
      </c>
      <c r="P62" s="1502">
        <v>268.72071306666697</v>
      </c>
      <c r="Q62" s="1502">
        <v>228.10259413333301</v>
      </c>
      <c r="R62" s="1502">
        <v>221.90011946666701</v>
      </c>
      <c r="S62" s="1502">
        <v>270.88361813333302</v>
      </c>
      <c r="T62" s="1502">
        <v>127.369434133333</v>
      </c>
      <c r="U62" s="1502">
        <v>224.14166133333299</v>
      </c>
      <c r="V62" s="1502">
        <v>195.61478346666701</v>
      </c>
      <c r="W62" s="1502">
        <v>183.94594240000001</v>
      </c>
      <c r="X62" s="1502">
        <v>163.316897333333</v>
      </c>
      <c r="Y62" s="1502">
        <v>193.10182906666699</v>
      </c>
      <c r="Z62" s="1502">
        <v>212.09759706666699</v>
      </c>
      <c r="AA62" s="1502">
        <v>114.17513946666701</v>
      </c>
      <c r="AB62" s="1502">
        <v>210.841488</v>
      </c>
      <c r="AC62" s="1503">
        <f t="shared" si="2"/>
        <v>0.18309710026666701</v>
      </c>
      <c r="AD62" s="1503">
        <f t="shared" si="2"/>
        <v>0.2004592392</v>
      </c>
      <c r="AE62" s="1503">
        <f t="shared" si="2"/>
        <v>0.19777252880000001</v>
      </c>
      <c r="AF62" s="1503">
        <f t="shared" si="2"/>
        <v>0.230639962666667</v>
      </c>
      <c r="AG62" s="1503">
        <f t="shared" si="2"/>
        <v>0.19372023733333299</v>
      </c>
      <c r="AH62" s="1503">
        <f t="shared" si="2"/>
        <v>0.15500023733333299</v>
      </c>
      <c r="AI62" s="1392"/>
      <c r="AJ62" s="1393"/>
      <c r="AK62" s="1393"/>
      <c r="AL62" s="1393"/>
      <c r="AM62" s="1393"/>
      <c r="AN62" s="1393"/>
      <c r="AO62" s="1393"/>
      <c r="AP62" s="1393"/>
      <c r="AQ62" s="1393"/>
      <c r="AR62" s="1393"/>
      <c r="AS62" s="1393"/>
      <c r="AT62" s="1393"/>
      <c r="AU62" s="1393"/>
      <c r="AV62" s="1393"/>
      <c r="AW62" s="1393"/>
      <c r="AX62" s="1393"/>
      <c r="AY62" s="1393"/>
      <c r="AZ62" s="1393"/>
      <c r="BA62" s="1393"/>
      <c r="BB62" s="1393"/>
      <c r="BC62" s="1393"/>
      <c r="BD62" s="1393"/>
      <c r="BE62" s="1393"/>
      <c r="BF62" s="1393"/>
      <c r="BG62" s="1517"/>
      <c r="BH62" s="1501"/>
      <c r="BI62" s="1501"/>
      <c r="BJ62" s="1518">
        <v>250.89418329901</v>
      </c>
      <c r="BK62" s="1518">
        <v>220.07787191634901</v>
      </c>
      <c r="BL62" s="1518">
        <v>222.426196876739</v>
      </c>
      <c r="BM62" s="1518">
        <v>217.63498826666699</v>
      </c>
      <c r="BN62" s="1518">
        <v>246.66665760000001</v>
      </c>
      <c r="BO62" s="1502">
        <v>272.295176266667</v>
      </c>
      <c r="BP62" s="1502">
        <v>270.68070186666699</v>
      </c>
      <c r="BQ62" s="1502">
        <v>268.72071306666697</v>
      </c>
      <c r="BR62" s="1502">
        <v>228.10259413333301</v>
      </c>
      <c r="BS62" s="1502">
        <v>221.90011946666701</v>
      </c>
      <c r="BT62" s="1502">
        <v>270.88361813333302</v>
      </c>
      <c r="BU62" s="1502">
        <v>127.369434133333</v>
      </c>
      <c r="BV62" s="1502">
        <v>224.14166133333299</v>
      </c>
      <c r="BW62" s="1502">
        <v>195.61478346666701</v>
      </c>
      <c r="BX62" s="1502">
        <v>183.94594240000001</v>
      </c>
      <c r="BY62" s="1502">
        <v>163.316897333333</v>
      </c>
      <c r="BZ62" s="1502">
        <v>193.10182906666699</v>
      </c>
      <c r="CA62" s="1502">
        <v>212.09759706666699</v>
      </c>
      <c r="CB62" s="1502">
        <v>114.17513946666701</v>
      </c>
      <c r="CC62" s="1502">
        <v>210.841488</v>
      </c>
      <c r="CD62" s="1502">
        <v>183.09710026666701</v>
      </c>
      <c r="CE62" s="1502">
        <v>200.45923920000001</v>
      </c>
      <c r="CF62" s="1502">
        <v>197.7725288</v>
      </c>
      <c r="CG62" s="1502">
        <v>230.639962666667</v>
      </c>
      <c r="CH62" s="1502">
        <v>193.72023733333299</v>
      </c>
      <c r="CI62" s="1504">
        <v>155.00023733333299</v>
      </c>
    </row>
    <row r="63" spans="2:87" x14ac:dyDescent="0.2">
      <c r="B63" s="1441" t="s">
        <v>675</v>
      </c>
      <c r="C63" s="1442" t="s">
        <v>736</v>
      </c>
      <c r="D63" s="1505" t="s">
        <v>25</v>
      </c>
      <c r="E63" s="1506"/>
      <c r="F63" s="1506"/>
      <c r="G63" s="1442"/>
      <c r="H63" s="1442"/>
      <c r="I63" s="1508">
        <v>7386.9445573100002</v>
      </c>
      <c r="J63" s="1508">
        <v>8049.54483076</v>
      </c>
      <c r="K63" s="1508">
        <v>8204.5874001200009</v>
      </c>
      <c r="L63" s="1508">
        <v>8263.7932068200007</v>
      </c>
      <c r="M63" s="1508">
        <v>8303.6406963299996</v>
      </c>
      <c r="N63" s="1508">
        <v>7961.9223311699998</v>
      </c>
      <c r="O63" s="1508">
        <v>7538.18726952</v>
      </c>
      <c r="P63" s="1508">
        <v>7657.0593171600003</v>
      </c>
      <c r="Q63" s="1508">
        <v>7820.2082353899996</v>
      </c>
      <c r="R63" s="1508">
        <v>7988.8335121399996</v>
      </c>
      <c r="S63" s="1508">
        <v>8070.7232283200001</v>
      </c>
      <c r="T63" s="1508">
        <v>8113.5515570199996</v>
      </c>
      <c r="U63" s="1508">
        <v>8388.8358515100008</v>
      </c>
      <c r="V63" s="1508">
        <v>8584.30142996</v>
      </c>
      <c r="W63" s="1508">
        <v>8990.5234795300003</v>
      </c>
      <c r="X63" s="1508">
        <v>9283.5456294300002</v>
      </c>
      <c r="Y63" s="1508">
        <v>9327.1542454299997</v>
      </c>
      <c r="Z63" s="1508">
        <v>9189.0025006899996</v>
      </c>
      <c r="AA63" s="1508">
        <v>8713.0214166900005</v>
      </c>
      <c r="AB63" s="1508">
        <v>8600.8314157700006</v>
      </c>
      <c r="AC63" s="1509">
        <f t="shared" si="2"/>
        <v>8.4199960410399992</v>
      </c>
      <c r="AD63" s="1509">
        <f t="shared" si="2"/>
        <v>8.6799037316799996</v>
      </c>
      <c r="AE63" s="1509">
        <f t="shared" si="2"/>
        <v>8.6363149194000002</v>
      </c>
      <c r="AF63" s="1509">
        <f t="shared" si="2"/>
        <v>8.4770129280100015</v>
      </c>
      <c r="AG63" s="1509">
        <f t="shared" si="2"/>
        <v>8.5407065481300002</v>
      </c>
      <c r="AH63" s="1509">
        <f t="shared" si="2"/>
        <v>8.5951454307899997</v>
      </c>
      <c r="AI63" s="1392"/>
      <c r="AJ63" s="1393"/>
      <c r="AK63" s="1393"/>
      <c r="AL63" s="1393"/>
      <c r="AM63" s="1393"/>
      <c r="AN63" s="1393"/>
      <c r="AO63" s="1393"/>
      <c r="AP63" s="1393"/>
      <c r="AQ63" s="1393"/>
      <c r="AR63" s="1393"/>
      <c r="AS63" s="1393"/>
      <c r="AT63" s="1393"/>
      <c r="AU63" s="1393"/>
      <c r="AV63" s="1393"/>
      <c r="AW63" s="1393"/>
      <c r="AX63" s="1393"/>
      <c r="AY63" s="1393"/>
      <c r="AZ63" s="1393"/>
      <c r="BA63" s="1393"/>
      <c r="BB63" s="1393"/>
      <c r="BC63" s="1393"/>
      <c r="BD63" s="1393"/>
      <c r="BE63" s="1393"/>
      <c r="BF63" s="1393"/>
      <c r="BG63" s="1506"/>
      <c r="BH63" s="1442"/>
      <c r="BI63" s="1442"/>
      <c r="BJ63" s="1508">
        <v>7386.9445573100002</v>
      </c>
      <c r="BK63" s="1508">
        <v>8049.54483076</v>
      </c>
      <c r="BL63" s="1508">
        <v>8204.5874001200009</v>
      </c>
      <c r="BM63" s="1508">
        <v>8263.7932068200007</v>
      </c>
      <c r="BN63" s="1508">
        <v>8303.6406963299996</v>
      </c>
      <c r="BO63" s="1508">
        <v>7961.9223311699998</v>
      </c>
      <c r="BP63" s="1508">
        <v>7538.18726952</v>
      </c>
      <c r="BQ63" s="1508">
        <v>7657.0593171600003</v>
      </c>
      <c r="BR63" s="1508">
        <v>7820.2082353899996</v>
      </c>
      <c r="BS63" s="1508">
        <v>7988.8335121399996</v>
      </c>
      <c r="BT63" s="1508">
        <v>8070.7232283200001</v>
      </c>
      <c r="BU63" s="1508">
        <v>8113.5515570199996</v>
      </c>
      <c r="BV63" s="1508">
        <v>8388.8358515100008</v>
      </c>
      <c r="BW63" s="1508">
        <v>8584.30142996</v>
      </c>
      <c r="BX63" s="1508">
        <v>8990.5234795300003</v>
      </c>
      <c r="BY63" s="1508">
        <v>9283.5456294300002</v>
      </c>
      <c r="BZ63" s="1508">
        <v>9327.1542454299997</v>
      </c>
      <c r="CA63" s="1508">
        <v>9189.0025006899996</v>
      </c>
      <c r="CB63" s="1508">
        <v>8713.0214166900005</v>
      </c>
      <c r="CC63" s="1508">
        <v>8600.8314157700006</v>
      </c>
      <c r="CD63" s="1508">
        <v>8419.9960410399999</v>
      </c>
      <c r="CE63" s="1508">
        <v>8679.9037316800004</v>
      </c>
      <c r="CF63" s="1508">
        <v>8636.3149193999998</v>
      </c>
      <c r="CG63" s="1508">
        <v>8477.0129280100009</v>
      </c>
      <c r="CH63" s="1508">
        <v>8540.7065481299996</v>
      </c>
      <c r="CI63" s="1510">
        <v>8595.1454307900003</v>
      </c>
    </row>
    <row r="64" spans="2:87" x14ac:dyDescent="0.2">
      <c r="B64" s="1441"/>
      <c r="C64" s="1442"/>
      <c r="D64" s="1456" t="s">
        <v>700</v>
      </c>
      <c r="E64" s="1457" t="s">
        <v>737</v>
      </c>
      <c r="F64" s="1457"/>
      <c r="G64" s="1458"/>
      <c r="H64" s="1458"/>
      <c r="I64" s="1465">
        <v>6584.1780165</v>
      </c>
      <c r="J64" s="1465">
        <v>7213.5157612499997</v>
      </c>
      <c r="K64" s="1465">
        <v>7394.7370617500001</v>
      </c>
      <c r="L64" s="1465">
        <v>7470.4875464999996</v>
      </c>
      <c r="M64" s="1465">
        <v>7501.1638245000004</v>
      </c>
      <c r="N64" s="1465">
        <v>7134.9436352499997</v>
      </c>
      <c r="O64" s="1465">
        <v>6681.9928682500004</v>
      </c>
      <c r="P64" s="1465">
        <v>6827.4395597499997</v>
      </c>
      <c r="Q64" s="1465">
        <v>6977.4148922499999</v>
      </c>
      <c r="R64" s="1465">
        <v>7110.9514237499998</v>
      </c>
      <c r="S64" s="1465">
        <v>7118.7197205000002</v>
      </c>
      <c r="T64" s="1465">
        <v>7112.1524312499996</v>
      </c>
      <c r="U64" s="1465">
        <v>7408.5767370000003</v>
      </c>
      <c r="V64" s="1465">
        <v>7712.4153079999996</v>
      </c>
      <c r="W64" s="1465">
        <v>8085.7145027500001</v>
      </c>
      <c r="X64" s="1465">
        <v>8391.0404135000008</v>
      </c>
      <c r="Y64" s="1465">
        <v>8449.4571632499992</v>
      </c>
      <c r="Z64" s="1465">
        <v>8342.5228287499995</v>
      </c>
      <c r="AA64" s="1465">
        <v>7866.3385099999996</v>
      </c>
      <c r="AB64" s="1465">
        <v>7726.5564855000002</v>
      </c>
      <c r="AC64" s="1466">
        <f t="shared" si="2"/>
        <v>7.5520452422500002</v>
      </c>
      <c r="AD64" s="1466">
        <f t="shared" si="2"/>
        <v>7.8456760247499995</v>
      </c>
      <c r="AE64" s="1466">
        <f t="shared" si="2"/>
        <v>7.7581262882499997</v>
      </c>
      <c r="AF64" s="1466">
        <f t="shared" ref="AF64:AH67" si="3">CG64/1000</f>
        <v>7.5934690717499995</v>
      </c>
      <c r="AG64" s="1466">
        <f t="shared" si="3"/>
        <v>7.6531108297500001</v>
      </c>
      <c r="AH64" s="1466">
        <f t="shared" si="3"/>
        <v>7.7068521022500001</v>
      </c>
      <c r="AI64" s="1392"/>
      <c r="AJ64" s="1393"/>
      <c r="AK64" s="1393"/>
      <c r="AL64" s="1393"/>
      <c r="AM64" s="1393"/>
      <c r="AN64" s="1393"/>
      <c r="AO64" s="1393"/>
      <c r="AP64" s="1393"/>
      <c r="AQ64" s="1393"/>
      <c r="AR64" s="1393"/>
      <c r="AS64" s="1393"/>
      <c r="AT64" s="1393"/>
      <c r="AU64" s="1393"/>
      <c r="AV64" s="1393"/>
      <c r="AW64" s="1393"/>
      <c r="AX64" s="1393"/>
      <c r="AY64" s="1393"/>
      <c r="AZ64" s="1393"/>
      <c r="BA64" s="1393"/>
      <c r="BB64" s="1393"/>
      <c r="BC64" s="1393"/>
      <c r="BD64" s="1393"/>
      <c r="BE64" s="1393"/>
      <c r="BF64" s="1393"/>
      <c r="BG64" s="1457"/>
      <c r="BH64" s="1458"/>
      <c r="BI64" s="1458"/>
      <c r="BJ64" s="1465">
        <v>6584.1780165</v>
      </c>
      <c r="BK64" s="1465">
        <v>7213.5157612499997</v>
      </c>
      <c r="BL64" s="1465">
        <v>7394.7370617500001</v>
      </c>
      <c r="BM64" s="1465">
        <v>7470.4875464999996</v>
      </c>
      <c r="BN64" s="1465">
        <v>7501.1638245000004</v>
      </c>
      <c r="BO64" s="1465">
        <v>7134.9436352499997</v>
      </c>
      <c r="BP64" s="1465">
        <v>6681.9928682500004</v>
      </c>
      <c r="BQ64" s="1465">
        <v>6827.4395597499997</v>
      </c>
      <c r="BR64" s="1465">
        <v>6977.4148922499999</v>
      </c>
      <c r="BS64" s="1465">
        <v>7110.9514237499998</v>
      </c>
      <c r="BT64" s="1465">
        <v>7118.7197205000002</v>
      </c>
      <c r="BU64" s="1465">
        <v>7112.1524312499996</v>
      </c>
      <c r="BV64" s="1465">
        <v>7408.5767370000003</v>
      </c>
      <c r="BW64" s="1465">
        <v>7712.4153079999996</v>
      </c>
      <c r="BX64" s="1465">
        <v>8085.7145027500001</v>
      </c>
      <c r="BY64" s="1465">
        <v>8391.0404135000008</v>
      </c>
      <c r="BZ64" s="1465">
        <v>8449.4571632499992</v>
      </c>
      <c r="CA64" s="1465">
        <v>8342.5228287499995</v>
      </c>
      <c r="CB64" s="1465">
        <v>7866.3385099999996</v>
      </c>
      <c r="CC64" s="1465">
        <v>7726.5564855000002</v>
      </c>
      <c r="CD64" s="1465">
        <v>7552.0452422500002</v>
      </c>
      <c r="CE64" s="1465">
        <v>7845.6760247499997</v>
      </c>
      <c r="CF64" s="1465">
        <v>7758.1262882499996</v>
      </c>
      <c r="CG64" s="1465">
        <v>7593.4690717499998</v>
      </c>
      <c r="CH64" s="1465">
        <v>7653.1108297500004</v>
      </c>
      <c r="CI64" s="1467">
        <v>7706.8521022499999</v>
      </c>
    </row>
    <row r="65" spans="2:87" x14ac:dyDescent="0.2">
      <c r="B65" s="1441"/>
      <c r="C65" s="1442"/>
      <c r="D65" s="1456" t="s">
        <v>738</v>
      </c>
      <c r="E65" s="1457" t="s">
        <v>739</v>
      </c>
      <c r="F65" s="1442"/>
      <c r="G65" s="1442"/>
      <c r="H65" s="1442"/>
      <c r="I65" s="1465">
        <v>268.83942460999998</v>
      </c>
      <c r="J65" s="1465">
        <v>280.62592824000001</v>
      </c>
      <c r="K65" s="1465">
        <v>233.68403025000001</v>
      </c>
      <c r="L65" s="1465">
        <v>243.99869781999999</v>
      </c>
      <c r="M65" s="1465">
        <v>267.96613925999998</v>
      </c>
      <c r="N65" s="1465">
        <v>276.64838866999997</v>
      </c>
      <c r="O65" s="1465">
        <v>300.43049377</v>
      </c>
      <c r="P65" s="1465">
        <v>312.66208632000001</v>
      </c>
      <c r="Q65" s="1465">
        <v>309.06163744999998</v>
      </c>
      <c r="R65" s="1465">
        <v>336.33933386000001</v>
      </c>
      <c r="S65" s="1465">
        <v>334.81121231999998</v>
      </c>
      <c r="T65" s="1465">
        <v>331.15080599999999</v>
      </c>
      <c r="U65" s="1465">
        <v>339.51647960000003</v>
      </c>
      <c r="V65" s="1465">
        <v>303.29610932999998</v>
      </c>
      <c r="W65" s="1465">
        <v>274.84397059999998</v>
      </c>
      <c r="X65" s="1465">
        <v>267.45970526999997</v>
      </c>
      <c r="Y65" s="1465">
        <v>257.69516565999999</v>
      </c>
      <c r="Z65" s="1465">
        <v>250.46335741999999</v>
      </c>
      <c r="AA65" s="1465">
        <v>263.91732239999999</v>
      </c>
      <c r="AB65" s="1465">
        <v>278.36887661999998</v>
      </c>
      <c r="AC65" s="1466">
        <f t="shared" ref="AC65:AE67" si="4">CD65/1000</f>
        <v>0.28235709530999997</v>
      </c>
      <c r="AD65" s="1466">
        <f t="shared" si="4"/>
        <v>0.25624616345000001</v>
      </c>
      <c r="AE65" s="1466">
        <f t="shared" si="4"/>
        <v>0.29220015743</v>
      </c>
      <c r="AF65" s="1466">
        <f t="shared" si="3"/>
        <v>0.28189585061</v>
      </c>
      <c r="AG65" s="1466">
        <f t="shared" si="3"/>
        <v>0.28036104079000002</v>
      </c>
      <c r="AH65" s="1466">
        <f t="shared" si="3"/>
        <v>0.27639028522000003</v>
      </c>
      <c r="AI65" s="1392"/>
      <c r="AJ65" s="1393"/>
      <c r="AK65" s="1393"/>
      <c r="AL65" s="1393"/>
      <c r="AM65" s="1393"/>
      <c r="AN65" s="1393"/>
      <c r="AO65" s="1393"/>
      <c r="AP65" s="1393"/>
      <c r="AQ65" s="1393"/>
      <c r="AR65" s="1393"/>
      <c r="AS65" s="1393"/>
      <c r="AT65" s="1393"/>
      <c r="AU65" s="1393"/>
      <c r="AV65" s="1393"/>
      <c r="AW65" s="1393"/>
      <c r="AX65" s="1393"/>
      <c r="AY65" s="1393"/>
      <c r="AZ65" s="1393"/>
      <c r="BA65" s="1393"/>
      <c r="BB65" s="1393"/>
      <c r="BC65" s="1393"/>
      <c r="BD65" s="1393"/>
      <c r="BE65" s="1393"/>
      <c r="BF65" s="1393"/>
      <c r="BG65" s="1442"/>
      <c r="BH65" s="1442"/>
      <c r="BI65" s="1442"/>
      <c r="BJ65" s="1465">
        <v>268.83942460999998</v>
      </c>
      <c r="BK65" s="1465">
        <v>280.62592824000001</v>
      </c>
      <c r="BL65" s="1465">
        <v>233.68403025000001</v>
      </c>
      <c r="BM65" s="1465">
        <v>243.99869781999999</v>
      </c>
      <c r="BN65" s="1465">
        <v>267.96613925999998</v>
      </c>
      <c r="BO65" s="1465">
        <v>276.64838866999997</v>
      </c>
      <c r="BP65" s="1465">
        <v>300.43049377</v>
      </c>
      <c r="BQ65" s="1465">
        <v>312.66208632000001</v>
      </c>
      <c r="BR65" s="1465">
        <v>309.06163744999998</v>
      </c>
      <c r="BS65" s="1465">
        <v>336.33933386000001</v>
      </c>
      <c r="BT65" s="1465">
        <v>334.81121231999998</v>
      </c>
      <c r="BU65" s="1465">
        <v>331.15080599999999</v>
      </c>
      <c r="BV65" s="1465">
        <v>339.51647960000003</v>
      </c>
      <c r="BW65" s="1465">
        <v>303.29610932999998</v>
      </c>
      <c r="BX65" s="1465">
        <v>274.84397059999998</v>
      </c>
      <c r="BY65" s="1465">
        <v>267.45970526999997</v>
      </c>
      <c r="BZ65" s="1465">
        <v>257.69516565999999</v>
      </c>
      <c r="CA65" s="1465">
        <v>250.46335741999999</v>
      </c>
      <c r="CB65" s="1465">
        <v>263.91732239999999</v>
      </c>
      <c r="CC65" s="1465">
        <v>278.36887661999998</v>
      </c>
      <c r="CD65" s="1465">
        <v>282.35709530999998</v>
      </c>
      <c r="CE65" s="1465">
        <v>256.24616344999998</v>
      </c>
      <c r="CF65" s="1465">
        <v>292.20015742999999</v>
      </c>
      <c r="CG65" s="1465">
        <v>281.89585061000002</v>
      </c>
      <c r="CH65" s="1465">
        <v>280.36104079</v>
      </c>
      <c r="CI65" s="1467">
        <v>276.39028522000001</v>
      </c>
    </row>
    <row r="66" spans="2:87" x14ac:dyDescent="0.2">
      <c r="B66" s="1441"/>
      <c r="C66" s="1442"/>
      <c r="D66" s="1456" t="s">
        <v>11</v>
      </c>
      <c r="E66" s="1457" t="s">
        <v>740</v>
      </c>
      <c r="F66" s="1457"/>
      <c r="G66" s="1458"/>
      <c r="H66" s="1458"/>
      <c r="I66" s="1465">
        <v>229.61514331000001</v>
      </c>
      <c r="J66" s="1465">
        <v>235.15463466</v>
      </c>
      <c r="K66" s="1465">
        <v>239.39404866999999</v>
      </c>
      <c r="L66" s="1465">
        <v>244.136663</v>
      </c>
      <c r="M66" s="1465">
        <v>249.0247856</v>
      </c>
      <c r="N66" s="1465">
        <v>254.02235020000001</v>
      </c>
      <c r="O66" s="1465">
        <v>257.37050866999999</v>
      </c>
      <c r="P66" s="1465">
        <v>264.62153960000001</v>
      </c>
      <c r="Q66" s="1465">
        <v>269.96930866000002</v>
      </c>
      <c r="R66" s="1465">
        <v>275.47981892000001</v>
      </c>
      <c r="S66" s="1465">
        <v>282.07139926000002</v>
      </c>
      <c r="T66" s="1465">
        <v>319.75804899000002</v>
      </c>
      <c r="U66" s="1465">
        <v>327.55096091000001</v>
      </c>
      <c r="V66" s="1465">
        <v>328.87974879000001</v>
      </c>
      <c r="W66" s="1465">
        <v>335.01468892000003</v>
      </c>
      <c r="X66" s="1465">
        <v>335.31231208999998</v>
      </c>
      <c r="Y66" s="1465">
        <v>342.07937217</v>
      </c>
      <c r="Z66" s="1465">
        <v>344.20605626999998</v>
      </c>
      <c r="AA66" s="1465">
        <v>305.20579131</v>
      </c>
      <c r="AB66" s="1465">
        <v>306.35478511999997</v>
      </c>
      <c r="AC66" s="1466">
        <f t="shared" si="4"/>
        <v>0.30933035765</v>
      </c>
      <c r="AD66" s="1466">
        <f t="shared" si="4"/>
        <v>0.31120826045</v>
      </c>
      <c r="AE66" s="1466">
        <f t="shared" si="4"/>
        <v>0.31347393901999998</v>
      </c>
      <c r="AF66" s="1466">
        <f t="shared" si="3"/>
        <v>0.31561550504000002</v>
      </c>
      <c r="AG66" s="1466">
        <f t="shared" si="3"/>
        <v>0.31737245646000001</v>
      </c>
      <c r="AH66" s="1466">
        <f t="shared" si="3"/>
        <v>0.31871824689</v>
      </c>
      <c r="AI66" s="1392"/>
      <c r="AJ66" s="1393"/>
      <c r="AK66" s="1393"/>
      <c r="AL66" s="1393"/>
      <c r="AM66" s="1393"/>
      <c r="AN66" s="1393"/>
      <c r="AO66" s="1393"/>
      <c r="AP66" s="1393"/>
      <c r="AQ66" s="1393"/>
      <c r="AR66" s="1393"/>
      <c r="AS66" s="1393"/>
      <c r="AT66" s="1393"/>
      <c r="AU66" s="1393"/>
      <c r="AV66" s="1393"/>
      <c r="AW66" s="1393"/>
      <c r="AX66" s="1393"/>
      <c r="AY66" s="1393"/>
      <c r="AZ66" s="1393"/>
      <c r="BA66" s="1393"/>
      <c r="BB66" s="1393"/>
      <c r="BC66" s="1393"/>
      <c r="BD66" s="1393"/>
      <c r="BE66" s="1393"/>
      <c r="BF66" s="1393"/>
      <c r="BG66" s="1457"/>
      <c r="BH66" s="1458"/>
      <c r="BI66" s="1458"/>
      <c r="BJ66" s="1465">
        <v>229.61514331000001</v>
      </c>
      <c r="BK66" s="1465">
        <v>235.15463466</v>
      </c>
      <c r="BL66" s="1465">
        <v>239.39404866999999</v>
      </c>
      <c r="BM66" s="1465">
        <v>244.136663</v>
      </c>
      <c r="BN66" s="1465">
        <v>249.0247856</v>
      </c>
      <c r="BO66" s="1465">
        <v>254.02235020000001</v>
      </c>
      <c r="BP66" s="1465">
        <v>257.37050866999999</v>
      </c>
      <c r="BQ66" s="1465">
        <v>264.62153960000001</v>
      </c>
      <c r="BR66" s="1465">
        <v>269.96930866000002</v>
      </c>
      <c r="BS66" s="1465">
        <v>275.47981892000001</v>
      </c>
      <c r="BT66" s="1465">
        <v>282.07139926000002</v>
      </c>
      <c r="BU66" s="1465">
        <v>319.75804899000002</v>
      </c>
      <c r="BV66" s="1465">
        <v>327.55096091000001</v>
      </c>
      <c r="BW66" s="1465">
        <v>328.87974879000001</v>
      </c>
      <c r="BX66" s="1465">
        <v>335.01468892000003</v>
      </c>
      <c r="BY66" s="1465">
        <v>335.31231208999998</v>
      </c>
      <c r="BZ66" s="1465">
        <v>342.07937217</v>
      </c>
      <c r="CA66" s="1465">
        <v>344.20605626999998</v>
      </c>
      <c r="CB66" s="1465">
        <v>305.20579131</v>
      </c>
      <c r="CC66" s="1465">
        <v>306.35478511999997</v>
      </c>
      <c r="CD66" s="1465">
        <v>309.33035765</v>
      </c>
      <c r="CE66" s="1465">
        <v>311.20826045000001</v>
      </c>
      <c r="CF66" s="1465">
        <v>313.47393901999999</v>
      </c>
      <c r="CG66" s="1465">
        <v>315.61550504000002</v>
      </c>
      <c r="CH66" s="1465">
        <v>317.37245646000002</v>
      </c>
      <c r="CI66" s="1467">
        <v>318.71824688999999</v>
      </c>
    </row>
    <row r="67" spans="2:87" x14ac:dyDescent="0.2">
      <c r="B67" s="1441"/>
      <c r="C67" s="1442"/>
      <c r="D67" s="1519" t="s">
        <v>21</v>
      </c>
      <c r="E67" s="1520" t="s">
        <v>741</v>
      </c>
      <c r="F67" s="1520"/>
      <c r="G67" s="1521"/>
      <c r="H67" s="1521"/>
      <c r="I67" s="1518">
        <v>304.31197288999999</v>
      </c>
      <c r="J67" s="1518">
        <v>320.24850660999999</v>
      </c>
      <c r="K67" s="1518">
        <v>336.77225944999998</v>
      </c>
      <c r="L67" s="1518">
        <v>305.1702995</v>
      </c>
      <c r="M67" s="1518">
        <v>285.48594696999999</v>
      </c>
      <c r="N67" s="1518">
        <v>296.30795705000003</v>
      </c>
      <c r="O67" s="1518">
        <v>298.39339883000002</v>
      </c>
      <c r="P67" s="1518">
        <v>252.33613149000001</v>
      </c>
      <c r="Q67" s="1518">
        <v>263.76239702999999</v>
      </c>
      <c r="R67" s="1518">
        <v>266.06293561000001</v>
      </c>
      <c r="S67" s="1518">
        <v>335.12089623999998</v>
      </c>
      <c r="T67" s="1518">
        <v>350.49027078</v>
      </c>
      <c r="U67" s="1518">
        <v>313.19167399999998</v>
      </c>
      <c r="V67" s="1518">
        <v>239.71026384000001</v>
      </c>
      <c r="W67" s="1518">
        <v>294.95031726000002</v>
      </c>
      <c r="X67" s="1518">
        <v>289.73319857000001</v>
      </c>
      <c r="Y67" s="1518">
        <v>277.92254435000001</v>
      </c>
      <c r="Z67" s="1518">
        <v>251.81025825</v>
      </c>
      <c r="AA67" s="1518">
        <v>277.55979298</v>
      </c>
      <c r="AB67" s="1518">
        <v>289.55126853000002</v>
      </c>
      <c r="AC67" s="1522">
        <f t="shared" si="4"/>
        <v>0.27626334583000001</v>
      </c>
      <c r="AD67" s="1522">
        <f t="shared" si="4"/>
        <v>0.26677328303000003</v>
      </c>
      <c r="AE67" s="1522">
        <f t="shared" si="4"/>
        <v>0.27251453470000003</v>
      </c>
      <c r="AF67" s="1522">
        <f t="shared" si="3"/>
        <v>0.28603250061000002</v>
      </c>
      <c r="AG67" s="1522">
        <f t="shared" si="3"/>
        <v>0.28986222113000004</v>
      </c>
      <c r="AH67" s="1522">
        <f t="shared" si="3"/>
        <v>0.29318479643000001</v>
      </c>
      <c r="AI67" s="1392"/>
      <c r="AJ67" s="1393"/>
      <c r="AK67" s="1393"/>
      <c r="AL67" s="1393"/>
      <c r="AM67" s="1393"/>
      <c r="AN67" s="1393"/>
      <c r="AO67" s="1393"/>
      <c r="AP67" s="1393"/>
      <c r="AQ67" s="1393"/>
      <c r="AR67" s="1393"/>
      <c r="AS67" s="1393"/>
      <c r="AT67" s="1393"/>
      <c r="AU67" s="1393"/>
      <c r="AV67" s="1393"/>
      <c r="AW67" s="1393"/>
      <c r="AX67" s="1393"/>
      <c r="AY67" s="1393"/>
      <c r="AZ67" s="1393"/>
      <c r="BA67" s="1393"/>
      <c r="BB67" s="1393"/>
      <c r="BC67" s="1393"/>
      <c r="BD67" s="1393"/>
      <c r="BE67" s="1393"/>
      <c r="BF67" s="1393"/>
      <c r="BG67" s="1520"/>
      <c r="BH67" s="1521"/>
      <c r="BI67" s="1521"/>
      <c r="BJ67" s="1518">
        <v>304.31197288999999</v>
      </c>
      <c r="BK67" s="1518">
        <v>320.24850660999999</v>
      </c>
      <c r="BL67" s="1518">
        <v>336.77225944999998</v>
      </c>
      <c r="BM67" s="1518">
        <v>305.1702995</v>
      </c>
      <c r="BN67" s="1518">
        <v>285.48594696999999</v>
      </c>
      <c r="BO67" s="1518">
        <v>296.30795705000003</v>
      </c>
      <c r="BP67" s="1518">
        <v>298.39339883000002</v>
      </c>
      <c r="BQ67" s="1518">
        <v>252.33613149000001</v>
      </c>
      <c r="BR67" s="1518">
        <v>263.76239702999999</v>
      </c>
      <c r="BS67" s="1518">
        <v>266.06293561000001</v>
      </c>
      <c r="BT67" s="1518">
        <v>335.12089623999998</v>
      </c>
      <c r="BU67" s="1518">
        <v>350.49027078</v>
      </c>
      <c r="BV67" s="1518">
        <v>313.19167399999998</v>
      </c>
      <c r="BW67" s="1518">
        <v>239.71026384000001</v>
      </c>
      <c r="BX67" s="1518">
        <v>294.95031726000002</v>
      </c>
      <c r="BY67" s="1518">
        <v>289.73319857000001</v>
      </c>
      <c r="BZ67" s="1518">
        <v>277.92254435000001</v>
      </c>
      <c r="CA67" s="1518">
        <v>251.81025825</v>
      </c>
      <c r="CB67" s="1518">
        <v>277.55979298</v>
      </c>
      <c r="CC67" s="1518">
        <v>289.55126853000002</v>
      </c>
      <c r="CD67" s="1518">
        <v>276.26334582999999</v>
      </c>
      <c r="CE67" s="1518">
        <v>266.77328303000002</v>
      </c>
      <c r="CF67" s="1518">
        <v>272.51453470000001</v>
      </c>
      <c r="CG67" s="1518">
        <v>286.03250061</v>
      </c>
      <c r="CH67" s="1518">
        <v>289.86222113000002</v>
      </c>
      <c r="CI67" s="1523">
        <v>293.18479643000001</v>
      </c>
    </row>
    <row r="69" spans="2:87" x14ac:dyDescent="0.2">
      <c r="I69" s="1355"/>
      <c r="J69" s="1355"/>
      <c r="K69" s="1355"/>
      <c r="L69" s="1355"/>
      <c r="M69" s="1355"/>
      <c r="N69" s="1355"/>
      <c r="O69" s="1355"/>
      <c r="P69" s="1355"/>
      <c r="Q69" s="1355"/>
      <c r="R69" s="1355"/>
      <c r="S69" s="1355"/>
      <c r="T69" s="1355"/>
      <c r="U69" s="1355"/>
      <c r="V69" s="1355"/>
      <c r="W69" s="1355"/>
      <c r="X69" s="1355"/>
      <c r="Y69" s="1355"/>
      <c r="Z69" s="1355"/>
      <c r="AA69" s="1355"/>
      <c r="AB69" s="1355"/>
      <c r="AC69" s="1355"/>
      <c r="AD69" s="1355"/>
      <c r="AE69" s="1355"/>
      <c r="AF69" s="1355"/>
    </row>
    <row r="70" spans="2:87" x14ac:dyDescent="0.2">
      <c r="C70" s="1524" t="s">
        <v>742</v>
      </c>
    </row>
    <row r="71" spans="2:87" x14ac:dyDescent="0.2">
      <c r="AC71" s="1374">
        <v>2010</v>
      </c>
      <c r="AD71" s="1374">
        <v>2011</v>
      </c>
      <c r="AE71" s="1374">
        <v>2012</v>
      </c>
      <c r="AF71" s="1374">
        <v>2013</v>
      </c>
      <c r="AG71" s="1374">
        <v>2014</v>
      </c>
      <c r="AH71" s="1374">
        <v>2015</v>
      </c>
    </row>
    <row r="72" spans="2:87" x14ac:dyDescent="0.2">
      <c r="C72" s="1355" t="s">
        <v>743</v>
      </c>
      <c r="AC72" s="1525">
        <f>SUM(AC10:AC13)+AC16+AC37+AC41</f>
        <v>46.373459968036514</v>
      </c>
      <c r="AD72" s="1525">
        <f t="shared" ref="AD72:AH72" si="5">SUM(AD10:AD13)+AD16+AD37+AD41</f>
        <v>48.558108323996436</v>
      </c>
      <c r="AE72" s="1525">
        <f t="shared" si="5"/>
        <v>50.815860361005647</v>
      </c>
      <c r="AF72" s="1525">
        <f t="shared" si="5"/>
        <v>48.371931305742848</v>
      </c>
      <c r="AG72" s="1525">
        <f t="shared" si="5"/>
        <v>49.197787998722802</v>
      </c>
      <c r="AH72" s="1525">
        <f t="shared" si="5"/>
        <v>47.358557513759031</v>
      </c>
    </row>
    <row r="73" spans="2:87" x14ac:dyDescent="0.2">
      <c r="C73" s="1355" t="s">
        <v>744</v>
      </c>
      <c r="AC73" s="1525">
        <f>AC9</f>
        <v>18.646284063432901</v>
      </c>
      <c r="AD73" s="1525">
        <f t="shared" ref="AD73:AH73" si="6">AD9</f>
        <v>13.833843295348</v>
      </c>
      <c r="AE73" s="1525">
        <f t="shared" si="6"/>
        <v>13.912456764649701</v>
      </c>
      <c r="AF73" s="1525">
        <f t="shared" si="6"/>
        <v>10.0580327945951</v>
      </c>
      <c r="AG73" s="1525">
        <f t="shared" si="6"/>
        <v>6.0074201464293298</v>
      </c>
      <c r="AH73" s="1525">
        <f t="shared" si="6"/>
        <v>6.2075188031322002</v>
      </c>
    </row>
    <row r="74" spans="2:87" x14ac:dyDescent="0.2">
      <c r="C74" s="1355" t="s">
        <v>745</v>
      </c>
      <c r="AC74" s="1525">
        <f>AC17</f>
        <v>61.753238018175097</v>
      </c>
      <c r="AD74" s="1525">
        <f t="shared" ref="AD74:AH74" si="7">AD17</f>
        <v>61.334914572874794</v>
      </c>
      <c r="AE74" s="1525">
        <f t="shared" si="7"/>
        <v>58.978949813984102</v>
      </c>
      <c r="AF74" s="1525">
        <f t="shared" si="7"/>
        <v>61.622431385732902</v>
      </c>
      <c r="AG74" s="1525">
        <f t="shared" si="7"/>
        <v>59.932229014315894</v>
      </c>
      <c r="AH74" s="1525">
        <f t="shared" si="7"/>
        <v>61.1732202682525</v>
      </c>
    </row>
    <row r="75" spans="2:87" x14ac:dyDescent="0.2">
      <c r="C75" s="1355" t="s">
        <v>102</v>
      </c>
      <c r="AC75" s="1525">
        <f>AC14+AC15</f>
        <v>29.831184823771899</v>
      </c>
      <c r="AD75" s="1525">
        <f t="shared" ref="AD75:AH75" si="8">AD14+AD15</f>
        <v>32.359943225652501</v>
      </c>
      <c r="AE75" s="1525">
        <f t="shared" si="8"/>
        <v>29.278381435084</v>
      </c>
      <c r="AF75" s="1525">
        <f t="shared" si="8"/>
        <v>32.147860537132601</v>
      </c>
      <c r="AG75" s="1525">
        <f t="shared" si="8"/>
        <v>34.938121836796498</v>
      </c>
      <c r="AH75" s="1525">
        <f t="shared" si="8"/>
        <v>33.175708563280097</v>
      </c>
    </row>
    <row r="76" spans="2:87" x14ac:dyDescent="0.2">
      <c r="C76" s="1355" t="s">
        <v>746</v>
      </c>
      <c r="AC76" s="1525">
        <f>AC55</f>
        <v>10.440966476061</v>
      </c>
      <c r="AD76" s="1525">
        <f t="shared" ref="AD76:AH76" si="9">AD55</f>
        <v>9.8661980190880012</v>
      </c>
      <c r="AE76" s="1525">
        <f t="shared" si="9"/>
        <v>9.7394322844284194</v>
      </c>
      <c r="AF76" s="1525">
        <f t="shared" si="9"/>
        <v>10.155591958415799</v>
      </c>
      <c r="AG76" s="1525">
        <f t="shared" si="9"/>
        <v>9.8646988303758292</v>
      </c>
      <c r="AH76" s="1525">
        <f t="shared" si="9"/>
        <v>9.6575409198612903</v>
      </c>
    </row>
    <row r="77" spans="2:87" x14ac:dyDescent="0.2">
      <c r="C77" s="1355" t="s">
        <v>449</v>
      </c>
      <c r="AC77" s="1525">
        <f>AC63</f>
        <v>8.4199960410399992</v>
      </c>
      <c r="AD77" s="1525">
        <f t="shared" ref="AD77:AH77" si="10">AD63</f>
        <v>8.6799037316799996</v>
      </c>
      <c r="AE77" s="1525">
        <f t="shared" si="10"/>
        <v>8.6363149194000002</v>
      </c>
      <c r="AF77" s="1525">
        <f t="shared" si="10"/>
        <v>8.4770129280100015</v>
      </c>
      <c r="AG77" s="1525">
        <f t="shared" si="10"/>
        <v>8.5407065481300002</v>
      </c>
      <c r="AH77" s="1525">
        <f t="shared" si="10"/>
        <v>8.5951454307899997</v>
      </c>
    </row>
    <row r="78" spans="2:87" x14ac:dyDescent="0.2">
      <c r="C78" s="1355" t="s">
        <v>742</v>
      </c>
      <c r="AC78" s="1525">
        <f t="shared" ref="AC78:AH78" si="11">SUM(AC72:AC77)</f>
        <v>175.4651293905174</v>
      </c>
      <c r="AD78" s="1525">
        <f t="shared" si="11"/>
        <v>174.63291116863974</v>
      </c>
      <c r="AE78" s="1525">
        <f t="shared" si="11"/>
        <v>171.36139557855188</v>
      </c>
      <c r="AF78" s="1525">
        <f t="shared" si="11"/>
        <v>170.83286090962926</v>
      </c>
      <c r="AG78" s="1525">
        <f t="shared" si="11"/>
        <v>168.48096437477037</v>
      </c>
      <c r="AH78" s="1525">
        <f t="shared" si="11"/>
        <v>166.16769149907515</v>
      </c>
    </row>
    <row r="80" spans="2:87" x14ac:dyDescent="0.2">
      <c r="C80" s="1524" t="s">
        <v>68</v>
      </c>
    </row>
    <row r="81" spans="3:34" x14ac:dyDescent="0.2">
      <c r="AC81" s="1374">
        <v>2010</v>
      </c>
      <c r="AD81" s="1374">
        <v>2011</v>
      </c>
      <c r="AE81" s="1374">
        <v>2012</v>
      </c>
      <c r="AF81" s="1374">
        <v>2013</v>
      </c>
      <c r="AG81" s="1374">
        <v>2014</v>
      </c>
      <c r="AH81" s="1374">
        <v>2015</v>
      </c>
    </row>
    <row r="82" spans="3:34" x14ac:dyDescent="0.2">
      <c r="C82" s="1355" t="s">
        <v>754</v>
      </c>
      <c r="AC82" s="1525">
        <f>SUM(AC10:AC13)+AC16+AC42+AC46+AC48+AC53</f>
        <v>41.863654306777391</v>
      </c>
      <c r="AD82" s="1525">
        <f t="shared" ref="AD82:AH82" si="12">SUM(AD10:AD13)+AD16+AD42+AD46+AD48+AD53</f>
        <v>43.792058405890849</v>
      </c>
      <c r="AE82" s="1525">
        <f t="shared" si="12"/>
        <v>45.93211571765211</v>
      </c>
      <c r="AF82" s="1525">
        <f t="shared" si="12"/>
        <v>43.283917746704034</v>
      </c>
      <c r="AG82" s="1525">
        <f t="shared" si="12"/>
        <v>43.824916850169053</v>
      </c>
      <c r="AH82" s="1525">
        <f t="shared" si="12"/>
        <v>41.594326450018031</v>
      </c>
    </row>
    <row r="83" spans="3:34" x14ac:dyDescent="0.2">
      <c r="C83" s="1355" t="s">
        <v>744</v>
      </c>
      <c r="AC83" s="1525">
        <f t="shared" ref="AC83:AH83" si="13">AC9</f>
        <v>18.646284063432901</v>
      </c>
      <c r="AD83" s="1525">
        <f t="shared" si="13"/>
        <v>13.833843295348</v>
      </c>
      <c r="AE83" s="1525">
        <f t="shared" si="13"/>
        <v>13.912456764649701</v>
      </c>
      <c r="AF83" s="1525">
        <f t="shared" si="13"/>
        <v>10.0580327945951</v>
      </c>
      <c r="AG83" s="1525">
        <f t="shared" si="13"/>
        <v>6.0074201464293298</v>
      </c>
      <c r="AH83" s="1525">
        <f t="shared" si="13"/>
        <v>6.2075188031322002</v>
      </c>
    </row>
    <row r="84" spans="3:34" x14ac:dyDescent="0.2">
      <c r="C84" s="1355" t="s">
        <v>745</v>
      </c>
      <c r="AC84" s="1525">
        <f t="shared" ref="AC84:AH84" si="14">AC17-AC18-AC29</f>
        <v>58.769171753709543</v>
      </c>
      <c r="AD84" s="1525">
        <f t="shared" si="14"/>
        <v>58.648529734134748</v>
      </c>
      <c r="AE84" s="1525">
        <f t="shared" si="14"/>
        <v>55.800638224639513</v>
      </c>
      <c r="AF84" s="1525">
        <f t="shared" si="14"/>
        <v>58.123906320159286</v>
      </c>
      <c r="AG84" s="1525">
        <f t="shared" si="14"/>
        <v>56.472753978547793</v>
      </c>
      <c r="AH84" s="1525">
        <f t="shared" si="14"/>
        <v>58.019357056255082</v>
      </c>
    </row>
    <row r="85" spans="3:34" x14ac:dyDescent="0.2">
      <c r="C85" s="1355" t="s">
        <v>102</v>
      </c>
      <c r="AC85" s="1525">
        <f t="shared" ref="AC85:AH85" si="15">AC14+AC15</f>
        <v>29.831184823771899</v>
      </c>
      <c r="AD85" s="1525">
        <f t="shared" si="15"/>
        <v>32.359943225652501</v>
      </c>
      <c r="AE85" s="1525">
        <f t="shared" si="15"/>
        <v>29.278381435084</v>
      </c>
      <c r="AF85" s="1525">
        <f t="shared" si="15"/>
        <v>32.147860537132601</v>
      </c>
      <c r="AG85" s="1525">
        <f t="shared" si="15"/>
        <v>34.938121836796498</v>
      </c>
      <c r="AH85" s="1525">
        <f t="shared" si="15"/>
        <v>33.175708563280097</v>
      </c>
    </row>
    <row r="86" spans="3:34" x14ac:dyDescent="0.2">
      <c r="AG86" s="1357"/>
      <c r="AH86" s="1357"/>
    </row>
    <row r="87" spans="3:34" x14ac:dyDescent="0.2">
      <c r="C87" s="1355" t="s">
        <v>68</v>
      </c>
      <c r="AC87" s="1525">
        <f t="shared" ref="AC87:AH87" si="16">SUM(AC82:AC85)</f>
        <v>149.11029494769173</v>
      </c>
      <c r="AD87" s="1525">
        <f t="shared" si="16"/>
        <v>148.6343746610261</v>
      </c>
      <c r="AE87" s="1525">
        <f t="shared" si="16"/>
        <v>144.92359214202531</v>
      </c>
      <c r="AF87" s="1525">
        <f t="shared" si="16"/>
        <v>143.61371739859101</v>
      </c>
      <c r="AG87" s="1525">
        <f t="shared" si="16"/>
        <v>141.24321281194267</v>
      </c>
      <c r="AH87" s="1525">
        <f t="shared" si="16"/>
        <v>138.99691087268542</v>
      </c>
    </row>
    <row r="88" spans="3:34" x14ac:dyDescent="0.2">
      <c r="C88" s="1358"/>
    </row>
    <row r="89" spans="3:34" x14ac:dyDescent="0.2">
      <c r="C89" s="1358"/>
      <c r="AC89" s="1374">
        <v>2010</v>
      </c>
      <c r="AD89" s="1374">
        <v>2011</v>
      </c>
      <c r="AE89" s="1374">
        <v>2012</v>
      </c>
      <c r="AF89" s="1374">
        <v>2013</v>
      </c>
      <c r="AG89" s="1374">
        <v>2014</v>
      </c>
      <c r="AH89" s="1374">
        <v>2015</v>
      </c>
    </row>
    <row r="90" spans="3:34" x14ac:dyDescent="0.2">
      <c r="C90" s="1358" t="s">
        <v>750</v>
      </c>
      <c r="AC90" s="1525">
        <f>AC10+AC11+AC12+AC13+AC16</f>
        <v>24.632176836351057</v>
      </c>
      <c r="AD90" s="1525">
        <f t="shared" ref="AD90:AH90" si="17">AD10+AD11+AD12+AD13+AD16</f>
        <v>25.564833712584651</v>
      </c>
      <c r="AE90" s="1525">
        <f t="shared" si="17"/>
        <v>25.818009569243241</v>
      </c>
      <c r="AF90" s="1525">
        <f t="shared" si="17"/>
        <v>24.940970708120268</v>
      </c>
      <c r="AG90" s="1525">
        <f t="shared" si="17"/>
        <v>25.184378269339906</v>
      </c>
      <c r="AH90" s="1525">
        <f t="shared" si="17"/>
        <v>24.095455547482612</v>
      </c>
    </row>
    <row r="91" spans="3:34" x14ac:dyDescent="0.2">
      <c r="C91" s="1542" t="s">
        <v>751</v>
      </c>
      <c r="AC91" s="1525">
        <f>AC43+AC44+AC45+AC49+AC51+AC53</f>
        <v>17.231477470426334</v>
      </c>
      <c r="AD91" s="1525">
        <f t="shared" ref="AD91:AH91" si="18">AD43+AD44+AD45+AD49+AD51+AD53</f>
        <v>18.227224693306241</v>
      </c>
      <c r="AE91" s="1525">
        <f t="shared" si="18"/>
        <v>20.114106148408876</v>
      </c>
      <c r="AF91" s="1525">
        <f t="shared" si="18"/>
        <v>18.342947038583766</v>
      </c>
      <c r="AG91" s="1525">
        <f t="shared" si="18"/>
        <v>18.640538580829151</v>
      </c>
      <c r="AH91" s="1525">
        <f t="shared" si="18"/>
        <v>17.498870902535415</v>
      </c>
    </row>
    <row r="92" spans="3:34" x14ac:dyDescent="0.2">
      <c r="C92" s="1542" t="s">
        <v>752</v>
      </c>
      <c r="AC92" s="1525">
        <f>AC43+AC44+AC45+AC49+AC51</f>
        <v>12.727918255350966</v>
      </c>
      <c r="AD92" s="1525">
        <f t="shared" ref="AD92:AH92" si="19">AD43+AD44+AD45+AD49+AD51</f>
        <v>13.684605144080528</v>
      </c>
      <c r="AE92" s="1525">
        <f t="shared" si="19"/>
        <v>14.079242912259966</v>
      </c>
      <c r="AF92" s="1525">
        <f t="shared" si="19"/>
        <v>11.576337422039066</v>
      </c>
      <c r="AG92" s="1525">
        <f t="shared" si="19"/>
        <v>12.51157880802897</v>
      </c>
      <c r="AH92" s="1525">
        <f t="shared" si="19"/>
        <v>11.668492668343255</v>
      </c>
    </row>
    <row r="97" spans="2:34" s="1527" customFormat="1" x14ac:dyDescent="0.2">
      <c r="B97" s="1526"/>
      <c r="D97" s="1372"/>
      <c r="E97" s="1372"/>
      <c r="H97" s="1528"/>
      <c r="I97" s="1374">
        <v>1990</v>
      </c>
      <c r="J97" s="1374">
        <f t="shared" ref="J97:AH97" si="20">I97+1</f>
        <v>1991</v>
      </c>
      <c r="K97" s="1374">
        <f t="shared" si="20"/>
        <v>1992</v>
      </c>
      <c r="L97" s="1374">
        <f t="shared" si="20"/>
        <v>1993</v>
      </c>
      <c r="M97" s="1374">
        <f t="shared" si="20"/>
        <v>1994</v>
      </c>
      <c r="N97" s="1374">
        <f t="shared" si="20"/>
        <v>1995</v>
      </c>
      <c r="O97" s="1374">
        <f t="shared" si="20"/>
        <v>1996</v>
      </c>
      <c r="P97" s="1374">
        <f t="shared" si="20"/>
        <v>1997</v>
      </c>
      <c r="Q97" s="1374">
        <f t="shared" si="20"/>
        <v>1998</v>
      </c>
      <c r="R97" s="1374">
        <f t="shared" si="20"/>
        <v>1999</v>
      </c>
      <c r="S97" s="1374">
        <f t="shared" si="20"/>
        <v>2000</v>
      </c>
      <c r="T97" s="1374">
        <f t="shared" si="20"/>
        <v>2001</v>
      </c>
      <c r="U97" s="1374">
        <f t="shared" si="20"/>
        <v>2002</v>
      </c>
      <c r="V97" s="1374">
        <f t="shared" si="20"/>
        <v>2003</v>
      </c>
      <c r="W97" s="1374">
        <f t="shared" si="20"/>
        <v>2004</v>
      </c>
      <c r="X97" s="1374">
        <f t="shared" si="20"/>
        <v>2005</v>
      </c>
      <c r="Y97" s="1374">
        <f t="shared" si="20"/>
        <v>2006</v>
      </c>
      <c r="Z97" s="1374">
        <f t="shared" si="20"/>
        <v>2007</v>
      </c>
      <c r="AA97" s="1374">
        <f t="shared" si="20"/>
        <v>2008</v>
      </c>
      <c r="AB97" s="1374">
        <f t="shared" si="20"/>
        <v>2009</v>
      </c>
      <c r="AC97" s="1374">
        <f t="shared" si="20"/>
        <v>2010</v>
      </c>
      <c r="AD97" s="1374">
        <f t="shared" si="20"/>
        <v>2011</v>
      </c>
      <c r="AE97" s="1374">
        <f t="shared" si="20"/>
        <v>2012</v>
      </c>
      <c r="AF97" s="1374">
        <f t="shared" si="20"/>
        <v>2013</v>
      </c>
      <c r="AG97" s="1374">
        <f t="shared" si="20"/>
        <v>2014</v>
      </c>
      <c r="AH97" s="1374">
        <f t="shared" si="20"/>
        <v>2015</v>
      </c>
    </row>
    <row r="98" spans="2:34" s="948" customFormat="1" x14ac:dyDescent="0.2">
      <c r="B98" s="1529"/>
      <c r="D98" s="1530"/>
      <c r="E98" s="1530"/>
      <c r="F98" s="1530" t="s">
        <v>68</v>
      </c>
      <c r="H98" s="1531"/>
      <c r="I98" s="1532">
        <f t="shared" ref="I98:AB98" si="21">SUM(I9:I16)+SUM(I20:I28)+SUM(I31:I36)+SUM(I43:I45)+I47+SUM(I49:I51)</f>
        <v>153816.8369195105</v>
      </c>
      <c r="J98" s="1532">
        <f t="shared" si="21"/>
        <v>153787.77716905976</v>
      </c>
      <c r="K98" s="1532">
        <f t="shared" si="21"/>
        <v>157337.18703686612</v>
      </c>
      <c r="L98" s="1532">
        <f t="shared" si="21"/>
        <v>148569.63176256121</v>
      </c>
      <c r="M98" s="1532">
        <f t="shared" si="21"/>
        <v>150274.3154472477</v>
      </c>
      <c r="N98" s="1532">
        <f t="shared" si="21"/>
        <v>154097.26557071236</v>
      </c>
      <c r="O98" s="1532">
        <f t="shared" si="21"/>
        <v>162334.85095115023</v>
      </c>
      <c r="P98" s="1532">
        <f t="shared" si="21"/>
        <v>167478.77153123039</v>
      </c>
      <c r="Q98" s="1532">
        <f t="shared" si="21"/>
        <v>166648.52214520954</v>
      </c>
      <c r="R98" s="1532">
        <f t="shared" si="21"/>
        <v>170532.22410381932</v>
      </c>
      <c r="S98" s="1532">
        <f t="shared" si="21"/>
        <v>179935.43215134996</v>
      </c>
      <c r="T98" s="1532">
        <f t="shared" si="21"/>
        <v>171578.48718273418</v>
      </c>
      <c r="U98" s="1532">
        <f t="shared" si="21"/>
        <v>174217.14913100575</v>
      </c>
      <c r="V98" s="1532">
        <f t="shared" si="21"/>
        <v>175958.55011446757</v>
      </c>
      <c r="W98" s="1532">
        <f t="shared" si="21"/>
        <v>172363.75863427127</v>
      </c>
      <c r="X98" s="1532">
        <f t="shared" si="21"/>
        <v>174498.33359776239</v>
      </c>
      <c r="Y98" s="1532">
        <f t="shared" si="21"/>
        <v>164163.83280912277</v>
      </c>
      <c r="Z98" s="1532">
        <f t="shared" si="21"/>
        <v>167903.11584678473</v>
      </c>
      <c r="AA98" s="1532">
        <f t="shared" si="21"/>
        <v>160424.55410967499</v>
      </c>
      <c r="AB98" s="1532">
        <f t="shared" si="21"/>
        <v>137884.35501331088</v>
      </c>
      <c r="AC98" s="1532">
        <f>SUM(AC9:AC16)+SUM(AC20:AC28)+SUM(AC31:AC36)+SUM(AC43:AC45)+AC47+SUM(AC49:AC51)+AC53</f>
        <v>149.11029494769178</v>
      </c>
      <c r="AD98" s="1532">
        <f t="shared" ref="AD98:AH98" si="22">SUM(AD9:AD16)+SUM(AD20:AD28)+SUM(AD31:AD36)+SUM(AD43:AD45)+AD47+SUM(AD49:AD51)+AD53</f>
        <v>148.63437466102624</v>
      </c>
      <c r="AE98" s="1532">
        <f t="shared" si="22"/>
        <v>144.92359214202523</v>
      </c>
      <c r="AF98" s="1532">
        <f t="shared" si="22"/>
        <v>143.61371739859101</v>
      </c>
      <c r="AG98" s="1532">
        <f t="shared" si="22"/>
        <v>141.24321281194267</v>
      </c>
      <c r="AH98" s="1532">
        <f t="shared" si="22"/>
        <v>138.99691087268548</v>
      </c>
    </row>
    <row r="99" spans="2:34" s="948" customFormat="1" x14ac:dyDescent="0.2">
      <c r="B99" s="1529"/>
      <c r="D99" s="768"/>
      <c r="E99" s="768"/>
      <c r="F99" s="768" t="s">
        <v>747</v>
      </c>
      <c r="H99" s="1531"/>
      <c r="I99" s="1532">
        <f t="shared" ref="I99:AB99" si="23">I18+I29+I37+I52+I53+I54+I55+I63</f>
        <v>27451.111458296989</v>
      </c>
      <c r="J99" s="1532">
        <f t="shared" si="23"/>
        <v>27361.925923324547</v>
      </c>
      <c r="K99" s="1532">
        <f t="shared" si="23"/>
        <v>27322.499712788282</v>
      </c>
      <c r="L99" s="1532">
        <f t="shared" si="23"/>
        <v>26032.27465391592</v>
      </c>
      <c r="M99" s="1532">
        <f t="shared" si="23"/>
        <v>26406.283272558318</v>
      </c>
      <c r="N99" s="1532">
        <f t="shared" si="23"/>
        <v>27212.783691646793</v>
      </c>
      <c r="O99" s="1532">
        <f t="shared" si="23"/>
        <v>27254.17406186647</v>
      </c>
      <c r="P99" s="1532">
        <f t="shared" si="23"/>
        <v>27487.624353895535</v>
      </c>
      <c r="Q99" s="1532">
        <f t="shared" si="23"/>
        <v>28323.697725370406</v>
      </c>
      <c r="R99" s="1532">
        <f t="shared" si="23"/>
        <v>29354.245933032609</v>
      </c>
      <c r="S99" s="1532">
        <f t="shared" si="23"/>
        <v>28567.29449007451</v>
      </c>
      <c r="T99" s="1532">
        <f t="shared" si="23"/>
        <v>28157.023835233013</v>
      </c>
      <c r="U99" s="1532">
        <f t="shared" si="23"/>
        <v>29600.366132720501</v>
      </c>
      <c r="V99" s="1532">
        <f t="shared" si="23"/>
        <v>29985.265389556796</v>
      </c>
      <c r="W99" s="1532">
        <f t="shared" si="23"/>
        <v>32443.892404249185</v>
      </c>
      <c r="X99" s="1532">
        <f t="shared" si="23"/>
        <v>29880.031700743915</v>
      </c>
      <c r="Y99" s="1532">
        <f t="shared" si="23"/>
        <v>31164.555667345659</v>
      </c>
      <c r="Z99" s="1532">
        <f t="shared" si="23"/>
        <v>31315.572908228376</v>
      </c>
      <c r="AA99" s="1532">
        <f t="shared" si="23"/>
        <v>29956.87637008831</v>
      </c>
      <c r="AB99" s="1532">
        <f t="shared" si="23"/>
        <v>29112.361251860959</v>
      </c>
      <c r="AC99" s="1532">
        <f>AC18+AC29+AC37+AC52+AC54+AC55+AC63</f>
        <v>26.35483444282572</v>
      </c>
      <c r="AD99" s="1532">
        <f t="shared" ref="AD99:AH99" si="24">AD18+AD29+AD37+AD52+AD54+AD55+AD63</f>
        <v>25.998536507613583</v>
      </c>
      <c r="AE99" s="1532">
        <f t="shared" si="24"/>
        <v>26.437803436526522</v>
      </c>
      <c r="AF99" s="1532">
        <f t="shared" si="24"/>
        <v>27.21914351103818</v>
      </c>
      <c r="AG99" s="1532">
        <f t="shared" si="24"/>
        <v>27.237751562827643</v>
      </c>
      <c r="AH99" s="1532">
        <f t="shared" si="24"/>
        <v>27.170780626389707</v>
      </c>
    </row>
    <row r="100" spans="2:34" s="948" customFormat="1" x14ac:dyDescent="0.2">
      <c r="B100" s="1529"/>
      <c r="H100" s="1531"/>
    </row>
    <row r="101" spans="2:34" s="948" customFormat="1" x14ac:dyDescent="0.2">
      <c r="B101" s="1529"/>
      <c r="F101" s="948" t="s">
        <v>748</v>
      </c>
      <c r="H101" s="1531"/>
      <c r="I101" s="1532">
        <f>SUM(I98:I99)</f>
        <v>181267.94837780751</v>
      </c>
      <c r="J101" s="1532">
        <f t="shared" ref="J101:AH101" si="25">J98+J99</f>
        <v>181149.7030923843</v>
      </c>
      <c r="K101" s="1532">
        <f t="shared" si="25"/>
        <v>184659.68674965441</v>
      </c>
      <c r="L101" s="1532">
        <f t="shared" si="25"/>
        <v>174601.90641647714</v>
      </c>
      <c r="M101" s="1532">
        <f t="shared" si="25"/>
        <v>176680.59871980603</v>
      </c>
      <c r="N101" s="1532">
        <f t="shared" si="25"/>
        <v>181310.04926235916</v>
      </c>
      <c r="O101" s="1532">
        <f t="shared" si="25"/>
        <v>189589.02501301671</v>
      </c>
      <c r="P101" s="1532">
        <f t="shared" si="25"/>
        <v>194966.39588512594</v>
      </c>
      <c r="Q101" s="1532">
        <f t="shared" si="25"/>
        <v>194972.21987057995</v>
      </c>
      <c r="R101" s="1532">
        <f t="shared" si="25"/>
        <v>199886.47003685194</v>
      </c>
      <c r="S101" s="1532">
        <f t="shared" si="25"/>
        <v>208502.72664142447</v>
      </c>
      <c r="T101" s="1532">
        <f t="shared" si="25"/>
        <v>199735.51101796719</v>
      </c>
      <c r="U101" s="1532">
        <f t="shared" si="25"/>
        <v>203817.51526372624</v>
      </c>
      <c r="V101" s="1532">
        <f t="shared" si="25"/>
        <v>205943.81550402436</v>
      </c>
      <c r="W101" s="1532">
        <f t="shared" si="25"/>
        <v>204807.65103852045</v>
      </c>
      <c r="X101" s="1532">
        <f t="shared" si="25"/>
        <v>204378.36529850631</v>
      </c>
      <c r="Y101" s="1532">
        <f t="shared" si="25"/>
        <v>195328.38847646845</v>
      </c>
      <c r="Z101" s="1532">
        <f t="shared" si="25"/>
        <v>199218.68875501311</v>
      </c>
      <c r="AA101" s="1532">
        <f t="shared" si="25"/>
        <v>190381.43047976331</v>
      </c>
      <c r="AB101" s="1532">
        <f t="shared" si="25"/>
        <v>166996.71626517182</v>
      </c>
      <c r="AC101" s="1532">
        <f t="shared" si="25"/>
        <v>175.46512939051752</v>
      </c>
      <c r="AD101" s="1532">
        <f t="shared" si="25"/>
        <v>174.63291116863982</v>
      </c>
      <c r="AE101" s="1532">
        <f t="shared" si="25"/>
        <v>171.36139557855176</v>
      </c>
      <c r="AF101" s="1532">
        <f t="shared" si="25"/>
        <v>170.83286090962918</v>
      </c>
      <c r="AG101" s="1532">
        <f t="shared" si="25"/>
        <v>168.48096437477031</v>
      </c>
      <c r="AH101" s="1532">
        <f t="shared" si="25"/>
        <v>166.16769149907518</v>
      </c>
    </row>
    <row r="102" spans="2:34" s="1534" customFormat="1" x14ac:dyDescent="0.2">
      <c r="B102" s="1533"/>
      <c r="H102" s="1531"/>
      <c r="I102" s="1535"/>
      <c r="J102" s="1535"/>
      <c r="K102" s="1535"/>
      <c r="L102" s="1535"/>
      <c r="M102" s="1535"/>
      <c r="N102" s="1535"/>
      <c r="O102" s="1535"/>
      <c r="P102" s="1535"/>
      <c r="Q102" s="1535"/>
      <c r="R102" s="1535"/>
      <c r="S102" s="1535"/>
      <c r="T102" s="1535"/>
      <c r="U102" s="1535"/>
      <c r="V102" s="1535"/>
      <c r="W102" s="1535"/>
      <c r="X102" s="1535"/>
      <c r="Y102" s="1535"/>
      <c r="Z102" s="1535"/>
      <c r="AA102" s="1535"/>
      <c r="AB102" s="1535"/>
      <c r="AC102" s="1535"/>
      <c r="AD102" s="1535"/>
      <c r="AE102" s="1535"/>
      <c r="AF102" s="1535"/>
      <c r="AG102" s="1535"/>
      <c r="AH102" s="1535"/>
    </row>
    <row r="104" spans="2:34" x14ac:dyDescent="0.2">
      <c r="F104" s="1355" t="s">
        <v>749</v>
      </c>
      <c r="AC104" s="1536">
        <f>SUM(AC9:AC16)+SUM(AC20:AC28)+SUM(AC31:AC36)+SUM(AC43:AC45)+AC47+SUM(AC49:AC51)</f>
        <v>144.60673573261641</v>
      </c>
      <c r="AD104" s="1536">
        <f t="shared" ref="AD104:AH104" si="26">SUM(AD9:AD16)+SUM(AD20:AD28)+SUM(AD31:AD36)+SUM(AD43:AD45)+AD47+SUM(AD49:AD51)</f>
        <v>144.09175511180052</v>
      </c>
      <c r="AE104" s="1536">
        <f t="shared" si="26"/>
        <v>138.88872890587632</v>
      </c>
      <c r="AF104" s="1536">
        <f t="shared" si="26"/>
        <v>136.84710778204629</v>
      </c>
      <c r="AG104" s="1536">
        <f t="shared" si="26"/>
        <v>135.11425303914248</v>
      </c>
      <c r="AH104" s="1536">
        <f t="shared" si="26"/>
        <v>133.16653263849332</v>
      </c>
    </row>
    <row r="106" spans="2:34" x14ac:dyDescent="0.2">
      <c r="AG106" s="1537"/>
    </row>
  </sheetData>
  <pageMargins left="0.7" right="0.7" top="0.75" bottom="0.75" header="0.3" footer="0.3"/>
  <pageSetup paperSize="17" scale="1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22"/>
  <sheetViews>
    <sheetView topLeftCell="A35" workbookViewId="0">
      <selection activeCell="L64" sqref="L64"/>
    </sheetView>
  </sheetViews>
  <sheetFormatPr defaultRowHeight="15" x14ac:dyDescent="0.25"/>
  <cols>
    <col min="1" max="1" width="7.5703125" style="785" customWidth="1"/>
    <col min="2" max="2" width="63.140625" style="312" customWidth="1"/>
    <col min="3" max="3" width="11" style="312" hidden="1" customWidth="1"/>
    <col min="4" max="9" width="9.140625" style="312" hidden="1" customWidth="1"/>
    <col min="10" max="12" width="15.5703125" style="312" bestFit="1" customWidth="1"/>
    <col min="13" max="13" width="16.7109375" style="312" bestFit="1" customWidth="1"/>
    <col min="14" max="15" width="9.140625" style="312" customWidth="1"/>
    <col min="16" max="16" width="9" style="312" customWidth="1"/>
    <col min="17" max="23" width="9.140625" style="312" customWidth="1"/>
    <col min="24" max="24" width="5.140625" style="801" customWidth="1"/>
    <col min="25" max="25" width="14.42578125" style="312" customWidth="1"/>
    <col min="26" max="26" width="40" style="312" customWidth="1"/>
    <col min="27" max="27" width="14.28515625" style="312" customWidth="1"/>
    <col min="28" max="28" width="2.28515625" style="312" customWidth="1"/>
    <col min="29" max="29" width="38.28515625" style="312" customWidth="1"/>
    <col min="30" max="30" width="9.140625" style="312"/>
    <col min="31" max="31" width="14.42578125" style="312" customWidth="1"/>
    <col min="32" max="32" width="17.140625" style="312" customWidth="1"/>
    <col min="33" max="33" width="16.5703125" style="312" customWidth="1"/>
    <col min="34" max="16384" width="9.140625" style="312"/>
  </cols>
  <sheetData>
    <row r="1" spans="1:63" ht="18.75" x14ac:dyDescent="0.3">
      <c r="A1" s="1245" t="s">
        <v>590</v>
      </c>
    </row>
    <row r="3" spans="1:63" x14ac:dyDescent="0.25">
      <c r="B3" s="808" t="s">
        <v>487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841">
        <v>6.2047475098184792</v>
      </c>
      <c r="O3" s="841">
        <v>7.268120684340591</v>
      </c>
      <c r="P3" s="841">
        <v>8.5137353612774103</v>
      </c>
      <c r="Q3" s="841">
        <v>9.9728241934719009</v>
      </c>
      <c r="R3" s="841">
        <v>11.681972503662109</v>
      </c>
      <c r="S3" s="841">
        <v>11.801158804716309</v>
      </c>
      <c r="T3" s="841">
        <v>11.921561113970709</v>
      </c>
      <c r="U3" s="841">
        <v>12.04319183785063</v>
      </c>
      <c r="V3" s="841">
        <v>12.166063509358979</v>
      </c>
      <c r="W3" s="841">
        <v>12.290188789367676</v>
      </c>
      <c r="X3" s="940"/>
      <c r="Y3" s="825" t="s">
        <v>464</v>
      </c>
    </row>
    <row r="4" spans="1:63" x14ac:dyDescent="0.25">
      <c r="C4" s="781">
        <v>2010</v>
      </c>
      <c r="D4" s="781">
        <v>2011</v>
      </c>
      <c r="E4" s="781">
        <v>2012</v>
      </c>
      <c r="F4" s="781">
        <v>2013</v>
      </c>
      <c r="G4" s="781">
        <v>2014</v>
      </c>
      <c r="H4" s="781">
        <v>2015</v>
      </c>
      <c r="I4" s="781">
        <v>2016</v>
      </c>
      <c r="J4" s="781">
        <v>2017</v>
      </c>
      <c r="K4" s="781">
        <v>2018</v>
      </c>
      <c r="L4" s="781">
        <v>2019</v>
      </c>
      <c r="M4" s="781">
        <v>2020</v>
      </c>
      <c r="N4" s="781">
        <v>2021</v>
      </c>
      <c r="O4" s="781">
        <v>2022</v>
      </c>
      <c r="P4" s="781">
        <v>2023</v>
      </c>
      <c r="Q4" s="781">
        <v>2024</v>
      </c>
      <c r="R4" s="781">
        <v>2025</v>
      </c>
      <c r="S4" s="781">
        <v>2026</v>
      </c>
      <c r="T4" s="781">
        <v>2027</v>
      </c>
      <c r="U4" s="781">
        <v>2028</v>
      </c>
      <c r="V4" s="781">
        <v>2029</v>
      </c>
      <c r="W4" s="781">
        <v>2030</v>
      </c>
      <c r="X4" s="941"/>
    </row>
    <row r="5" spans="1:63" x14ac:dyDescent="0.25">
      <c r="B5" s="782" t="s">
        <v>2</v>
      </c>
      <c r="C5" s="973">
        <v>19.802272114057871</v>
      </c>
      <c r="D5" s="973">
        <v>14.218297326696581</v>
      </c>
      <c r="E5" s="973">
        <v>14.154796364649654</v>
      </c>
      <c r="F5" s="973">
        <v>10.890218042777901</v>
      </c>
      <c r="G5" s="973">
        <v>11.203585624694824</v>
      </c>
      <c r="H5" s="973">
        <v>9.1245328705612145</v>
      </c>
      <c r="I5" s="973">
        <v>7.4312905613393676</v>
      </c>
      <c r="J5" s="981">
        <v>6.480922986572784</v>
      </c>
      <c r="K5" s="981">
        <v>6.480922986572784</v>
      </c>
      <c r="L5" s="981">
        <v>6.480922986572784</v>
      </c>
      <c r="M5" s="981">
        <v>6.480922986572784</v>
      </c>
      <c r="N5" s="1158">
        <f>VLOOKUP($Z$10,$AC$9:$AM$10,2,FALSE)</f>
        <v>3.6</v>
      </c>
      <c r="O5" s="1158">
        <f>VLOOKUP($Z$10,$AC$9:$AM$10,3,FALSE)</f>
        <v>3.7</v>
      </c>
      <c r="P5" s="1158">
        <f>VLOOKUP($Z$10,$AC$9:$AM$10,4,FALSE)</f>
        <v>4.2</v>
      </c>
      <c r="Q5" s="1158">
        <f>VLOOKUP($Z$10,$AC$9:$AM$10,5,FALSE)</f>
        <v>3.4</v>
      </c>
      <c r="R5" s="1158">
        <f>VLOOKUP($Z$10,$AC$9:$AM$10,6,FALSE)</f>
        <v>4.7</v>
      </c>
      <c r="S5" s="1158">
        <f>VLOOKUP($Z$10,$AC$9:$AM$10,7,FALSE)</f>
        <v>3.8</v>
      </c>
      <c r="T5" s="1158">
        <f>VLOOKUP($Z$10,$AC$9:$AM$10,8,FALSE)</f>
        <v>3.9</v>
      </c>
      <c r="U5" s="1158">
        <f>VLOOKUP($Z$10,$AC$9:$AM$10,9,FALSE)</f>
        <v>3.7</v>
      </c>
      <c r="V5" s="1158">
        <f>VLOOKUP($Z$10,$AC$9:$AM$10,10,FALSE)</f>
        <v>3.9</v>
      </c>
      <c r="W5" s="1158">
        <f>VLOOKUP($Z$10,$AC$9:$AM$10,11,FALSE)</f>
        <v>3.8</v>
      </c>
      <c r="X5" s="942"/>
      <c r="Y5" s="764" t="s">
        <v>279</v>
      </c>
      <c r="Z5" s="783"/>
      <c r="AA5" s="807" t="s">
        <v>188</v>
      </c>
      <c r="AC5" s="972">
        <f>'Electricity Sector Emissions'!AI16</f>
        <v>3.8699999999999997</v>
      </c>
    </row>
    <row r="6" spans="1:63" x14ac:dyDescent="0.25">
      <c r="B6" s="784" t="s">
        <v>36</v>
      </c>
      <c r="C6" s="974">
        <v>48.153857491964324</v>
      </c>
      <c r="D6" s="974">
        <v>48.226252177063913</v>
      </c>
      <c r="E6" s="974">
        <v>50.264395594747157</v>
      </c>
      <c r="F6" s="974">
        <v>47.724434817226481</v>
      </c>
      <c r="G6" s="974">
        <v>42.753318071365356</v>
      </c>
      <c r="H6" s="974">
        <v>43.285277502838987</v>
      </c>
      <c r="I6" s="974">
        <v>43.852775138730451</v>
      </c>
      <c r="J6" s="982">
        <v>44.458276212215424</v>
      </c>
      <c r="K6" s="982">
        <v>43.980439598331451</v>
      </c>
      <c r="L6" s="982">
        <v>43.510511354802844</v>
      </c>
      <c r="M6" s="982">
        <v>43.048317611217499</v>
      </c>
      <c r="N6" s="983">
        <f>('Navius Reference_July252017'!O134+'Navius Reference_July252017'!O143+'Navius Reference_July252017'!O144+'Navius Reference_July252017'!O147)</f>
        <v>52.461786756964891</v>
      </c>
      <c r="O6" s="983">
        <f>('Navius Reference_July252017'!P134+'Navius Reference_July252017'!P143+'Navius Reference_July252017'!P144+'Navius Reference_July252017'!P147)</f>
        <v>53.257057207226921</v>
      </c>
      <c r="P6" s="983">
        <f>('Navius Reference_July252017'!Q134+'Navius Reference_July252017'!Q143+'Navius Reference_July252017'!Q144+'Navius Reference_July252017'!Q147)</f>
        <v>54.070548588893615</v>
      </c>
      <c r="Q6" s="983">
        <f>('Navius Reference_July252017'!R134+'Navius Reference_July252017'!R143+'Navius Reference_July252017'!R144+'Navius Reference_July252017'!R147)</f>
        <v>54.902646373222211</v>
      </c>
      <c r="R6" s="983">
        <f>('Navius Reference_July252017'!S134+'Navius Reference_July252017'!S143+'Navius Reference_July252017'!S144+'Navius Reference_July252017'!S147)</f>
        <v>55.753743801265955</v>
      </c>
      <c r="S6" s="983">
        <f>('Navius Reference_July252017'!T134+'Navius Reference_July252017'!T143+'Navius Reference_July252017'!T144+'Navius Reference_July252017'!T147)</f>
        <v>56.187878529966568</v>
      </c>
      <c r="T6" s="983">
        <f>('Navius Reference_July252017'!U134+'Navius Reference_July252017'!U143+'Navius Reference_July252017'!U144+'Navius Reference_July252017'!U147)</f>
        <v>56.633379387590203</v>
      </c>
      <c r="U6" s="983">
        <f>('Navius Reference_July252017'!V134+'Navius Reference_July252017'!V143+'Navius Reference_July252017'!V144+'Navius Reference_July252017'!V147)</f>
        <v>57.090376447158448</v>
      </c>
      <c r="V6" s="983">
        <f>('Navius Reference_July252017'!W134+'Navius Reference_July252017'!W143+'Navius Reference_July252017'!W144+'Navius Reference_July252017'!W147)</f>
        <v>57.559002722841527</v>
      </c>
      <c r="W6" s="983">
        <f>('Navius Reference_July252017'!X134+'Navius Reference_July252017'!X143+'Navius Reference_July252017'!X144+'Navius Reference_July252017'!X147)</f>
        <v>58.039394211024046</v>
      </c>
      <c r="X6" s="943"/>
      <c r="Y6" s="517"/>
      <c r="Z6" s="517"/>
      <c r="AA6" s="517"/>
      <c r="AB6" s="517"/>
      <c r="AC6" s="785"/>
    </row>
    <row r="7" spans="1:63" x14ac:dyDescent="0.25">
      <c r="B7" s="786" t="s">
        <v>102</v>
      </c>
      <c r="C7" s="975">
        <v>30.272845283072691</v>
      </c>
      <c r="D7" s="975">
        <v>32.797226056226869</v>
      </c>
      <c r="E7" s="975">
        <v>29.696949734732314</v>
      </c>
      <c r="F7" s="975">
        <v>32.620695328766317</v>
      </c>
      <c r="G7" s="975">
        <v>31.014080047607422</v>
      </c>
      <c r="H7" s="975">
        <v>31.393143456940372</v>
      </c>
      <c r="I7" s="975">
        <v>31.776839893210589</v>
      </c>
      <c r="J7" s="982">
        <v>32.165225982666016</v>
      </c>
      <c r="K7" s="982">
        <v>32.592082207940031</v>
      </c>
      <c r="L7" s="982">
        <v>33.024603129527812</v>
      </c>
      <c r="M7" s="982">
        <v>33.462863922119141</v>
      </c>
      <c r="N7" s="984">
        <f>'Navius Reference_July252017'!O135</f>
        <v>30.999556633929888</v>
      </c>
      <c r="O7" s="984">
        <f>'Navius Reference_July252017'!P135</f>
        <v>30.807101122619521</v>
      </c>
      <c r="P7" s="984">
        <f>'Navius Reference_July252017'!Q135</f>
        <v>30.621896819522298</v>
      </c>
      <c r="Q7" s="984">
        <f>'Navius Reference_July252017'!R135</f>
        <v>30.443863418672898</v>
      </c>
      <c r="R7" s="984">
        <f>'Navius Reference_July252017'!S135</f>
        <v>30.272922515869141</v>
      </c>
      <c r="S7" s="984">
        <f>'Navius Reference_July252017'!T135</f>
        <v>30.341810210724589</v>
      </c>
      <c r="T7" s="984">
        <f>'Navius Reference_July252017'!U135</f>
        <v>30.412628698427593</v>
      </c>
      <c r="U7" s="984">
        <f>'Navius Reference_July252017'!V135</f>
        <v>30.485395251323695</v>
      </c>
      <c r="V7" s="984">
        <f>'Navius Reference_July252017'!W135</f>
        <v>30.560127358397395</v>
      </c>
      <c r="W7" s="984">
        <f>'Navius Reference_July252017'!X135</f>
        <v>30.636842727661133</v>
      </c>
      <c r="X7" s="944"/>
      <c r="Y7" s="173"/>
      <c r="Z7" s="173"/>
      <c r="AA7" s="173"/>
      <c r="AB7" s="173"/>
      <c r="AC7" s="1005">
        <v>1</v>
      </c>
      <c r="AD7" s="1005">
        <v>2</v>
      </c>
      <c r="AE7" s="1005">
        <v>3</v>
      </c>
      <c r="AF7" s="1005">
        <v>4</v>
      </c>
      <c r="AG7" s="1005">
        <v>5</v>
      </c>
      <c r="AH7" s="1005">
        <v>6</v>
      </c>
      <c r="AI7" s="1005">
        <v>7</v>
      </c>
      <c r="AJ7" s="1005">
        <v>8</v>
      </c>
      <c r="AK7" s="1005">
        <v>9</v>
      </c>
      <c r="AL7" s="1005">
        <v>10</v>
      </c>
      <c r="AM7" s="1005">
        <v>11</v>
      </c>
    </row>
    <row r="8" spans="1:63" x14ac:dyDescent="0.25">
      <c r="B8" s="787" t="s">
        <v>39</v>
      </c>
      <c r="C8" s="976">
        <v>60.426722889783676</v>
      </c>
      <c r="D8" s="976">
        <v>60.134993175496092</v>
      </c>
      <c r="E8" s="976">
        <v>57.690767086868441</v>
      </c>
      <c r="F8" s="976">
        <v>60.205905493701792</v>
      </c>
      <c r="G8" s="976">
        <v>61.467746496200562</v>
      </c>
      <c r="H8" s="976">
        <v>62.571428300550792</v>
      </c>
      <c r="I8" s="976">
        <v>63.694927221920743</v>
      </c>
      <c r="J8" s="982">
        <v>64.8385990858078</v>
      </c>
      <c r="K8" s="982">
        <v>65.256478266588445</v>
      </c>
      <c r="L8" s="982">
        <v>65.677050642660035</v>
      </c>
      <c r="M8" s="982">
        <v>66.100333571434021</v>
      </c>
      <c r="N8" s="984">
        <f>('Navius Reference_July252017'!O136+'Navius Reference_July252017'!O140+'Navius Reference_July252017'!O141)</f>
        <v>58.729579289685297</v>
      </c>
      <c r="O8" s="984">
        <f>('Navius Reference_July252017'!P136+'Navius Reference_July252017'!P140+'Navius Reference_July252017'!P141)</f>
        <v>58.052460941051784</v>
      </c>
      <c r="P8" s="984">
        <f>('Navius Reference_July252017'!Q136+'Navius Reference_July252017'!Q140+'Navius Reference_July252017'!Q141)</f>
        <v>57.405083740689051</v>
      </c>
      <c r="Q8" s="984">
        <f>('Navius Reference_July252017'!R136+'Navius Reference_July252017'!R140+'Navius Reference_July252017'!R141)</f>
        <v>56.786626347580999</v>
      </c>
      <c r="R8" s="984">
        <f>('Navius Reference_July252017'!S136+'Navius Reference_July252017'!S140+'Navius Reference_July252017'!S141)</f>
        <v>56.196295499801636</v>
      </c>
      <c r="S8" s="984">
        <f>('Navius Reference_July252017'!T136+'Navius Reference_July252017'!T140+'Navius Reference_July252017'!T141)</f>
        <v>55.58975268915993</v>
      </c>
      <c r="T8" s="984">
        <f>('Navius Reference_July252017'!U136+'Navius Reference_July252017'!U140+'Navius Reference_July252017'!U141)</f>
        <v>55.025449718787826</v>
      </c>
      <c r="U8" s="984">
        <f>('Navius Reference_July252017'!V136+'Navius Reference_July252017'!V140+'Navius Reference_July252017'!V141)</f>
        <v>54.501984342818851</v>
      </c>
      <c r="V8" s="984">
        <f>('Navius Reference_July252017'!W136+'Navius Reference_July252017'!W140+'Navius Reference_July252017'!W141)</f>
        <v>54.018013331740562</v>
      </c>
      <c r="W8" s="984">
        <f>('Navius Reference_July252017'!X136+'Navius Reference_July252017'!X140+'Navius Reference_July252017'!X141)</f>
        <v>53.572250247001648</v>
      </c>
      <c r="X8" s="944"/>
      <c r="Y8" s="173"/>
      <c r="Z8" s="173"/>
      <c r="AA8" s="173"/>
      <c r="AB8" s="173"/>
      <c r="AC8" s="1003"/>
      <c r="AD8" s="1003">
        <v>2021</v>
      </c>
      <c r="AE8" s="1003">
        <v>2022</v>
      </c>
      <c r="AF8" s="1003">
        <v>2023</v>
      </c>
      <c r="AG8" s="1003">
        <v>2024</v>
      </c>
      <c r="AH8" s="1003">
        <v>2025</v>
      </c>
      <c r="AI8" s="1003">
        <v>2026</v>
      </c>
      <c r="AJ8" s="1003">
        <v>2027</v>
      </c>
      <c r="AK8" s="1003">
        <v>2028</v>
      </c>
      <c r="AL8" s="1003">
        <v>2029</v>
      </c>
      <c r="AM8" s="1003">
        <v>2030</v>
      </c>
    </row>
    <row r="9" spans="1:63" x14ac:dyDescent="0.25">
      <c r="B9" s="312" t="s">
        <v>40</v>
      </c>
      <c r="C9" s="977">
        <v>19.685915800506574</v>
      </c>
      <c r="D9" s="977">
        <v>19.2735267419792</v>
      </c>
      <c r="E9" s="977">
        <v>19.094737852364609</v>
      </c>
      <c r="F9" s="977">
        <v>19.332662171559068</v>
      </c>
      <c r="G9" s="977">
        <v>19.09999942779541</v>
      </c>
      <c r="H9" s="977">
        <v>19.09999942779541</v>
      </c>
      <c r="I9" s="977">
        <v>19.09999942779541</v>
      </c>
      <c r="J9" s="982">
        <v>19.09999942779541</v>
      </c>
      <c r="K9" s="982">
        <v>19.09999942779541</v>
      </c>
      <c r="L9" s="982">
        <v>19.09999942779541</v>
      </c>
      <c r="M9" s="982">
        <v>19.09999942779541</v>
      </c>
      <c r="N9" s="984">
        <f>('Navius Reference_July252017'!O148+'Navius Reference_July252017'!O149)</f>
        <v>17.851845884729943</v>
      </c>
      <c r="O9" s="984">
        <f>('Navius Reference_July252017'!P148+'Navius Reference_July252017'!P149)</f>
        <v>17.81253232652282</v>
      </c>
      <c r="P9" s="984">
        <f>('Navius Reference_July252017'!Q148+'Navius Reference_July252017'!Q149)</f>
        <v>17.773460732261931</v>
      </c>
      <c r="Q9" s="984">
        <f>('Navius Reference_July252017'!R148+'Navius Reference_July252017'!R149)</f>
        <v>17.734629324342304</v>
      </c>
      <c r="R9" s="984">
        <f>('Navius Reference_July252017'!S148+'Navius Reference_July252017'!S149)</f>
        <v>17.696036338806152</v>
      </c>
      <c r="S9" s="984">
        <f>('Navius Reference_July252017'!T148+'Navius Reference_July252017'!T149)</f>
        <v>17.669990145442618</v>
      </c>
      <c r="T9" s="984">
        <f>('Navius Reference_July252017'!U148+'Navius Reference_July252017'!U149)</f>
        <v>17.644106815038285</v>
      </c>
      <c r="U9" s="984">
        <f>('Navius Reference_July252017'!V148+'Navius Reference_July252017'!V149)</f>
        <v>17.618385254286775</v>
      </c>
      <c r="V9" s="984">
        <f>('Navius Reference_July252017'!W148+'Navius Reference_July252017'!W149)</f>
        <v>17.59282437723623</v>
      </c>
      <c r="W9" s="984">
        <f>('Navius Reference_July252017'!X148+'Navius Reference_July252017'!X149)</f>
        <v>17.567423105239868</v>
      </c>
      <c r="X9" s="944"/>
      <c r="Y9" s="173"/>
      <c r="Z9" s="173"/>
      <c r="AA9" s="173"/>
      <c r="AB9" s="173"/>
      <c r="AC9" s="1003" t="s">
        <v>276</v>
      </c>
      <c r="AD9" s="1004">
        <f>'Electricity Sector Emissions'!AI14</f>
        <v>3.6</v>
      </c>
      <c r="AE9" s="1004">
        <f>'Electricity Sector Emissions'!AJ14</f>
        <v>3.7</v>
      </c>
      <c r="AF9" s="1004">
        <f>'Electricity Sector Emissions'!AK14</f>
        <v>4.2</v>
      </c>
      <c r="AG9" s="1004">
        <f>'Electricity Sector Emissions'!AL14</f>
        <v>3.4</v>
      </c>
      <c r="AH9" s="1004">
        <f>'Electricity Sector Emissions'!AM14</f>
        <v>4.7</v>
      </c>
      <c r="AI9" s="1004">
        <f>'Electricity Sector Emissions'!AN14</f>
        <v>3.8</v>
      </c>
      <c r="AJ9" s="1004">
        <f>'Electricity Sector Emissions'!AO14</f>
        <v>3.9</v>
      </c>
      <c r="AK9" s="1004">
        <f>'Electricity Sector Emissions'!AP14</f>
        <v>3.7</v>
      </c>
      <c r="AL9" s="1004">
        <f>'Electricity Sector Emissions'!AQ14</f>
        <v>3.9</v>
      </c>
      <c r="AM9" s="1004">
        <f>'Electricity Sector Emissions'!AR14</f>
        <v>3.8</v>
      </c>
    </row>
    <row r="10" spans="1:63" x14ac:dyDescent="0.25">
      <c r="B10" s="780" t="s">
        <v>41</v>
      </c>
      <c r="C10" s="978">
        <f>C5+C6+C7+C8+C9</f>
        <v>178.34161357938513</v>
      </c>
      <c r="D10" s="978">
        <f>D5+D6+D7+D8+D9</f>
        <v>174.65029547746263</v>
      </c>
      <c r="E10" s="978">
        <f>E5+E6+E7+E8+E9</f>
        <v>170.90164663336216</v>
      </c>
      <c r="F10" s="978">
        <f>F5+F6+F7+F8+F9</f>
        <v>170.77391585403157</v>
      </c>
      <c r="G10" s="978">
        <f t="shared" ref="G10:W10" si="0">SUM(G5:G9)+G20</f>
        <v>165.53872966766357</v>
      </c>
      <c r="H10" s="978">
        <f t="shared" si="0"/>
        <v>165.47438155868679</v>
      </c>
      <c r="I10" s="978">
        <f t="shared" si="0"/>
        <v>165.85583224299657</v>
      </c>
      <c r="J10" s="980">
        <f t="shared" si="0"/>
        <v>172.45474199832333</v>
      </c>
      <c r="K10" s="980">
        <f t="shared" si="0"/>
        <v>172.773276698687</v>
      </c>
      <c r="L10" s="980">
        <f t="shared" si="0"/>
        <v>173.10850988701461</v>
      </c>
      <c r="M10" s="980">
        <f t="shared" si="0"/>
        <v>173.46035636222621</v>
      </c>
      <c r="N10" s="978">
        <f t="shared" si="0"/>
        <v>163.64276856531004</v>
      </c>
      <c r="O10" s="978">
        <f t="shared" si="0"/>
        <v>163.62915159742104</v>
      </c>
      <c r="P10" s="978">
        <f t="shared" si="0"/>
        <v>164.07098988136687</v>
      </c>
      <c r="Q10" s="978">
        <f t="shared" si="0"/>
        <v>163.26776546381842</v>
      </c>
      <c r="R10" s="978">
        <f t="shared" si="0"/>
        <v>164.61899815574287</v>
      </c>
      <c r="S10" s="978">
        <f t="shared" si="0"/>
        <v>163.5894315752937</v>
      </c>
      <c r="T10" s="978">
        <f t="shared" si="0"/>
        <v>163.61556461984389</v>
      </c>
      <c r="U10" s="978">
        <f t="shared" si="0"/>
        <v>163.39614129558777</v>
      </c>
      <c r="V10" s="978">
        <f t="shared" si="0"/>
        <v>163.62996779021574</v>
      </c>
      <c r="W10" s="978">
        <f t="shared" si="0"/>
        <v>163.61591029092671</v>
      </c>
      <c r="X10" s="945"/>
      <c r="Y10" s="1006" t="s">
        <v>494</v>
      </c>
      <c r="Z10" s="1008" t="s">
        <v>276</v>
      </c>
      <c r="AA10" s="173"/>
      <c r="AB10" s="173"/>
      <c r="AC10" s="1003" t="s">
        <v>493</v>
      </c>
      <c r="AD10" s="1003">
        <f>'Electricity Sector Emissions'!$AI$16</f>
        <v>3.8699999999999997</v>
      </c>
      <c r="AE10" s="1003">
        <f>'Electricity Sector Emissions'!$AI$16</f>
        <v>3.8699999999999997</v>
      </c>
      <c r="AF10" s="1003">
        <f>'Electricity Sector Emissions'!$AI$16</f>
        <v>3.8699999999999997</v>
      </c>
      <c r="AG10" s="1003">
        <f>'Electricity Sector Emissions'!$AI$16</f>
        <v>3.8699999999999997</v>
      </c>
      <c r="AH10" s="1003">
        <f>'Electricity Sector Emissions'!$AI$16</f>
        <v>3.8699999999999997</v>
      </c>
      <c r="AI10" s="1003">
        <f>'Electricity Sector Emissions'!$AI$16</f>
        <v>3.8699999999999997</v>
      </c>
      <c r="AJ10" s="1003">
        <f>'Electricity Sector Emissions'!$AI$16</f>
        <v>3.8699999999999997</v>
      </c>
      <c r="AK10" s="1003">
        <f>'Electricity Sector Emissions'!$AI$16</f>
        <v>3.8699999999999997</v>
      </c>
      <c r="AL10" s="1003">
        <f>'Electricity Sector Emissions'!$AI$16</f>
        <v>3.8699999999999997</v>
      </c>
      <c r="AM10" s="1003">
        <f>'Electricity Sector Emissions'!$AI$16</f>
        <v>3.8699999999999997</v>
      </c>
    </row>
    <row r="11" spans="1:63" x14ac:dyDescent="0.25">
      <c r="G11" s="801"/>
      <c r="H11" s="805"/>
      <c r="I11" s="805"/>
      <c r="J11" s="806" t="s">
        <v>459</v>
      </c>
      <c r="K11" s="804"/>
      <c r="L11" s="804"/>
      <c r="M11" s="804"/>
      <c r="N11" s="1624" t="s">
        <v>610</v>
      </c>
      <c r="O11" s="1624"/>
      <c r="P11" s="1624"/>
      <c r="Q11" s="1624"/>
      <c r="R11" s="1624"/>
      <c r="S11" s="1624"/>
      <c r="T11" s="1624"/>
      <c r="U11" s="1624"/>
      <c r="V11" s="1624"/>
      <c r="W11" s="1624"/>
      <c r="X11" s="946"/>
    </row>
    <row r="12" spans="1:63" x14ac:dyDescent="0.25">
      <c r="B12" s="1154" t="s">
        <v>27</v>
      </c>
    </row>
    <row r="13" spans="1:63" s="772" customFormat="1" x14ac:dyDescent="0.25">
      <c r="A13" s="798"/>
      <c r="B13" s="799"/>
      <c r="C13" s="773">
        <v>2010</v>
      </c>
      <c r="D13" s="773">
        <v>2011</v>
      </c>
      <c r="E13" s="773">
        <v>2012</v>
      </c>
      <c r="F13" s="773">
        <v>2013</v>
      </c>
      <c r="G13" s="773">
        <v>2014</v>
      </c>
      <c r="H13" s="773">
        <v>2015</v>
      </c>
      <c r="I13" s="773">
        <v>2016</v>
      </c>
      <c r="J13" s="773">
        <v>2017</v>
      </c>
      <c r="K13" s="773">
        <v>2018</v>
      </c>
      <c r="L13" s="773">
        <v>2019</v>
      </c>
      <c r="M13" s="773">
        <v>2020</v>
      </c>
      <c r="N13" s="773">
        <v>2021</v>
      </c>
      <c r="O13" s="773">
        <v>2022</v>
      </c>
      <c r="P13" s="773">
        <v>2023</v>
      </c>
      <c r="Q13" s="773">
        <v>2024</v>
      </c>
      <c r="R13" s="773">
        <v>2025</v>
      </c>
      <c r="S13" s="773">
        <v>2026</v>
      </c>
      <c r="T13" s="773">
        <v>2027</v>
      </c>
      <c r="U13" s="773">
        <v>2028</v>
      </c>
      <c r="V13" s="773">
        <v>2029</v>
      </c>
      <c r="W13" s="773">
        <v>2030</v>
      </c>
      <c r="X13" s="947"/>
      <c r="Z13" s="800"/>
    </row>
    <row r="14" spans="1:63" s="775" customFormat="1" x14ac:dyDescent="0.25">
      <c r="A14" s="785"/>
      <c r="B14" s="774" t="s">
        <v>436</v>
      </c>
      <c r="C14" s="771"/>
      <c r="D14" s="771"/>
      <c r="E14" s="771"/>
      <c r="F14" s="771"/>
      <c r="G14" s="768"/>
      <c r="H14" s="768"/>
      <c r="I14" s="768"/>
      <c r="J14" s="803"/>
      <c r="K14" s="803"/>
      <c r="L14" s="803"/>
      <c r="M14" s="803"/>
      <c r="N14" s="802"/>
      <c r="O14" s="802"/>
      <c r="P14" s="802"/>
      <c r="Q14" s="802"/>
      <c r="R14" s="802"/>
      <c r="S14" s="802"/>
      <c r="T14" s="802"/>
      <c r="U14" s="802"/>
      <c r="V14" s="802"/>
      <c r="W14" s="802"/>
      <c r="X14" s="948"/>
    </row>
    <row r="15" spans="1:63" x14ac:dyDescent="0.25">
      <c r="B15" s="776" t="s">
        <v>437</v>
      </c>
      <c r="C15" s="979">
        <v>1.9258300387408509</v>
      </c>
      <c r="D15" s="979">
        <v>1.8710470815104994</v>
      </c>
      <c r="E15" s="979">
        <v>2.1933705693525845</v>
      </c>
      <c r="F15" s="979">
        <v>2.2655510656166098</v>
      </c>
      <c r="G15" s="979">
        <v>2.178746223449707</v>
      </c>
      <c r="H15" s="979">
        <v>2.2178666999924865</v>
      </c>
      <c r="I15" s="979">
        <v>2.2576896042289838</v>
      </c>
      <c r="J15" s="987">
        <v>2.2982275485992432</v>
      </c>
      <c r="K15" s="987">
        <v>2.3130394015912974</v>
      </c>
      <c r="L15" s="987">
        <v>2.3279467155350719</v>
      </c>
      <c r="M15" s="987">
        <v>2.3429501056671143</v>
      </c>
      <c r="N15" s="985">
        <f>'Navius Reference_July252017'!O101</f>
        <v>1.8088455707376501</v>
      </c>
      <c r="O15" s="985">
        <f>'Navius Reference_July252017'!P101</f>
        <v>1.8571685888059413</v>
      </c>
      <c r="P15" s="985">
        <f>'Navius Reference_July252017'!Q101</f>
        <v>1.9067825485184526</v>
      </c>
      <c r="Q15" s="985">
        <f>'Navius Reference_July252017'!R101</f>
        <v>1.9577219371732753</v>
      </c>
      <c r="R15" s="985">
        <f>'Navius Reference_July252017'!S101</f>
        <v>2.0100221633911133</v>
      </c>
      <c r="S15" s="985">
        <f>'Navius Reference_July252017'!T101</f>
        <v>2.0633462698849883</v>
      </c>
      <c r="T15" s="985">
        <f>'Navius Reference_July252017'!U101</f>
        <v>2.1180850176625059</v>
      </c>
      <c r="U15" s="985">
        <f>'Navius Reference_July252017'!V101</f>
        <v>2.1742759359031121</v>
      </c>
      <c r="V15" s="985">
        <f>'Navius Reference_July252017'!W101</f>
        <v>2.2319575494021207</v>
      </c>
      <c r="W15" s="985">
        <f>'Navius Reference_July252017'!X101</f>
        <v>2.2911694049835205</v>
      </c>
      <c r="X15" s="949"/>
      <c r="Y15" s="242"/>
      <c r="AC15" s="990"/>
      <c r="AD15" s="990"/>
      <c r="AE15" s="990"/>
      <c r="AF15" s="990"/>
      <c r="AG15" s="801"/>
      <c r="AH15" s="920"/>
      <c r="AI15" s="920"/>
      <c r="AJ15" s="920"/>
      <c r="AK15" s="920"/>
      <c r="AL15" s="920"/>
      <c r="AM15" s="920"/>
      <c r="AN15" s="920"/>
      <c r="AO15" s="920"/>
      <c r="AP15" s="920"/>
      <c r="AQ15" s="920"/>
      <c r="AR15" s="920"/>
      <c r="AS15" s="920"/>
      <c r="AT15" s="920"/>
      <c r="AU15" s="920"/>
      <c r="AV15" s="920"/>
      <c r="AW15" s="920"/>
      <c r="AX15" s="920"/>
      <c r="AY15" s="920"/>
      <c r="AZ15" s="920"/>
      <c r="BA15" s="920"/>
      <c r="BB15" s="920"/>
      <c r="BC15" s="920"/>
      <c r="BD15" s="948"/>
      <c r="BE15" s="948"/>
      <c r="BF15" s="948"/>
      <c r="BG15" s="948"/>
      <c r="BH15" s="948"/>
      <c r="BI15" s="948"/>
      <c r="BJ15" s="948"/>
      <c r="BK15" s="801"/>
    </row>
    <row r="16" spans="1:63" x14ac:dyDescent="0.25">
      <c r="B16" s="776" t="s">
        <v>440</v>
      </c>
      <c r="C16" s="979">
        <v>1.0934055606491213</v>
      </c>
      <c r="D16" s="979">
        <v>0.79935288145141126</v>
      </c>
      <c r="E16" s="979">
        <v>1.0075022921406105</v>
      </c>
      <c r="F16" s="979">
        <v>1.2431766438182221</v>
      </c>
      <c r="G16" s="979">
        <v>1.020704984664917</v>
      </c>
      <c r="H16" s="979">
        <v>1.0390322213478052</v>
      </c>
      <c r="I16" s="979">
        <v>1.0576885321603169</v>
      </c>
      <c r="J16" s="987">
        <v>1.0766798257827759</v>
      </c>
      <c r="K16" s="987">
        <v>1.083618923851003</v>
      </c>
      <c r="L16" s="987">
        <v>1.0906027437398191</v>
      </c>
      <c r="M16" s="987">
        <v>1.097631573677063</v>
      </c>
      <c r="N16" s="985">
        <f>'Navius Reference_July252017'!O105</f>
        <v>0.64888206519231584</v>
      </c>
      <c r="O16" s="985">
        <f>'Navius Reference_July252017'!P105</f>
        <v>0.65902404192205022</v>
      </c>
      <c r="P16" s="985">
        <f>'Navius Reference_July252017'!Q105</f>
        <v>0.66932453696736782</v>
      </c>
      <c r="Q16" s="985">
        <f>'Navius Reference_July252017'!R105</f>
        <v>0.67978602795733889</v>
      </c>
      <c r="R16" s="985">
        <f>'Navius Reference_July252017'!S105</f>
        <v>0.6904110312461853</v>
      </c>
      <c r="S16" s="985">
        <f>'Navius Reference_July252017'!T105</f>
        <v>0.70106916888027027</v>
      </c>
      <c r="T16" s="985">
        <f>'Navius Reference_July252017'!U105</f>
        <v>0.71189184023801555</v>
      </c>
      <c r="U16" s="985">
        <f>'Navius Reference_July252017'!V105</f>
        <v>0.72288158528908109</v>
      </c>
      <c r="V16" s="985">
        <f>'Navius Reference_July252017'!W105</f>
        <v>0.73404098321360423</v>
      </c>
      <c r="W16" s="985">
        <f>'Navius Reference_July252017'!X105</f>
        <v>0.74537265300750732</v>
      </c>
      <c r="X16" s="949"/>
      <c r="Y16" s="242"/>
      <c r="AC16" s="990"/>
      <c r="AD16" s="990"/>
      <c r="AE16" s="990"/>
      <c r="AF16" s="990"/>
      <c r="AG16" s="801"/>
      <c r="AH16" s="991"/>
      <c r="AI16" s="991"/>
      <c r="AJ16" s="991"/>
      <c r="AK16" s="991"/>
      <c r="AL16" s="991"/>
      <c r="AM16" s="991"/>
      <c r="AN16" s="991"/>
      <c r="AO16" s="991"/>
      <c r="AP16" s="991"/>
      <c r="AQ16" s="991"/>
      <c r="AR16" s="991"/>
      <c r="AS16" s="991"/>
      <c r="AT16" s="991"/>
      <c r="AU16" s="991"/>
      <c r="AV16" s="991"/>
      <c r="AW16" s="991"/>
      <c r="AX16" s="991"/>
      <c r="AY16" s="991"/>
      <c r="AZ16" s="991"/>
      <c r="BA16" s="991"/>
      <c r="BB16" s="991"/>
      <c r="BC16" s="991"/>
      <c r="BD16" s="990"/>
      <c r="BE16" s="990"/>
      <c r="BF16" s="990"/>
      <c r="BG16" s="990"/>
      <c r="BH16" s="990"/>
      <c r="BI16" s="990"/>
      <c r="BJ16" s="990"/>
      <c r="BK16" s="801"/>
    </row>
    <row r="17" spans="2:63" x14ac:dyDescent="0.25">
      <c r="B17" s="774" t="s">
        <v>149</v>
      </c>
      <c r="C17" s="979"/>
      <c r="D17" s="979"/>
      <c r="E17" s="979"/>
      <c r="F17" s="979"/>
      <c r="G17" s="979"/>
      <c r="H17" s="979"/>
      <c r="I17" s="979"/>
      <c r="J17" s="987"/>
      <c r="K17" s="987"/>
      <c r="L17" s="987"/>
      <c r="M17" s="987"/>
      <c r="N17" s="985"/>
      <c r="O17" s="985"/>
      <c r="P17" s="985"/>
      <c r="Q17" s="985"/>
      <c r="R17" s="985"/>
      <c r="S17" s="985"/>
      <c r="T17" s="985"/>
      <c r="U17" s="985"/>
      <c r="V17" s="985"/>
      <c r="W17" s="985"/>
      <c r="X17" s="949"/>
      <c r="Y17" s="242"/>
      <c r="AC17" s="990"/>
      <c r="AD17" s="990"/>
      <c r="AE17" s="990"/>
      <c r="AF17" s="990"/>
      <c r="AG17" s="801"/>
      <c r="AH17" s="991"/>
      <c r="AI17" s="991"/>
      <c r="AJ17" s="991"/>
      <c r="AK17" s="991"/>
      <c r="AL17" s="991"/>
      <c r="AM17" s="991"/>
      <c r="AN17" s="991"/>
      <c r="AO17" s="991"/>
      <c r="AP17" s="991"/>
      <c r="AQ17" s="991"/>
      <c r="AR17" s="991"/>
      <c r="AS17" s="991"/>
      <c r="AT17" s="991"/>
      <c r="AU17" s="991"/>
      <c r="AV17" s="991"/>
      <c r="AW17" s="991"/>
      <c r="AX17" s="991"/>
      <c r="AY17" s="991"/>
      <c r="AZ17" s="991"/>
      <c r="BA17" s="991"/>
      <c r="BB17" s="991"/>
      <c r="BC17" s="991"/>
      <c r="BD17" s="990"/>
      <c r="BE17" s="990"/>
      <c r="BF17" s="990"/>
      <c r="BG17" s="990"/>
      <c r="BH17" s="990"/>
      <c r="BI17" s="990"/>
      <c r="BJ17" s="990"/>
      <c r="BK17" s="801"/>
    </row>
    <row r="18" spans="2:63" x14ac:dyDescent="0.25">
      <c r="B18" s="776" t="s">
        <v>443</v>
      </c>
      <c r="C18" s="979"/>
      <c r="D18" s="979"/>
      <c r="E18" s="979"/>
      <c r="F18" s="979"/>
      <c r="G18" s="979"/>
      <c r="H18" s="979"/>
      <c r="I18" s="979"/>
      <c r="J18" s="987"/>
      <c r="K18" s="987"/>
      <c r="L18" s="987"/>
      <c r="M18" s="987"/>
      <c r="N18" s="985">
        <f>'Navius Reference_July252017'!O109</f>
        <v>0</v>
      </c>
      <c r="O18" s="985">
        <f>'Navius Reference_July252017'!P109</f>
        <v>0</v>
      </c>
      <c r="P18" s="985">
        <f>'Navius Reference_July252017'!Q109</f>
        <v>0</v>
      </c>
      <c r="Q18" s="985">
        <f>'Navius Reference_July252017'!R109</f>
        <v>0</v>
      </c>
      <c r="R18" s="985">
        <f>'Navius Reference_July252017'!S109</f>
        <v>0</v>
      </c>
      <c r="S18" s="985">
        <f>'Navius Reference_July252017'!T109</f>
        <v>0</v>
      </c>
      <c r="T18" s="985">
        <f>'Navius Reference_July252017'!U109</f>
        <v>0</v>
      </c>
      <c r="U18" s="985">
        <f>'Navius Reference_July252017'!V109</f>
        <v>0</v>
      </c>
      <c r="V18" s="985">
        <f>'Navius Reference_July252017'!W109</f>
        <v>0</v>
      </c>
      <c r="W18" s="985">
        <f>'Navius Reference_July252017'!X109</f>
        <v>0</v>
      </c>
      <c r="X18" s="949"/>
      <c r="Y18" s="242"/>
      <c r="AC18" s="990"/>
      <c r="AD18" s="990"/>
      <c r="AE18" s="990"/>
      <c r="AF18" s="990"/>
      <c r="AG18" s="801"/>
      <c r="AH18" s="991"/>
      <c r="AI18" s="991"/>
      <c r="AJ18" s="991"/>
      <c r="AK18" s="991"/>
      <c r="AL18" s="991"/>
      <c r="AM18" s="991"/>
      <c r="AN18" s="991"/>
      <c r="AO18" s="991"/>
      <c r="AP18" s="991"/>
      <c r="AQ18" s="991"/>
      <c r="AR18" s="991"/>
      <c r="AS18" s="991"/>
      <c r="AT18" s="991"/>
      <c r="AU18" s="991"/>
      <c r="AV18" s="991"/>
      <c r="AW18" s="991"/>
      <c r="AX18" s="991"/>
      <c r="AY18" s="991"/>
      <c r="AZ18" s="991"/>
      <c r="BA18" s="991"/>
      <c r="BB18" s="991"/>
      <c r="BC18" s="991"/>
      <c r="BD18" s="990"/>
      <c r="BE18" s="990"/>
      <c r="BF18" s="990"/>
      <c r="BG18" s="990"/>
      <c r="BH18" s="990"/>
      <c r="BI18" s="990"/>
      <c r="BJ18" s="990"/>
      <c r="BK18" s="801"/>
    </row>
    <row r="19" spans="2:63" x14ac:dyDescent="0.25">
      <c r="B19" s="776" t="s">
        <v>13</v>
      </c>
      <c r="C19" s="979">
        <v>1.4407926532994921</v>
      </c>
      <c r="D19" s="979">
        <v>1.3989883823603455</v>
      </c>
      <c r="E19" s="979">
        <v>1.3438506309937492</v>
      </c>
      <c r="F19" s="979">
        <v>1.3480338098310654</v>
      </c>
      <c r="G19" s="979">
        <v>1.267473578453064</v>
      </c>
      <c r="H19" s="979">
        <v>1.2777360381483835</v>
      </c>
      <c r="I19" s="979">
        <v>1.2880815907623946</v>
      </c>
      <c r="J19" s="987">
        <v>1.2985109090805054</v>
      </c>
      <c r="K19" s="987">
        <v>1.3083438644804923</v>
      </c>
      <c r="L19" s="987">
        <v>1.3182512797954649</v>
      </c>
      <c r="M19" s="987">
        <v>1.3282337188720703</v>
      </c>
      <c r="N19" s="986">
        <f>'Navius Reference_July252017'!O110</f>
        <v>1.3272527517286064</v>
      </c>
      <c r="O19" s="986">
        <f>'Navius Reference_July252017'!P110</f>
        <v>1.3254137642854384</v>
      </c>
      <c r="P19" s="986">
        <f>'Navius Reference_July252017'!Q110</f>
        <v>1.3235773248684937</v>
      </c>
      <c r="Q19" s="986">
        <f>'Navius Reference_July252017'!R110</f>
        <v>1.3217434299473305</v>
      </c>
      <c r="R19" s="986">
        <f>'Navius Reference_July252017'!S110</f>
        <v>1.3199120759963989</v>
      </c>
      <c r="S19" s="986">
        <f>'Navius Reference_July252017'!T110</f>
        <v>1.3190992124685561</v>
      </c>
      <c r="T19" s="986">
        <f>'Navius Reference_July252017'!U110</f>
        <v>1.3182868495400539</v>
      </c>
      <c r="U19" s="986">
        <f>'Navius Reference_July252017'!V110</f>
        <v>1.3174749869025999</v>
      </c>
      <c r="V19" s="986">
        <f>'Navius Reference_July252017'!W110</f>
        <v>1.3166636242480914</v>
      </c>
      <c r="W19" s="986">
        <f>'Navius Reference_July252017'!X110</f>
        <v>1.3158527612686157</v>
      </c>
      <c r="X19" s="950"/>
      <c r="Y19" s="287"/>
      <c r="AC19" s="992"/>
      <c r="AD19" s="992"/>
      <c r="AE19" s="992"/>
      <c r="AF19" s="992"/>
      <c r="AG19" s="801"/>
      <c r="AH19" s="991"/>
      <c r="AI19" s="991"/>
      <c r="AJ19" s="991"/>
      <c r="AK19" s="991"/>
      <c r="AL19" s="991"/>
      <c r="AM19" s="991"/>
      <c r="AN19" s="991"/>
      <c r="AO19" s="991"/>
      <c r="AP19" s="991"/>
      <c r="AQ19" s="991"/>
      <c r="AR19" s="991"/>
      <c r="AS19" s="991"/>
      <c r="AT19" s="991"/>
      <c r="AU19" s="991"/>
      <c r="AV19" s="991"/>
      <c r="AW19" s="991"/>
      <c r="AX19" s="991"/>
      <c r="AY19" s="991"/>
      <c r="AZ19" s="991"/>
      <c r="BA19" s="991"/>
      <c r="BB19" s="991"/>
      <c r="BC19" s="991"/>
      <c r="BD19" s="990"/>
      <c r="BE19" s="990"/>
      <c r="BF19" s="990"/>
      <c r="BG19" s="990"/>
      <c r="BH19" s="990"/>
      <c r="BI19" s="990"/>
      <c r="BJ19" s="990"/>
      <c r="BK19" s="801"/>
    </row>
    <row r="20" spans="2:63" x14ac:dyDescent="0.25">
      <c r="B20" s="774" t="s">
        <v>460</v>
      </c>
      <c r="C20" s="979"/>
      <c r="D20" s="979"/>
      <c r="E20" s="979"/>
      <c r="F20" s="979"/>
      <c r="G20" s="979"/>
      <c r="H20" s="979"/>
      <c r="I20" s="979"/>
      <c r="J20" s="987">
        <v>5.4117183032658893</v>
      </c>
      <c r="K20" s="987">
        <v>5.3633542114588604</v>
      </c>
      <c r="L20" s="987">
        <v>5.3154223456557066</v>
      </c>
      <c r="M20" s="987">
        <v>5.26791884308735</v>
      </c>
      <c r="N20" s="985"/>
      <c r="O20" s="985"/>
      <c r="P20" s="985"/>
      <c r="Q20" s="985"/>
      <c r="R20" s="985"/>
      <c r="S20" s="985"/>
      <c r="T20" s="985"/>
      <c r="U20" s="985"/>
      <c r="V20" s="985"/>
      <c r="W20" s="985"/>
      <c r="X20" s="949"/>
      <c r="Y20" s="777" t="s">
        <v>491</v>
      </c>
      <c r="AC20" s="990"/>
      <c r="AD20" s="990"/>
      <c r="AE20" s="990"/>
      <c r="AF20" s="990"/>
      <c r="AG20" s="801"/>
      <c r="AH20" s="991"/>
      <c r="AI20" s="991"/>
      <c r="AJ20" s="991"/>
      <c r="AK20" s="991"/>
      <c r="AL20" s="991"/>
      <c r="AM20" s="991"/>
      <c r="AN20" s="991"/>
      <c r="AO20" s="991"/>
      <c r="AP20" s="991"/>
      <c r="AQ20" s="991"/>
      <c r="AR20" s="991"/>
      <c r="AS20" s="991"/>
      <c r="AT20" s="991"/>
      <c r="AU20" s="991"/>
      <c r="AV20" s="991"/>
      <c r="AW20" s="991"/>
      <c r="AX20" s="991"/>
      <c r="AY20" s="991"/>
      <c r="AZ20" s="991"/>
      <c r="BA20" s="991"/>
      <c r="BB20" s="991"/>
      <c r="BC20" s="991"/>
      <c r="BD20" s="992"/>
      <c r="BE20" s="992"/>
      <c r="BF20" s="992"/>
      <c r="BG20" s="992"/>
      <c r="BH20" s="992"/>
      <c r="BI20" s="992"/>
      <c r="BJ20" s="992"/>
      <c r="BK20" s="801"/>
    </row>
    <row r="21" spans="2:63" x14ac:dyDescent="0.25">
      <c r="B21" s="776" t="s">
        <v>446</v>
      </c>
      <c r="C21" s="979"/>
      <c r="D21" s="979"/>
      <c r="E21" s="979"/>
      <c r="F21" s="979"/>
      <c r="G21" s="979"/>
      <c r="H21" s="979"/>
      <c r="I21" s="979"/>
      <c r="J21" s="987"/>
      <c r="K21" s="987"/>
      <c r="L21" s="987"/>
      <c r="M21" s="987"/>
      <c r="N21" s="985">
        <f>'Navius Reference_July252017'!O120</f>
        <v>3.9078462330709938</v>
      </c>
      <c r="O21" s="985">
        <f>'Navius Reference_July252017'!P120</f>
        <v>3.9661687237069994</v>
      </c>
      <c r="P21" s="985">
        <f>'Navius Reference_July252017'!Q120</f>
        <v>4.025361645959582</v>
      </c>
      <c r="Q21" s="985">
        <f>'Navius Reference_July252017'!R120</f>
        <v>4.0854379905496607</v>
      </c>
      <c r="R21" s="985">
        <f>'Navius Reference_July252017'!S120</f>
        <v>4.1464109420776367</v>
      </c>
      <c r="S21" s="985">
        <f>'Navius Reference_July252017'!T120</f>
        <v>4.1931172042540545</v>
      </c>
      <c r="T21" s="985">
        <f>'Navius Reference_July252017'!U120</f>
        <v>4.2403495780380691</v>
      </c>
      <c r="U21" s="985">
        <f>'Navius Reference_July252017'!V120</f>
        <v>4.2881139896890454</v>
      </c>
      <c r="V21" s="985">
        <f>'Navius Reference_July252017'!W120</f>
        <v>4.3364164322212924</v>
      </c>
      <c r="W21" s="985">
        <f>'Navius Reference_July252017'!X120</f>
        <v>4.3852629661560059</v>
      </c>
      <c r="X21" s="949"/>
      <c r="Y21" s="777"/>
      <c r="AC21" s="990"/>
      <c r="AD21" s="990"/>
      <c r="AE21" s="990"/>
      <c r="AF21" s="990"/>
      <c r="AG21" s="801"/>
      <c r="AH21" s="991"/>
      <c r="AI21" s="991"/>
      <c r="AJ21" s="991"/>
      <c r="AK21" s="991"/>
      <c r="AL21" s="991"/>
      <c r="AM21" s="991"/>
      <c r="AN21" s="991"/>
      <c r="AO21" s="991"/>
      <c r="AP21" s="991"/>
      <c r="AQ21" s="991"/>
      <c r="AR21" s="991"/>
      <c r="AS21" s="991"/>
      <c r="AT21" s="991"/>
      <c r="AU21" s="991"/>
      <c r="AV21" s="991"/>
      <c r="AW21" s="991"/>
      <c r="AX21" s="991"/>
      <c r="AY21" s="991"/>
      <c r="AZ21" s="991"/>
      <c r="BA21" s="991"/>
      <c r="BB21" s="991"/>
      <c r="BC21" s="991"/>
      <c r="BD21" s="992"/>
      <c r="BE21" s="992"/>
      <c r="BF21" s="992"/>
      <c r="BG21" s="992"/>
      <c r="BH21" s="992"/>
      <c r="BI21" s="992"/>
      <c r="BJ21" s="992"/>
      <c r="BK21" s="801"/>
    </row>
    <row r="22" spans="2:63" x14ac:dyDescent="0.25">
      <c r="B22" s="776" t="s">
        <v>35</v>
      </c>
      <c r="C22" s="979">
        <v>9.2617615999999986E-2</v>
      </c>
      <c r="D22" s="979">
        <v>9.8201560000000007E-2</v>
      </c>
      <c r="E22" s="979">
        <v>0.12523462800000001</v>
      </c>
      <c r="F22" s="979">
        <v>0.11147204200000001</v>
      </c>
      <c r="G22" s="979">
        <v>1.6015083789825439</v>
      </c>
      <c r="H22" s="979">
        <v>1.7121787075834989</v>
      </c>
      <c r="I22" s="979">
        <v>1.8304967773972876</v>
      </c>
      <c r="J22" s="987">
        <v>1.9569910764694214</v>
      </c>
      <c r="K22" s="987">
        <v>1.9566695161816621</v>
      </c>
      <c r="L22" s="987">
        <v>1.9563480087306375</v>
      </c>
      <c r="M22" s="987">
        <v>1.956026554107666</v>
      </c>
      <c r="N22" s="986"/>
      <c r="O22" s="986"/>
      <c r="P22" s="986"/>
      <c r="Q22" s="986"/>
      <c r="R22" s="986"/>
      <c r="S22" s="986"/>
      <c r="T22" s="986"/>
      <c r="U22" s="986"/>
      <c r="V22" s="986"/>
      <c r="W22" s="986"/>
      <c r="X22" s="950"/>
      <c r="AC22" s="992"/>
      <c r="AD22" s="992"/>
      <c r="AE22" s="992"/>
      <c r="AF22" s="992"/>
      <c r="AG22" s="801"/>
      <c r="AH22" s="991"/>
      <c r="AI22" s="991"/>
      <c r="AJ22" s="991"/>
      <c r="AK22" s="991"/>
      <c r="AL22" s="991"/>
      <c r="AM22" s="991"/>
      <c r="AN22" s="991"/>
      <c r="AO22" s="991"/>
      <c r="AP22" s="991"/>
      <c r="AQ22" s="991"/>
      <c r="AR22" s="991"/>
      <c r="AS22" s="991"/>
      <c r="AT22" s="991"/>
      <c r="AU22" s="991"/>
      <c r="AV22" s="991"/>
      <c r="AW22" s="991"/>
      <c r="AX22" s="991"/>
      <c r="AY22" s="991"/>
      <c r="AZ22" s="991"/>
      <c r="BA22" s="991"/>
      <c r="BB22" s="991"/>
      <c r="BC22" s="991"/>
      <c r="BD22" s="990"/>
      <c r="BE22" s="990"/>
      <c r="BF22" s="990"/>
      <c r="BG22" s="990"/>
      <c r="BH22" s="990"/>
      <c r="BI22" s="990"/>
      <c r="BJ22" s="990"/>
      <c r="BK22" s="801"/>
    </row>
    <row r="23" spans="2:63" x14ac:dyDescent="0.25">
      <c r="B23" s="774" t="s">
        <v>449</v>
      </c>
      <c r="C23" s="979">
        <v>10.568463080323705</v>
      </c>
      <c r="D23" s="979">
        <v>9.9956420702438074</v>
      </c>
      <c r="E23" s="979">
        <v>9.8713688043518335</v>
      </c>
      <c r="F23" s="979">
        <v>10.296296437414188</v>
      </c>
      <c r="G23" s="979">
        <v>9.8999996185302734</v>
      </c>
      <c r="H23" s="979">
        <v>9.8999996185302734</v>
      </c>
      <c r="I23" s="979">
        <v>9.8999996185302734</v>
      </c>
      <c r="J23" s="988">
        <v>9.1999998092651367</v>
      </c>
      <c r="K23" s="988">
        <v>9.1999998092651367</v>
      </c>
      <c r="L23" s="988">
        <v>9.1999998092651367</v>
      </c>
      <c r="M23" s="988">
        <v>9.1999998092651367</v>
      </c>
      <c r="N23" s="986">
        <f>'Navius Reference_July252017'!O124</f>
        <v>8.6265770898701959</v>
      </c>
      <c r="O23" s="986">
        <f>'Navius Reference_July252017'!P124</f>
        <v>8.6259312132696078</v>
      </c>
      <c r="P23" s="986">
        <f>'Navius Reference_July252017'!Q124</f>
        <v>8.6252853850261584</v>
      </c>
      <c r="Q23" s="986">
        <f>'Navius Reference_July252017'!R124</f>
        <v>8.6246396051362257</v>
      </c>
      <c r="R23" s="986">
        <f>'Navius Reference_July252017'!S124</f>
        <v>8.6239938735961914</v>
      </c>
      <c r="S23" s="986">
        <f>'Navius Reference_July252017'!T124</f>
        <v>8.6234315138824922</v>
      </c>
      <c r="T23" s="986">
        <f>'Navius Reference_July252017'!U124</f>
        <v>8.6228691908395572</v>
      </c>
      <c r="U23" s="986">
        <f>'Navius Reference_July252017'!V124</f>
        <v>8.6223069044649954</v>
      </c>
      <c r="V23" s="986">
        <f>'Navius Reference_July252017'!W124</f>
        <v>8.6217446547564158</v>
      </c>
      <c r="W23" s="986">
        <f>'Navius Reference_July252017'!X124</f>
        <v>8.6211824417114258</v>
      </c>
      <c r="X23" s="950"/>
      <c r="AC23" s="992"/>
      <c r="AD23" s="992"/>
      <c r="AE23" s="992"/>
      <c r="AF23" s="992"/>
      <c r="AG23" s="801"/>
      <c r="AH23" s="991"/>
      <c r="AI23" s="991"/>
      <c r="AJ23" s="991"/>
      <c r="AK23" s="991"/>
      <c r="AL23" s="991"/>
      <c r="AM23" s="991"/>
      <c r="AN23" s="991"/>
      <c r="AO23" s="991"/>
      <c r="AP23" s="991"/>
      <c r="AQ23" s="991"/>
      <c r="AR23" s="991"/>
      <c r="AS23" s="991"/>
      <c r="AT23" s="991"/>
      <c r="AU23" s="991"/>
      <c r="AV23" s="991"/>
      <c r="AW23" s="991"/>
      <c r="AX23" s="991"/>
      <c r="AY23" s="991"/>
      <c r="AZ23" s="991"/>
      <c r="BA23" s="991"/>
      <c r="BB23" s="991"/>
      <c r="BC23" s="991"/>
      <c r="BD23" s="992"/>
      <c r="BE23" s="992"/>
      <c r="BF23" s="992"/>
      <c r="BG23" s="992"/>
      <c r="BH23" s="992"/>
      <c r="BI23" s="992"/>
      <c r="BJ23" s="992"/>
      <c r="BK23" s="801"/>
    </row>
    <row r="24" spans="2:63" x14ac:dyDescent="0.25">
      <c r="B24" s="778" t="s">
        <v>447</v>
      </c>
      <c r="C24" s="979">
        <v>9.1174527201828681</v>
      </c>
      <c r="D24" s="979">
        <v>9.2778846717353911</v>
      </c>
      <c r="E24" s="979">
        <v>9.2233690480127777</v>
      </c>
      <c r="F24" s="979">
        <v>9.0363657341448818</v>
      </c>
      <c r="G24" s="979">
        <v>9.1999998092651367</v>
      </c>
      <c r="H24" s="979">
        <v>9.1999998092651367</v>
      </c>
      <c r="I24" s="979">
        <v>9.1999998092651367</v>
      </c>
      <c r="J24" s="988">
        <v>9.8999996185302734</v>
      </c>
      <c r="K24" s="988">
        <v>9.8999996185302734</v>
      </c>
      <c r="L24" s="988">
        <v>9.8999996185302734</v>
      </c>
      <c r="M24" s="988">
        <v>9.8999996185302734</v>
      </c>
      <c r="N24" s="986">
        <f>('Navius Reference_July252017'!O122+'Navius Reference_July252017'!O123)</f>
        <v>9.2252687948597476</v>
      </c>
      <c r="O24" s="986">
        <f>('Navius Reference_July252017'!P122+'Navius Reference_July252017'!P123)</f>
        <v>9.1866011132532108</v>
      </c>
      <c r="P24" s="986">
        <f>('Navius Reference_July252017'!Q122+'Navius Reference_July252017'!Q123)</f>
        <v>9.1481753472357727</v>
      </c>
      <c r="Q24" s="986">
        <f>('Navius Reference_July252017'!R122+'Navius Reference_July252017'!R123)</f>
        <v>9.1099897192060784</v>
      </c>
      <c r="R24" s="986">
        <f>('Navius Reference_July252017'!S122+'Navius Reference_July252017'!S123)</f>
        <v>9.0720424652099609</v>
      </c>
      <c r="S24" s="986">
        <f>('Navius Reference_July252017'!T122+'Navius Reference_July252017'!T123)</f>
        <v>9.0465586315601243</v>
      </c>
      <c r="T24" s="986">
        <f>('Navius Reference_July252017'!U122+'Navius Reference_July252017'!U123)</f>
        <v>9.0212376241987293</v>
      </c>
      <c r="U24" s="986">
        <f>('Navius Reference_July252017'!V122+'Navius Reference_July252017'!V123)</f>
        <v>8.9960783498217793</v>
      </c>
      <c r="V24" s="986">
        <f>('Navius Reference_July252017'!W122+'Navius Reference_July252017'!W123)</f>
        <v>8.9710797224798142</v>
      </c>
      <c r="W24" s="986">
        <f>('Navius Reference_July252017'!X122+'Navius Reference_July252017'!X123)</f>
        <v>8.9462406635284424</v>
      </c>
      <c r="X24" s="950"/>
      <c r="AC24" s="992"/>
      <c r="AD24" s="992"/>
      <c r="AE24" s="992"/>
      <c r="AF24" s="992"/>
      <c r="AG24" s="801"/>
      <c r="AH24" s="991"/>
      <c r="AI24" s="991"/>
      <c r="AJ24" s="991"/>
      <c r="AK24" s="991"/>
      <c r="AL24" s="991"/>
      <c r="AM24" s="991"/>
      <c r="AN24" s="991"/>
      <c r="AO24" s="991"/>
      <c r="AP24" s="991"/>
      <c r="AQ24" s="991"/>
      <c r="AR24" s="991"/>
      <c r="AS24" s="991"/>
      <c r="AT24" s="991"/>
      <c r="AU24" s="991"/>
      <c r="AV24" s="991"/>
      <c r="AW24" s="991"/>
      <c r="AX24" s="991"/>
      <c r="AY24" s="991"/>
      <c r="AZ24" s="991"/>
      <c r="BA24" s="991"/>
      <c r="BB24" s="991"/>
      <c r="BC24" s="991"/>
      <c r="BD24" s="992"/>
      <c r="BE24" s="992"/>
      <c r="BF24" s="992"/>
      <c r="BG24" s="992"/>
      <c r="BH24" s="992"/>
      <c r="BI24" s="992"/>
      <c r="BJ24" s="992"/>
      <c r="BK24" s="801"/>
    </row>
    <row r="25" spans="2:63" s="779" customFormat="1" ht="12.75" x14ac:dyDescent="0.2">
      <c r="C25" s="980">
        <f t="shared" ref="C25:W25" si="1">SUM(C15:C24)</f>
        <v>24.238561669196038</v>
      </c>
      <c r="D25" s="980">
        <f t="shared" si="1"/>
        <v>23.441116647301456</v>
      </c>
      <c r="E25" s="980">
        <f t="shared" si="1"/>
        <v>23.764695972851555</v>
      </c>
      <c r="F25" s="980">
        <f t="shared" si="1"/>
        <v>24.300895732824969</v>
      </c>
      <c r="G25" s="980">
        <f t="shared" si="1"/>
        <v>25.168432593345642</v>
      </c>
      <c r="H25" s="980">
        <f t="shared" si="1"/>
        <v>25.346813094867585</v>
      </c>
      <c r="I25" s="980">
        <f t="shared" si="1"/>
        <v>25.533955932344391</v>
      </c>
      <c r="J25" s="980">
        <f t="shared" si="1"/>
        <v>31.142127090993245</v>
      </c>
      <c r="K25" s="980">
        <f>SUM(K15:K24)</f>
        <v>31.125025345358726</v>
      </c>
      <c r="L25" s="980">
        <f>SUM(L15:L24)</f>
        <v>31.108570521252112</v>
      </c>
      <c r="M25" s="980">
        <f>SUM(M15:M24)</f>
        <v>31.092760223206675</v>
      </c>
      <c r="N25" s="980">
        <f t="shared" si="1"/>
        <v>25.544672505459509</v>
      </c>
      <c r="O25" s="980">
        <f t="shared" si="1"/>
        <v>25.620307445243249</v>
      </c>
      <c r="P25" s="980">
        <f t="shared" si="1"/>
        <v>25.698506788575827</v>
      </c>
      <c r="Q25" s="980">
        <f t="shared" si="1"/>
        <v>25.779318709969907</v>
      </c>
      <c r="R25" s="980">
        <f t="shared" si="1"/>
        <v>25.862792551517487</v>
      </c>
      <c r="S25" s="980">
        <f t="shared" si="1"/>
        <v>25.946622000930486</v>
      </c>
      <c r="T25" s="980">
        <f t="shared" si="1"/>
        <v>26.032720100516929</v>
      </c>
      <c r="U25" s="980">
        <f t="shared" si="1"/>
        <v>26.121131752070614</v>
      </c>
      <c r="V25" s="980">
        <f t="shared" si="1"/>
        <v>26.21190296632134</v>
      </c>
      <c r="W25" s="980">
        <f t="shared" si="1"/>
        <v>26.305080890655518</v>
      </c>
      <c r="X25" s="951"/>
      <c r="AC25" s="957"/>
      <c r="AD25" s="957"/>
      <c r="AE25" s="957"/>
      <c r="AF25" s="957"/>
      <c r="AG25" s="957"/>
      <c r="AH25" s="991"/>
      <c r="AI25" s="991"/>
      <c r="AJ25" s="991"/>
      <c r="AK25" s="991"/>
      <c r="AL25" s="991"/>
      <c r="AM25" s="991"/>
      <c r="AN25" s="991"/>
      <c r="AO25" s="991"/>
      <c r="AP25" s="991"/>
      <c r="AQ25" s="991"/>
      <c r="AR25" s="991"/>
      <c r="AS25" s="991"/>
      <c r="AT25" s="991"/>
      <c r="AU25" s="991"/>
      <c r="AV25" s="991"/>
      <c r="AW25" s="991"/>
      <c r="AX25" s="991"/>
      <c r="AY25" s="991"/>
      <c r="AZ25" s="991"/>
      <c r="BA25" s="991"/>
      <c r="BB25" s="991"/>
      <c r="BC25" s="991"/>
      <c r="BD25" s="992"/>
      <c r="BE25" s="992"/>
      <c r="BF25" s="992"/>
      <c r="BG25" s="992"/>
      <c r="BH25" s="992"/>
      <c r="BI25" s="992"/>
      <c r="BJ25" s="992"/>
      <c r="BK25" s="957"/>
    </row>
    <row r="26" spans="2:63" x14ac:dyDescent="0.25">
      <c r="C26" s="173"/>
      <c r="D26" s="173"/>
      <c r="E26" s="173"/>
      <c r="F26" s="173"/>
      <c r="G26" s="801"/>
      <c r="H26" s="805"/>
      <c r="I26" s="805"/>
      <c r="J26" s="806" t="s">
        <v>459</v>
      </c>
      <c r="K26" s="804"/>
      <c r="L26" s="804"/>
      <c r="M26" s="804"/>
      <c r="N26" s="1624" t="s">
        <v>610</v>
      </c>
      <c r="O26" s="1624"/>
      <c r="P26" s="1624"/>
      <c r="Q26" s="1624"/>
      <c r="R26" s="1624"/>
      <c r="S26" s="1624"/>
      <c r="T26" s="1624"/>
      <c r="U26" s="1624"/>
      <c r="V26" s="1624"/>
      <c r="W26" s="1624"/>
      <c r="X26" s="946"/>
      <c r="AC26" s="801"/>
      <c r="AD26" s="801"/>
      <c r="AE26" s="801"/>
      <c r="AF26" s="801"/>
      <c r="AG26" s="801"/>
      <c r="AH26" s="801"/>
      <c r="AI26" s="801"/>
      <c r="AJ26" s="801"/>
      <c r="AK26" s="801"/>
      <c r="AL26" s="801"/>
      <c r="AM26" s="801"/>
      <c r="AN26" s="801"/>
      <c r="AO26" s="801"/>
      <c r="AP26" s="801"/>
      <c r="AQ26" s="801"/>
      <c r="AR26" s="801"/>
      <c r="AS26" s="801"/>
      <c r="AT26" s="801"/>
      <c r="AU26" s="801"/>
      <c r="AV26" s="801"/>
      <c r="AW26" s="801"/>
      <c r="AX26" s="801"/>
      <c r="AY26" s="801"/>
      <c r="AZ26" s="801"/>
      <c r="BA26" s="801"/>
      <c r="BB26" s="801"/>
      <c r="BC26" s="801"/>
      <c r="BD26" s="801"/>
      <c r="BE26" s="801"/>
      <c r="BF26" s="801"/>
      <c r="BG26" s="801"/>
      <c r="BH26" s="801"/>
      <c r="BI26" s="801"/>
      <c r="BJ26" s="801"/>
      <c r="BK26" s="801"/>
    </row>
    <row r="27" spans="2:63" x14ac:dyDescent="0.25">
      <c r="B27" s="1154" t="s">
        <v>486</v>
      </c>
      <c r="AC27" s="801"/>
      <c r="AD27" s="801"/>
      <c r="AE27" s="801"/>
      <c r="AF27" s="801"/>
      <c r="AG27" s="801"/>
      <c r="AH27" s="801"/>
      <c r="AI27" s="801"/>
      <c r="AJ27" s="801"/>
      <c r="AK27" s="801"/>
      <c r="AL27" s="801"/>
      <c r="AM27" s="801"/>
      <c r="AN27" s="801"/>
      <c r="AO27" s="801"/>
      <c r="AP27" s="801"/>
      <c r="AQ27" s="801"/>
      <c r="AR27" s="801"/>
      <c r="AS27" s="801"/>
      <c r="AT27" s="801"/>
      <c r="AU27" s="801"/>
      <c r="AV27" s="801"/>
      <c r="AW27" s="801"/>
      <c r="AX27" s="801"/>
      <c r="AY27" s="801"/>
      <c r="AZ27" s="801"/>
      <c r="BA27" s="801"/>
      <c r="BB27" s="801"/>
      <c r="BC27" s="801"/>
      <c r="BD27" s="801"/>
      <c r="BE27" s="801"/>
      <c r="BF27" s="801"/>
      <c r="BG27" s="801"/>
      <c r="BH27" s="801"/>
      <c r="BI27" s="801"/>
      <c r="BJ27" s="801"/>
      <c r="BK27" s="801"/>
    </row>
    <row r="28" spans="2:63" x14ac:dyDescent="0.25">
      <c r="C28" s="1625" t="s">
        <v>101</v>
      </c>
      <c r="D28" s="1625"/>
      <c r="E28" s="1625"/>
      <c r="F28" s="1625"/>
      <c r="G28" s="1626" t="s">
        <v>463</v>
      </c>
      <c r="H28" s="1626"/>
      <c r="I28" s="1626"/>
      <c r="J28" s="1626"/>
      <c r="K28" s="1626"/>
      <c r="L28" s="1626"/>
      <c r="M28" s="1626"/>
      <c r="N28" s="1626"/>
      <c r="O28" s="1626"/>
      <c r="P28" s="1626"/>
      <c r="Q28" s="1626"/>
      <c r="R28" s="1626"/>
      <c r="S28" s="1626"/>
      <c r="T28" s="1626"/>
      <c r="U28" s="1626"/>
      <c r="V28" s="1626"/>
      <c r="W28" s="1626"/>
      <c r="X28" s="952"/>
      <c r="AC28" s="801"/>
      <c r="AD28" s="801"/>
      <c r="AE28" s="801"/>
      <c r="AF28" s="801"/>
      <c r="AG28" s="801"/>
      <c r="AH28" s="801"/>
      <c r="AI28" s="801"/>
      <c r="AJ28" s="801"/>
      <c r="AK28" s="801"/>
      <c r="AL28" s="801"/>
      <c r="AM28" s="801"/>
      <c r="AN28" s="801"/>
      <c r="AO28" s="801"/>
      <c r="AP28" s="801"/>
      <c r="AQ28" s="801"/>
      <c r="AR28" s="801"/>
      <c r="AS28" s="801"/>
      <c r="AT28" s="801"/>
      <c r="AU28" s="801"/>
      <c r="AV28" s="801"/>
      <c r="AW28" s="801"/>
      <c r="AX28" s="801"/>
      <c r="AY28" s="801"/>
      <c r="AZ28" s="801"/>
      <c r="BA28" s="801"/>
      <c r="BB28" s="801"/>
      <c r="BC28" s="801"/>
      <c r="BD28" s="801"/>
      <c r="BE28" s="801"/>
      <c r="BF28" s="801"/>
      <c r="BG28" s="801"/>
      <c r="BH28" s="801"/>
      <c r="BI28" s="801"/>
      <c r="BJ28" s="801"/>
      <c r="BK28" s="801"/>
    </row>
    <row r="29" spans="2:63" x14ac:dyDescent="0.25">
      <c r="B29" s="362"/>
      <c r="C29" s="769">
        <v>2010</v>
      </c>
      <c r="D29" s="769">
        <v>2011</v>
      </c>
      <c r="E29" s="769">
        <v>2012</v>
      </c>
      <c r="F29" s="769">
        <v>2013</v>
      </c>
      <c r="G29" s="769">
        <v>2014</v>
      </c>
      <c r="H29" s="769">
        <v>2015</v>
      </c>
      <c r="I29" s="769">
        <v>2016</v>
      </c>
      <c r="J29" s="770">
        <v>2017</v>
      </c>
      <c r="K29" s="770">
        <v>2018</v>
      </c>
      <c r="L29" s="770">
        <v>2019</v>
      </c>
      <c r="M29" s="770">
        <v>2020</v>
      </c>
      <c r="N29" s="770">
        <v>2021</v>
      </c>
      <c r="O29" s="770">
        <v>2022</v>
      </c>
      <c r="P29" s="770">
        <v>2023</v>
      </c>
      <c r="Q29" s="770">
        <v>2024</v>
      </c>
      <c r="R29" s="770">
        <v>2025</v>
      </c>
      <c r="S29" s="770">
        <v>2026</v>
      </c>
      <c r="T29" s="770">
        <v>2027</v>
      </c>
      <c r="U29" s="770">
        <v>2028</v>
      </c>
      <c r="V29" s="770">
        <v>2029</v>
      </c>
      <c r="W29" s="770">
        <v>2030</v>
      </c>
      <c r="X29" s="953"/>
      <c r="AC29" s="801"/>
      <c r="AD29" s="801"/>
      <c r="AE29" s="801"/>
      <c r="AF29" s="801"/>
      <c r="AG29" s="801"/>
      <c r="AH29" s="801"/>
      <c r="AI29" s="801"/>
      <c r="AJ29" s="801"/>
      <c r="AK29" s="801"/>
      <c r="AL29" s="801"/>
      <c r="AM29" s="801"/>
      <c r="AN29" s="801"/>
      <c r="AO29" s="801"/>
      <c r="AP29" s="801"/>
      <c r="AQ29" s="801"/>
      <c r="AR29" s="801"/>
      <c r="AS29" s="801"/>
      <c r="AT29" s="801"/>
      <c r="AU29" s="801"/>
      <c r="AV29" s="801"/>
      <c r="AW29" s="801"/>
      <c r="AX29" s="801"/>
      <c r="AY29" s="801"/>
      <c r="AZ29" s="801"/>
      <c r="BA29" s="801"/>
      <c r="BB29" s="801"/>
      <c r="BC29" s="801"/>
      <c r="BD29" s="801"/>
      <c r="BE29" s="801"/>
      <c r="BF29" s="801"/>
      <c r="BG29" s="801"/>
      <c r="BH29" s="801"/>
      <c r="BI29" s="801"/>
      <c r="BJ29" s="801"/>
      <c r="BK29" s="801"/>
    </row>
    <row r="30" spans="2:63" x14ac:dyDescent="0.25">
      <c r="B30" s="789" t="s">
        <v>462</v>
      </c>
      <c r="C30" s="842">
        <f t="shared" ref="C30:W30" si="2">C33/1000000</f>
        <v>29.568594999999998</v>
      </c>
      <c r="D30" s="842">
        <f t="shared" si="2"/>
        <v>30.181574999999999</v>
      </c>
      <c r="E30" s="842">
        <f t="shared" si="2"/>
        <v>30.908985000000001</v>
      </c>
      <c r="F30" s="842">
        <f t="shared" si="2"/>
        <v>28.411908</v>
      </c>
      <c r="G30" s="842">
        <f t="shared" si="2"/>
        <v>28.688124070619835</v>
      </c>
      <c r="H30" s="842">
        <f t="shared" si="2"/>
        <v>28.925179165733535</v>
      </c>
      <c r="I30" s="842">
        <f t="shared" si="2"/>
        <v>29.196001128480333</v>
      </c>
      <c r="J30" s="842">
        <f t="shared" si="2"/>
        <v>29.502350481872782</v>
      </c>
      <c r="K30" s="842">
        <f t="shared" si="2"/>
        <v>29.119064061200707</v>
      </c>
      <c r="L30" s="842">
        <f t="shared" si="2"/>
        <v>28.743845317554793</v>
      </c>
      <c r="M30" s="842">
        <f t="shared" si="2"/>
        <v>28.376472501034623</v>
      </c>
      <c r="N30" s="842">
        <f t="shared" si="2"/>
        <v>28.287904340059541</v>
      </c>
      <c r="O30" s="842">
        <f t="shared" si="2"/>
        <v>28.202186816347496</v>
      </c>
      <c r="P30" s="842">
        <f t="shared" si="2"/>
        <v>28.119274205747686</v>
      </c>
      <c r="Q30" s="842">
        <f t="shared" si="2"/>
        <v>27.96188828683243</v>
      </c>
      <c r="R30" s="842">
        <f t="shared" si="2"/>
        <v>27.811303781710581</v>
      </c>
      <c r="S30" s="842">
        <f t="shared" si="2"/>
        <v>27.667315363055351</v>
      </c>
      <c r="T30" s="842">
        <f t="shared" si="2"/>
        <v>27.655336824046266</v>
      </c>
      <c r="U30" s="842">
        <f t="shared" si="2"/>
        <v>27.645743314614602</v>
      </c>
      <c r="V30" s="842">
        <f t="shared" si="2"/>
        <v>27.638501463928563</v>
      </c>
      <c r="W30" s="842">
        <f t="shared" si="2"/>
        <v>27.440732266348103</v>
      </c>
      <c r="X30" s="954"/>
    </row>
    <row r="31" spans="2:63" x14ac:dyDescent="0.25">
      <c r="B31" s="790" t="s">
        <v>100</v>
      </c>
      <c r="C31" s="989">
        <f>(C6-C19-C22+C7)-C30</f>
        <v>47.324697505737518</v>
      </c>
      <c r="D31" s="989">
        <f t="shared" ref="D31:M31" si="3">(D6-D19-D22+D7)-D30</f>
        <v>49.344713290930443</v>
      </c>
      <c r="E31" s="989">
        <f t="shared" si="3"/>
        <v>47.583275070485712</v>
      </c>
      <c r="F31" s="989">
        <f t="shared" si="3"/>
        <v>50.473716294161733</v>
      </c>
      <c r="G31" s="989">
        <f t="shared" si="3"/>
        <v>42.210292090917335</v>
      </c>
      <c r="H31" s="989">
        <f t="shared" si="3"/>
        <v>42.76332704831394</v>
      </c>
      <c r="I31" s="989">
        <f t="shared" si="3"/>
        <v>43.315035535301021</v>
      </c>
      <c r="J31" s="989">
        <f t="shared" si="3"/>
        <v>43.865649727458731</v>
      </c>
      <c r="K31" s="989">
        <f t="shared" si="3"/>
        <v>44.188444364408625</v>
      </c>
      <c r="L31" s="989">
        <f t="shared" si="3"/>
        <v>44.516669878249765</v>
      </c>
      <c r="M31" s="989">
        <f t="shared" si="3"/>
        <v>44.850448759322276</v>
      </c>
      <c r="N31" s="989">
        <f>(N6-N19-N21-N22+N7)-N30</f>
        <v>49.938340066035636</v>
      </c>
      <c r="O31" s="989">
        <f t="shared" ref="O31:W31" si="4">(O6-O19-O21-O22+O7)-O30</f>
        <v>50.570389025506515</v>
      </c>
      <c r="P31" s="989">
        <f t="shared" si="4"/>
        <v>51.224232231840148</v>
      </c>
      <c r="Q31" s="989">
        <f t="shared" si="4"/>
        <v>51.977440084565686</v>
      </c>
      <c r="R31" s="989">
        <f t="shared" si="4"/>
        <v>52.749039517350482</v>
      </c>
      <c r="S31" s="989">
        <f t="shared" si="4"/>
        <v>53.350156960913196</v>
      </c>
      <c r="T31" s="989">
        <f t="shared" si="4"/>
        <v>53.832034834393404</v>
      </c>
      <c r="U31" s="989">
        <f t="shared" si="4"/>
        <v>54.324439407275889</v>
      </c>
      <c r="V31" s="989">
        <f t="shared" si="4"/>
        <v>54.827548560840981</v>
      </c>
      <c r="W31" s="989">
        <f t="shared" si="4"/>
        <v>55.53438894491245</v>
      </c>
      <c r="X31" s="920"/>
    </row>
    <row r="32" spans="2:63" x14ac:dyDescent="0.25">
      <c r="C32" s="1627" t="s">
        <v>103</v>
      </c>
      <c r="D32" s="1627"/>
      <c r="E32" s="1627"/>
      <c r="F32" s="1627"/>
      <c r="G32" s="1627"/>
      <c r="H32" s="1627"/>
      <c r="I32" s="1627"/>
      <c r="J32" s="1627"/>
      <c r="K32" s="1627"/>
      <c r="L32" s="1627"/>
      <c r="M32" s="1627"/>
      <c r="N32" s="1627"/>
      <c r="O32" s="1627"/>
      <c r="P32" s="1627"/>
      <c r="Q32" s="1627"/>
      <c r="R32" s="1627"/>
      <c r="S32" s="1627"/>
      <c r="T32" s="1627"/>
      <c r="U32" s="1627"/>
      <c r="V32" s="1627"/>
      <c r="W32" s="1627"/>
      <c r="X32" s="952"/>
    </row>
    <row r="33" spans="1:61" s="814" customFormat="1" x14ac:dyDescent="0.25">
      <c r="A33" s="813"/>
      <c r="B33" s="815" t="s">
        <v>465</v>
      </c>
      <c r="C33" s="843">
        <v>29568595</v>
      </c>
      <c r="D33" s="843">
        <v>30181575</v>
      </c>
      <c r="E33" s="843">
        <v>30908985</v>
      </c>
      <c r="F33" s="843">
        <v>28411908</v>
      </c>
      <c r="G33" s="843">
        <v>28688124.070619836</v>
      </c>
      <c r="H33" s="843">
        <v>28925179.165733535</v>
      </c>
      <c r="I33" s="843">
        <v>29196001.128480334</v>
      </c>
      <c r="J33" s="843">
        <v>29502350.481872782</v>
      </c>
      <c r="K33" s="843">
        <v>29119064.061200708</v>
      </c>
      <c r="L33" s="843">
        <v>28743845.317554794</v>
      </c>
      <c r="M33" s="843">
        <v>28376472.501034625</v>
      </c>
      <c r="N33" s="1278">
        <v>28287904.340059541</v>
      </c>
      <c r="O33" s="1278">
        <v>28202186.816347495</v>
      </c>
      <c r="P33" s="1278">
        <v>28119274.205747686</v>
      </c>
      <c r="Q33" s="1278">
        <v>27961888.286832429</v>
      </c>
      <c r="R33" s="1278">
        <v>27811303.78171058</v>
      </c>
      <c r="S33" s="1278">
        <v>27667315.363055352</v>
      </c>
      <c r="T33" s="1278">
        <v>27655336.824046265</v>
      </c>
      <c r="U33" s="1278">
        <v>27645743.314614601</v>
      </c>
      <c r="V33" s="1278">
        <v>27638501.463928562</v>
      </c>
      <c r="W33" s="1278">
        <v>27440732.266348105</v>
      </c>
      <c r="X33" s="955"/>
    </row>
    <row r="34" spans="1:61" s="811" customFormat="1" x14ac:dyDescent="0.25">
      <c r="A34" s="809"/>
      <c r="B34" s="810" t="s">
        <v>466</v>
      </c>
      <c r="C34" s="810">
        <f>BB79</f>
        <v>31.380570000000006</v>
      </c>
      <c r="D34" s="810">
        <f>BC79</f>
        <v>31.553200999999998</v>
      </c>
      <c r="E34" s="810">
        <f>BD79</f>
        <v>32.066291999999997</v>
      </c>
      <c r="F34" s="810">
        <f>BE79</f>
        <v>29.877814000000001</v>
      </c>
      <c r="G34" s="810">
        <f t="shared" ref="G34:W34" si="5">F34*G6/F6</f>
        <v>26.765653487802332</v>
      </c>
      <c r="H34" s="810">
        <f t="shared" si="5"/>
        <v>27.098685927264093</v>
      </c>
      <c r="I34" s="810">
        <f t="shared" si="5"/>
        <v>27.453967008654384</v>
      </c>
      <c r="J34" s="810">
        <f>I34*J6/I6</f>
        <v>27.833040087668703</v>
      </c>
      <c r="K34" s="810">
        <f t="shared" si="5"/>
        <v>27.533891160568956</v>
      </c>
      <c r="L34" s="810">
        <f t="shared" si="5"/>
        <v>27.239693257392815</v>
      </c>
      <c r="M34" s="810">
        <f t="shared" si="5"/>
        <v>26.950337526818043</v>
      </c>
      <c r="N34" s="810">
        <f t="shared" si="5"/>
        <v>32.843626390447682</v>
      </c>
      <c r="O34" s="810">
        <f t="shared" si="5"/>
        <v>33.341504315741588</v>
      </c>
      <c r="P34" s="810">
        <f t="shared" si="5"/>
        <v>33.850789429020026</v>
      </c>
      <c r="Q34" s="810">
        <f t="shared" si="5"/>
        <v>34.371723054010971</v>
      </c>
      <c r="R34" s="810">
        <f t="shared" si="5"/>
        <v>34.904551378712064</v>
      </c>
      <c r="S34" s="810">
        <f t="shared" si="5"/>
        <v>35.176340803243406</v>
      </c>
      <c r="T34" s="810">
        <f t="shared" si="5"/>
        <v>35.45524597649262</v>
      </c>
      <c r="U34" s="810">
        <f t="shared" si="5"/>
        <v>35.741348330488407</v>
      </c>
      <c r="V34" s="810">
        <f t="shared" si="5"/>
        <v>36.034731138561341</v>
      </c>
      <c r="W34" s="810">
        <f t="shared" si="5"/>
        <v>36.335479541053047</v>
      </c>
      <c r="X34" s="956"/>
    </row>
    <row r="35" spans="1:61" s="809" customFormat="1" x14ac:dyDescent="0.25">
      <c r="B35" s="812"/>
      <c r="C35" s="812"/>
      <c r="D35" s="812"/>
      <c r="E35" s="812"/>
      <c r="F35" s="812"/>
      <c r="G35" s="812"/>
      <c r="H35" s="812"/>
      <c r="I35" s="812"/>
      <c r="J35" s="812"/>
      <c r="K35" s="812"/>
      <c r="L35" s="812"/>
      <c r="M35" s="812"/>
      <c r="N35" s="812"/>
      <c r="O35" s="812"/>
      <c r="P35" s="812"/>
      <c r="Q35" s="812"/>
      <c r="R35" s="812"/>
      <c r="S35" s="812"/>
      <c r="T35" s="812"/>
      <c r="U35" s="812"/>
      <c r="V35" s="812"/>
      <c r="W35" s="812"/>
      <c r="X35" s="956"/>
    </row>
    <row r="36" spans="1:61" s="788" customFormat="1" x14ac:dyDescent="0.25">
      <c r="A36" s="785"/>
    </row>
    <row r="37" spans="1:61" s="785" customFormat="1" x14ac:dyDescent="0.25">
      <c r="B37" s="1155" t="s">
        <v>521</v>
      </c>
    </row>
    <row r="38" spans="1:61" x14ac:dyDescent="0.25">
      <c r="B38" s="1269" t="s">
        <v>608</v>
      </c>
      <c r="C38" s="781">
        <v>2010</v>
      </c>
      <c r="D38" s="781">
        <v>2011</v>
      </c>
      <c r="E38" s="781">
        <v>2012</v>
      </c>
      <c r="F38" s="781">
        <v>2013</v>
      </c>
      <c r="G38" s="781">
        <v>2014</v>
      </c>
      <c r="H38" s="781">
        <v>2015</v>
      </c>
      <c r="I38" s="780">
        <v>2016</v>
      </c>
      <c r="J38" s="780">
        <v>2017</v>
      </c>
      <c r="K38" s="780">
        <v>2018</v>
      </c>
      <c r="L38" s="780">
        <v>2019</v>
      </c>
      <c r="M38" s="780">
        <v>2020</v>
      </c>
      <c r="N38" s="780">
        <v>2021</v>
      </c>
      <c r="O38" s="780">
        <v>2022</v>
      </c>
      <c r="P38" s="780">
        <v>2023</v>
      </c>
      <c r="Q38" s="780">
        <v>2024</v>
      </c>
      <c r="R38" s="780">
        <v>2025</v>
      </c>
      <c r="S38" s="780">
        <v>2026</v>
      </c>
      <c r="T38" s="780">
        <v>2027</v>
      </c>
      <c r="U38" s="780">
        <v>2028</v>
      </c>
      <c r="V38" s="780">
        <v>2029</v>
      </c>
      <c r="W38" s="780">
        <v>2030</v>
      </c>
      <c r="X38" s="957"/>
    </row>
    <row r="39" spans="1:61" s="764" customFormat="1" ht="12.75" x14ac:dyDescent="0.2">
      <c r="A39" s="816"/>
      <c r="B39" s="846" t="s">
        <v>96</v>
      </c>
      <c r="C39" s="847">
        <f t="shared" ref="C39:W39" si="6">C30</f>
        <v>29.568594999999998</v>
      </c>
      <c r="D39" s="847">
        <f t="shared" si="6"/>
        <v>30.181574999999999</v>
      </c>
      <c r="E39" s="847">
        <f t="shared" si="6"/>
        <v>30.908985000000001</v>
      </c>
      <c r="F39" s="847">
        <f t="shared" si="6"/>
        <v>28.411908</v>
      </c>
      <c r="G39" s="847">
        <f t="shared" si="6"/>
        <v>28.688124070619835</v>
      </c>
      <c r="H39" s="847">
        <f t="shared" si="6"/>
        <v>28.925179165733535</v>
      </c>
      <c r="I39" s="847">
        <f t="shared" si="6"/>
        <v>29.196001128480333</v>
      </c>
      <c r="J39" s="829">
        <f t="shared" si="6"/>
        <v>29.502350481872782</v>
      </c>
      <c r="K39" s="829">
        <f t="shared" si="6"/>
        <v>29.119064061200707</v>
      </c>
      <c r="L39" s="829">
        <f t="shared" si="6"/>
        <v>28.743845317554793</v>
      </c>
      <c r="M39" s="829">
        <f t="shared" si="6"/>
        <v>28.376472501034623</v>
      </c>
      <c r="N39" s="831">
        <f t="shared" si="6"/>
        <v>28.287904340059541</v>
      </c>
      <c r="O39" s="831">
        <f t="shared" si="6"/>
        <v>28.202186816347496</v>
      </c>
      <c r="P39" s="831">
        <f t="shared" si="6"/>
        <v>28.119274205747686</v>
      </c>
      <c r="Q39" s="831">
        <f t="shared" si="6"/>
        <v>27.96188828683243</v>
      </c>
      <c r="R39" s="831">
        <f t="shared" si="6"/>
        <v>27.811303781710581</v>
      </c>
      <c r="S39" s="831">
        <f t="shared" si="6"/>
        <v>27.667315363055351</v>
      </c>
      <c r="T39" s="831">
        <f t="shared" si="6"/>
        <v>27.655336824046266</v>
      </c>
      <c r="U39" s="831">
        <f t="shared" si="6"/>
        <v>27.645743314614602</v>
      </c>
      <c r="V39" s="831">
        <f t="shared" si="6"/>
        <v>27.638501463928563</v>
      </c>
      <c r="W39" s="831">
        <f t="shared" si="6"/>
        <v>27.440732266348103</v>
      </c>
      <c r="X39" s="847"/>
    </row>
    <row r="40" spans="1:61" s="764" customFormat="1" ht="12.75" customHeight="1" x14ac:dyDescent="0.2">
      <c r="A40" s="816"/>
      <c r="B40" s="846" t="s">
        <v>110</v>
      </c>
      <c r="C40" s="847">
        <f>C5</f>
        <v>19.802272114057871</v>
      </c>
      <c r="D40" s="847">
        <f t="shared" ref="D40:W40" si="7">D5</f>
        <v>14.218297326696581</v>
      </c>
      <c r="E40" s="847">
        <f t="shared" si="7"/>
        <v>14.154796364649654</v>
      </c>
      <c r="F40" s="847">
        <f t="shared" si="7"/>
        <v>10.890218042777901</v>
      </c>
      <c r="G40" s="847">
        <f t="shared" si="7"/>
        <v>11.203585624694824</v>
      </c>
      <c r="H40" s="847">
        <f t="shared" si="7"/>
        <v>9.1245328705612145</v>
      </c>
      <c r="I40" s="847">
        <f t="shared" si="7"/>
        <v>7.4312905613393676</v>
      </c>
      <c r="J40" s="829">
        <f t="shared" si="7"/>
        <v>6.480922986572784</v>
      </c>
      <c r="K40" s="829">
        <f t="shared" si="7"/>
        <v>6.480922986572784</v>
      </c>
      <c r="L40" s="829">
        <f t="shared" si="7"/>
        <v>6.480922986572784</v>
      </c>
      <c r="M40" s="829">
        <f t="shared" si="7"/>
        <v>6.480922986572784</v>
      </c>
      <c r="N40" s="831">
        <f t="shared" si="7"/>
        <v>3.6</v>
      </c>
      <c r="O40" s="831">
        <f t="shared" si="7"/>
        <v>3.7</v>
      </c>
      <c r="P40" s="831">
        <f t="shared" si="7"/>
        <v>4.2</v>
      </c>
      <c r="Q40" s="831">
        <f t="shared" si="7"/>
        <v>3.4</v>
      </c>
      <c r="R40" s="831">
        <f t="shared" si="7"/>
        <v>4.7</v>
      </c>
      <c r="S40" s="831">
        <f t="shared" si="7"/>
        <v>3.8</v>
      </c>
      <c r="T40" s="831">
        <f t="shared" si="7"/>
        <v>3.9</v>
      </c>
      <c r="U40" s="831">
        <f t="shared" si="7"/>
        <v>3.7</v>
      </c>
      <c r="V40" s="831">
        <f t="shared" si="7"/>
        <v>3.9</v>
      </c>
      <c r="W40" s="831">
        <f t="shared" si="7"/>
        <v>3.8</v>
      </c>
      <c r="X40" s="958"/>
      <c r="BA40" s="364" t="s">
        <v>69</v>
      </c>
    </row>
    <row r="41" spans="1:61" s="764" customFormat="1" ht="12.75" customHeight="1" x14ac:dyDescent="0.2">
      <c r="A41" s="816"/>
      <c r="B41" s="846" t="s">
        <v>66</v>
      </c>
      <c r="C41" s="847">
        <f>(C8-C15-C16)</f>
        <v>57.407487290393703</v>
      </c>
      <c r="D41" s="847">
        <f t="shared" ref="D41:W41" si="8">(D8-D15-D16)</f>
        <v>57.464593212534183</v>
      </c>
      <c r="E41" s="847">
        <f t="shared" si="8"/>
        <v>54.489894225375245</v>
      </c>
      <c r="F41" s="847">
        <f t="shared" si="8"/>
        <v>56.697177784266955</v>
      </c>
      <c r="G41" s="847">
        <f t="shared" si="8"/>
        <v>58.268295288085938</v>
      </c>
      <c r="H41" s="847">
        <f t="shared" si="8"/>
        <v>59.314529379210505</v>
      </c>
      <c r="I41" s="847">
        <f t="shared" si="8"/>
        <v>60.379549085531437</v>
      </c>
      <c r="J41" s="829">
        <f t="shared" si="8"/>
        <v>61.463691711425781</v>
      </c>
      <c r="K41" s="829">
        <f t="shared" si="8"/>
        <v>61.859819941146142</v>
      </c>
      <c r="L41" s="829">
        <f t="shared" si="8"/>
        <v>62.258501183385142</v>
      </c>
      <c r="M41" s="829">
        <f t="shared" si="8"/>
        <v>62.659751892089844</v>
      </c>
      <c r="N41" s="831">
        <f t="shared" si="8"/>
        <v>56.271851653755327</v>
      </c>
      <c r="O41" s="831">
        <f t="shared" si="8"/>
        <v>55.536268310323791</v>
      </c>
      <c r="P41" s="831">
        <f t="shared" si="8"/>
        <v>54.828976655203235</v>
      </c>
      <c r="Q41" s="831">
        <f t="shared" si="8"/>
        <v>54.149118382450382</v>
      </c>
      <c r="R41" s="831">
        <f t="shared" si="8"/>
        <v>53.495862305164337</v>
      </c>
      <c r="S41" s="831">
        <f t="shared" si="8"/>
        <v>52.825337250394668</v>
      </c>
      <c r="T41" s="831">
        <f t="shared" si="8"/>
        <v>52.1954728608873</v>
      </c>
      <c r="U41" s="831">
        <f t="shared" si="8"/>
        <v>51.604826821626659</v>
      </c>
      <c r="V41" s="831">
        <f t="shared" si="8"/>
        <v>51.052014799124841</v>
      </c>
      <c r="W41" s="831">
        <f t="shared" si="8"/>
        <v>50.53570818901062</v>
      </c>
      <c r="X41" s="847"/>
      <c r="BA41" s="764" t="s">
        <v>70</v>
      </c>
    </row>
    <row r="42" spans="1:61" s="764" customFormat="1" ht="12.75" x14ac:dyDescent="0.2">
      <c r="A42" s="816"/>
      <c r="B42" s="846" t="s">
        <v>67</v>
      </c>
      <c r="C42" s="847">
        <f t="shared" ref="C42:W42" si="9">C31</f>
        <v>47.324697505737518</v>
      </c>
      <c r="D42" s="847">
        <f t="shared" si="9"/>
        <v>49.344713290930443</v>
      </c>
      <c r="E42" s="847">
        <f t="shared" si="9"/>
        <v>47.583275070485712</v>
      </c>
      <c r="F42" s="847">
        <f t="shared" si="9"/>
        <v>50.473716294161733</v>
      </c>
      <c r="G42" s="847">
        <f t="shared" si="9"/>
        <v>42.210292090917335</v>
      </c>
      <c r="H42" s="847">
        <f t="shared" si="9"/>
        <v>42.76332704831394</v>
      </c>
      <c r="I42" s="847">
        <f t="shared" si="9"/>
        <v>43.315035535301021</v>
      </c>
      <c r="J42" s="829">
        <f t="shared" si="9"/>
        <v>43.865649727458731</v>
      </c>
      <c r="K42" s="829">
        <f t="shared" si="9"/>
        <v>44.188444364408625</v>
      </c>
      <c r="L42" s="829">
        <f t="shared" si="9"/>
        <v>44.516669878249765</v>
      </c>
      <c r="M42" s="829">
        <f t="shared" si="9"/>
        <v>44.850448759322276</v>
      </c>
      <c r="N42" s="831">
        <f t="shared" si="9"/>
        <v>49.938340066035636</v>
      </c>
      <c r="O42" s="831">
        <f t="shared" si="9"/>
        <v>50.570389025506515</v>
      </c>
      <c r="P42" s="831">
        <f t="shared" si="9"/>
        <v>51.224232231840148</v>
      </c>
      <c r="Q42" s="831">
        <f t="shared" si="9"/>
        <v>51.977440084565686</v>
      </c>
      <c r="R42" s="831">
        <f t="shared" si="9"/>
        <v>52.749039517350482</v>
      </c>
      <c r="S42" s="831">
        <f t="shared" si="9"/>
        <v>53.350156960913196</v>
      </c>
      <c r="T42" s="831">
        <f t="shared" si="9"/>
        <v>53.832034834393404</v>
      </c>
      <c r="U42" s="831">
        <f t="shared" si="9"/>
        <v>54.324439407275889</v>
      </c>
      <c r="V42" s="831">
        <f t="shared" si="9"/>
        <v>54.827548560840981</v>
      </c>
      <c r="W42" s="831">
        <f t="shared" si="9"/>
        <v>55.53438894491245</v>
      </c>
      <c r="X42" s="847"/>
    </row>
    <row r="43" spans="1:61" s="764" customFormat="1" ht="12.75" hidden="1" x14ac:dyDescent="0.2">
      <c r="A43" s="816"/>
      <c r="B43" s="846" t="s">
        <v>523</v>
      </c>
      <c r="C43" s="847"/>
      <c r="D43" s="847"/>
      <c r="E43" s="847"/>
      <c r="F43" s="847"/>
      <c r="G43" s="847"/>
      <c r="H43" s="847"/>
      <c r="I43" s="847"/>
      <c r="J43" s="829">
        <f>J39+J42</f>
        <v>73.368000209331512</v>
      </c>
      <c r="K43" s="829"/>
      <c r="L43" s="829"/>
      <c r="M43" s="829"/>
      <c r="N43" s="831"/>
      <c r="O43" s="831"/>
      <c r="P43" s="831"/>
      <c r="Q43" s="831"/>
      <c r="R43" s="831"/>
      <c r="S43" s="831"/>
      <c r="T43" s="831"/>
      <c r="U43" s="831"/>
      <c r="V43" s="831"/>
      <c r="W43" s="831"/>
      <c r="X43" s="847"/>
    </row>
    <row r="44" spans="1:61" s="764" customFormat="1" ht="12.75" x14ac:dyDescent="0.2">
      <c r="A44" s="816"/>
      <c r="B44" s="817" t="s">
        <v>68</v>
      </c>
      <c r="C44" s="818">
        <f t="shared" ref="C44:W44" si="10">SUM(C39:C42)</f>
        <v>154.10305191018909</v>
      </c>
      <c r="D44" s="818">
        <f t="shared" si="10"/>
        <v>151.20917883016119</v>
      </c>
      <c r="E44" s="818">
        <f t="shared" si="10"/>
        <v>147.13695066051062</v>
      </c>
      <c r="F44" s="818">
        <f t="shared" si="10"/>
        <v>146.47302012120659</v>
      </c>
      <c r="G44" s="818">
        <f t="shared" si="10"/>
        <v>140.37029707431793</v>
      </c>
      <c r="H44" s="818">
        <f t="shared" si="10"/>
        <v>140.12756846381922</v>
      </c>
      <c r="I44" s="818">
        <f t="shared" si="10"/>
        <v>140.32187631065216</v>
      </c>
      <c r="J44" s="837">
        <f t="shared" si="10"/>
        <v>141.31261490733007</v>
      </c>
      <c r="K44" s="837">
        <f t="shared" si="10"/>
        <v>141.64825135332825</v>
      </c>
      <c r="L44" s="837">
        <f t="shared" si="10"/>
        <v>141.99993936576249</v>
      </c>
      <c r="M44" s="837">
        <f t="shared" si="10"/>
        <v>142.36759613901953</v>
      </c>
      <c r="N44" s="830">
        <f t="shared" si="10"/>
        <v>138.09809605985049</v>
      </c>
      <c r="O44" s="830">
        <f t="shared" si="10"/>
        <v>138.0088441521778</v>
      </c>
      <c r="P44" s="830">
        <f t="shared" si="10"/>
        <v>138.37248309279107</v>
      </c>
      <c r="Q44" s="830">
        <f t="shared" si="10"/>
        <v>137.48844675384851</v>
      </c>
      <c r="R44" s="830">
        <f t="shared" si="10"/>
        <v>138.75620560422539</v>
      </c>
      <c r="S44" s="830">
        <f t="shared" si="10"/>
        <v>137.64280957436321</v>
      </c>
      <c r="T44" s="830">
        <f t="shared" si="10"/>
        <v>137.58284451932695</v>
      </c>
      <c r="U44" s="830">
        <f t="shared" si="10"/>
        <v>137.27500954351714</v>
      </c>
      <c r="V44" s="830">
        <f t="shared" si="10"/>
        <v>137.41806482389438</v>
      </c>
      <c r="W44" s="830">
        <f t="shared" si="10"/>
        <v>137.31082940027119</v>
      </c>
      <c r="X44" s="847"/>
      <c r="BB44" s="764">
        <v>2010</v>
      </c>
      <c r="BC44" s="764">
        <v>2011</v>
      </c>
      <c r="BD44" s="764">
        <v>2012</v>
      </c>
      <c r="BE44" s="764">
        <v>2013</v>
      </c>
    </row>
    <row r="45" spans="1:61" s="764" customFormat="1" ht="12.75" x14ac:dyDescent="0.2">
      <c r="A45" s="816"/>
      <c r="B45" s="819" t="s">
        <v>106</v>
      </c>
      <c r="C45" s="820">
        <f>C25</f>
        <v>24.238561669196038</v>
      </c>
      <c r="D45" s="820">
        <f t="shared" ref="D45:I45" si="11">D25</f>
        <v>23.441116647301456</v>
      </c>
      <c r="E45" s="820">
        <f t="shared" si="11"/>
        <v>23.764695972851555</v>
      </c>
      <c r="F45" s="820">
        <f t="shared" si="11"/>
        <v>24.300895732824969</v>
      </c>
      <c r="G45" s="820">
        <f t="shared" si="11"/>
        <v>25.168432593345642</v>
      </c>
      <c r="H45" s="820">
        <f t="shared" si="11"/>
        <v>25.346813094867585</v>
      </c>
      <c r="I45" s="820">
        <f t="shared" si="11"/>
        <v>25.533955932344391</v>
      </c>
      <c r="J45" s="837">
        <f>J25</f>
        <v>31.142127090993245</v>
      </c>
      <c r="K45" s="837">
        <f>K25</f>
        <v>31.125025345358726</v>
      </c>
      <c r="L45" s="837">
        <f>L25</f>
        <v>31.108570521252112</v>
      </c>
      <c r="M45" s="837">
        <f>M25</f>
        <v>31.092760223206675</v>
      </c>
      <c r="N45" s="830">
        <f>N25</f>
        <v>25.544672505459509</v>
      </c>
      <c r="O45" s="830">
        <f t="shared" ref="O45:W45" si="12">O25</f>
        <v>25.620307445243249</v>
      </c>
      <c r="P45" s="830">
        <f t="shared" si="12"/>
        <v>25.698506788575827</v>
      </c>
      <c r="Q45" s="830">
        <f t="shared" si="12"/>
        <v>25.779318709969907</v>
      </c>
      <c r="R45" s="830">
        <f t="shared" si="12"/>
        <v>25.862792551517487</v>
      </c>
      <c r="S45" s="830">
        <f t="shared" si="12"/>
        <v>25.946622000930486</v>
      </c>
      <c r="T45" s="830">
        <f t="shared" si="12"/>
        <v>26.032720100516929</v>
      </c>
      <c r="U45" s="830">
        <f t="shared" si="12"/>
        <v>26.121131752070614</v>
      </c>
      <c r="V45" s="830">
        <f t="shared" si="12"/>
        <v>26.21190296632134</v>
      </c>
      <c r="W45" s="830">
        <f t="shared" si="12"/>
        <v>26.305080890655518</v>
      </c>
      <c r="X45" s="847"/>
      <c r="BA45" s="364" t="s">
        <v>71</v>
      </c>
      <c r="BB45" s="764">
        <v>23.471340999999999</v>
      </c>
      <c r="BC45" s="764">
        <v>15.654388000000001</v>
      </c>
      <c r="BD45" s="764">
        <v>16.177610999999999</v>
      </c>
      <c r="BE45" s="764">
        <v>13.049913</v>
      </c>
    </row>
    <row r="46" spans="1:61" s="824" customFormat="1" ht="12.75" x14ac:dyDescent="0.2">
      <c r="A46" s="821"/>
      <c r="B46" s="822" t="s">
        <v>107</v>
      </c>
      <c r="C46" s="823">
        <f>C44/(C44+C45)</f>
        <v>0.86408914227745992</v>
      </c>
      <c r="D46" s="823">
        <f t="shared" ref="D46:W46" si="13">D44/(D44+D45)</f>
        <v>0.86578255374136281</v>
      </c>
      <c r="E46" s="823">
        <f t="shared" si="13"/>
        <v>0.86094519016639837</v>
      </c>
      <c r="F46" s="823">
        <f t="shared" si="13"/>
        <v>0.85770136140933806</v>
      </c>
      <c r="G46" s="823">
        <f t="shared" si="13"/>
        <v>0.84796045829351285</v>
      </c>
      <c r="H46" s="823">
        <f t="shared" si="13"/>
        <v>0.84682333992662107</v>
      </c>
      <c r="I46" s="823">
        <f t="shared" si="13"/>
        <v>0.84604728343267177</v>
      </c>
      <c r="J46" s="838">
        <f t="shared" si="13"/>
        <v>0.81941855161456778</v>
      </c>
      <c r="K46" s="838">
        <f t="shared" si="13"/>
        <v>0.81985046565019359</v>
      </c>
      <c r="L46" s="838">
        <f t="shared" si="13"/>
        <v>0.82029438909989905</v>
      </c>
      <c r="M46" s="838">
        <f t="shared" si="13"/>
        <v>0.8207500498945266</v>
      </c>
      <c r="N46" s="834">
        <f t="shared" si="13"/>
        <v>0.84389977797726756</v>
      </c>
      <c r="O46" s="834">
        <f t="shared" si="13"/>
        <v>0.84342455366219082</v>
      </c>
      <c r="P46" s="834">
        <f t="shared" si="13"/>
        <v>0.84336958771835668</v>
      </c>
      <c r="Q46" s="834">
        <f t="shared" si="13"/>
        <v>0.84210405136167044</v>
      </c>
      <c r="R46" s="834">
        <f t="shared" si="13"/>
        <v>0.84289302667818933</v>
      </c>
      <c r="S46" s="834">
        <f t="shared" si="13"/>
        <v>0.8413918200517233</v>
      </c>
      <c r="T46" s="834">
        <f t="shared" si="13"/>
        <v>0.84089093136705406</v>
      </c>
      <c r="U46" s="834">
        <f t="shared" si="13"/>
        <v>0.84013617736041368</v>
      </c>
      <c r="V46" s="834">
        <f t="shared" si="13"/>
        <v>0.83980988739222451</v>
      </c>
      <c r="W46" s="834">
        <f t="shared" si="13"/>
        <v>0.83922663239851036</v>
      </c>
      <c r="X46" s="959"/>
      <c r="Y46" s="1002"/>
      <c r="BA46" s="764" t="s">
        <v>72</v>
      </c>
      <c r="BB46" s="764">
        <v>12.239734</v>
      </c>
      <c r="BC46" s="764">
        <v>12.045002</v>
      </c>
      <c r="BD46" s="764">
        <v>12.566719000000001</v>
      </c>
      <c r="BE46" s="764">
        <v>10.342922</v>
      </c>
      <c r="BF46" s="764"/>
      <c r="BG46" s="764"/>
      <c r="BH46" s="764"/>
      <c r="BI46" s="764"/>
    </row>
    <row r="47" spans="1:61" s="824" customFormat="1" ht="12.75" x14ac:dyDescent="0.2">
      <c r="A47" s="821"/>
      <c r="B47" s="822" t="s">
        <v>461</v>
      </c>
      <c r="C47" s="823"/>
      <c r="D47" s="823"/>
      <c r="E47" s="823"/>
      <c r="F47" s="823"/>
      <c r="G47" s="823"/>
      <c r="H47" s="823"/>
      <c r="I47" s="823"/>
      <c r="J47" s="839">
        <f>J44+J45</f>
        <v>172.45474199832333</v>
      </c>
      <c r="K47" s="839">
        <f t="shared" ref="K47:W47" si="14">K44+K45</f>
        <v>172.77327669868697</v>
      </c>
      <c r="L47" s="839">
        <f t="shared" si="14"/>
        <v>173.10850988701461</v>
      </c>
      <c r="M47" s="839">
        <f t="shared" si="14"/>
        <v>173.46035636222621</v>
      </c>
      <c r="N47" s="835">
        <f t="shared" si="14"/>
        <v>163.64276856531001</v>
      </c>
      <c r="O47" s="835">
        <f t="shared" si="14"/>
        <v>163.62915159742104</v>
      </c>
      <c r="P47" s="835">
        <f t="shared" si="14"/>
        <v>164.0709898813669</v>
      </c>
      <c r="Q47" s="835">
        <f t="shared" si="14"/>
        <v>163.26776546381842</v>
      </c>
      <c r="R47" s="835">
        <f t="shared" si="14"/>
        <v>164.61899815574287</v>
      </c>
      <c r="S47" s="835">
        <f t="shared" si="14"/>
        <v>163.5894315752937</v>
      </c>
      <c r="T47" s="835">
        <f t="shared" si="14"/>
        <v>163.61556461984389</v>
      </c>
      <c r="U47" s="835">
        <f t="shared" si="14"/>
        <v>163.39614129558777</v>
      </c>
      <c r="V47" s="835">
        <f t="shared" si="14"/>
        <v>163.62996779021572</v>
      </c>
      <c r="W47" s="835">
        <f t="shared" si="14"/>
        <v>163.61591029092671</v>
      </c>
      <c r="X47" s="960"/>
      <c r="BA47" s="764"/>
      <c r="BB47" s="764"/>
      <c r="BC47" s="764"/>
      <c r="BD47" s="764"/>
      <c r="BE47" s="764"/>
      <c r="BF47" s="764"/>
      <c r="BG47" s="764"/>
      <c r="BH47" s="764"/>
      <c r="BI47" s="764"/>
    </row>
    <row r="48" spans="1:61" s="827" customFormat="1" ht="12.75" x14ac:dyDescent="0.2">
      <c r="A48" s="826"/>
      <c r="B48" s="998" t="s">
        <v>182</v>
      </c>
      <c r="C48" s="998"/>
      <c r="D48" s="998"/>
      <c r="E48" s="998"/>
      <c r="F48" s="998"/>
      <c r="G48" s="998"/>
      <c r="H48" s="999" t="s">
        <v>503</v>
      </c>
      <c r="I48" s="998"/>
      <c r="J48" s="1000">
        <v>17.776544332575511</v>
      </c>
      <c r="K48" s="1000">
        <v>18.260183300000001</v>
      </c>
      <c r="L48" s="1000">
        <v>19.024845363512195</v>
      </c>
      <c r="M48" s="1000">
        <v>19.823987288030477</v>
      </c>
      <c r="N48" s="1000">
        <v>20.914146793507996</v>
      </c>
      <c r="O48" s="1000">
        <v>22.276871121840031</v>
      </c>
      <c r="P48" s="1000">
        <v>26.015425021990001</v>
      </c>
      <c r="Q48" s="1000">
        <v>33.122947588190712</v>
      </c>
      <c r="R48" s="1000">
        <v>39.254679818464147</v>
      </c>
      <c r="S48" s="1000">
        <v>46.231770390260444</v>
      </c>
      <c r="T48" s="1000">
        <v>54.142767837477656</v>
      </c>
      <c r="U48" s="1000">
        <v>58.615223418346439</v>
      </c>
      <c r="V48" s="1000">
        <v>63.049506895243077</v>
      </c>
      <c r="W48" s="1000">
        <v>67.604570726888241</v>
      </c>
      <c r="X48" s="961"/>
      <c r="BA48" s="827" t="s">
        <v>73</v>
      </c>
      <c r="BB48" s="827">
        <v>4.5615500000000004</v>
      </c>
      <c r="BC48" s="827">
        <v>4.6675000000000004</v>
      </c>
      <c r="BD48" s="827">
        <v>4.5891409999999997</v>
      </c>
      <c r="BE48" s="827">
        <v>4.5392890000000001</v>
      </c>
    </row>
    <row r="49" spans="1:61" x14ac:dyDescent="0.25">
      <c r="B49" s="157" t="s">
        <v>45</v>
      </c>
      <c r="J49" s="927"/>
      <c r="K49" s="927"/>
      <c r="L49" s="927"/>
      <c r="M49" s="828">
        <f>(182049*0.85)/1000</f>
        <v>154.74164999999999</v>
      </c>
      <c r="N49" s="928"/>
      <c r="O49" s="928"/>
      <c r="P49" s="928"/>
      <c r="Q49" s="928"/>
      <c r="R49" s="928"/>
      <c r="S49" s="928"/>
      <c r="T49" s="928"/>
      <c r="U49" s="928"/>
      <c r="V49" s="928"/>
      <c r="W49" s="1273">
        <f>(181000*0.63)/1000</f>
        <v>114.03</v>
      </c>
      <c r="X49" s="847"/>
      <c r="AE49" s="937" t="s">
        <v>105</v>
      </c>
      <c r="AF49" s="968" t="s">
        <v>187</v>
      </c>
      <c r="AG49" s="969" t="s">
        <v>188</v>
      </c>
      <c r="BA49" s="312" t="s">
        <v>74</v>
      </c>
      <c r="BB49" s="312">
        <v>4.4165049999999999</v>
      </c>
      <c r="BC49" s="312">
        <v>4.5535319999999997</v>
      </c>
      <c r="BD49" s="312">
        <v>4.5836699999999997</v>
      </c>
      <c r="BE49" s="312">
        <v>4.615856</v>
      </c>
    </row>
    <row r="50" spans="1:61" x14ac:dyDescent="0.25">
      <c r="B50" s="199" t="s">
        <v>108</v>
      </c>
      <c r="J50" s="927"/>
      <c r="K50" s="927"/>
      <c r="L50" s="927"/>
      <c r="M50" s="929">
        <f>(M44+M45)-M49</f>
        <v>18.718706362226214</v>
      </c>
      <c r="N50" s="928"/>
      <c r="O50" s="928"/>
      <c r="P50" s="928"/>
      <c r="Q50" s="928"/>
      <c r="R50" s="928"/>
      <c r="S50" s="928"/>
      <c r="T50" s="928"/>
      <c r="U50" s="928"/>
      <c r="V50" s="928"/>
      <c r="W50" s="930">
        <f>(W44+W45)-W49</f>
        <v>49.585910290926705</v>
      </c>
      <c r="X50" s="962"/>
      <c r="AE50" s="937" t="s">
        <v>483</v>
      </c>
      <c r="AF50" s="938">
        <f>'Electricity Sector Emissions'!AE27</f>
        <v>1.019077013427216</v>
      </c>
      <c r="AG50" s="939">
        <f>'Electricity Sector Emissions'!AI17</f>
        <v>4.2</v>
      </c>
      <c r="BA50" s="312" t="s">
        <v>75</v>
      </c>
      <c r="BB50" s="312">
        <v>4.3822070000000002</v>
      </c>
      <c r="BC50" s="312">
        <v>4.3620289999999997</v>
      </c>
      <c r="BD50" s="312">
        <v>4.6875660000000003</v>
      </c>
      <c r="BE50" s="312">
        <v>4.3963890000000001</v>
      </c>
    </row>
    <row r="51" spans="1:61" x14ac:dyDescent="0.25">
      <c r="B51" s="199" t="s">
        <v>111</v>
      </c>
      <c r="J51" s="931">
        <f>J44-J59</f>
        <v>0</v>
      </c>
      <c r="K51" s="931">
        <f t="shared" ref="K51:W51" si="15">K44-K59</f>
        <v>6.2235448228437633</v>
      </c>
      <c r="L51" s="931">
        <f t="shared" si="15"/>
        <v>12.463141212123588</v>
      </c>
      <c r="M51" s="931">
        <f t="shared" si="15"/>
        <v>18.718706362226214</v>
      </c>
      <c r="N51" s="932">
        <f t="shared" si="15"/>
        <v>18.04160334980206</v>
      </c>
      <c r="O51" s="932">
        <f t="shared" si="15"/>
        <v>21.54474850887425</v>
      </c>
      <c r="P51" s="932">
        <f t="shared" si="15"/>
        <v>25.5007845162324</v>
      </c>
      <c r="Q51" s="932">
        <f t="shared" si="15"/>
        <v>28.209145244034715</v>
      </c>
      <c r="R51" s="932">
        <f t="shared" si="15"/>
        <v>33.069301161156474</v>
      </c>
      <c r="S51" s="932">
        <f t="shared" si="15"/>
        <v>35.548302198039181</v>
      </c>
      <c r="T51" s="932">
        <f t="shared" si="15"/>
        <v>39.080734209747803</v>
      </c>
      <c r="U51" s="932">
        <f t="shared" si="15"/>
        <v>42.365296300682871</v>
      </c>
      <c r="V51" s="932">
        <f t="shared" si="15"/>
        <v>46.100748647804991</v>
      </c>
      <c r="W51" s="932">
        <f t="shared" si="15"/>
        <v>49.585910290926705</v>
      </c>
      <c r="X51" s="963"/>
      <c r="AE51" s="937"/>
      <c r="AF51" s="938"/>
      <c r="AG51" s="939"/>
      <c r="BA51" s="312" t="s">
        <v>76</v>
      </c>
      <c r="BB51" s="312">
        <v>1.025134</v>
      </c>
      <c r="BC51" s="312">
        <v>0.94970900000000003</v>
      </c>
      <c r="BD51" s="312">
        <v>0.89521799999999996</v>
      </c>
      <c r="BE51" s="312">
        <v>1.1112010000000001</v>
      </c>
    </row>
    <row r="52" spans="1:61" x14ac:dyDescent="0.25">
      <c r="B52" s="845" t="s">
        <v>96</v>
      </c>
      <c r="J52" s="828">
        <f>J39-J60</f>
        <v>0</v>
      </c>
      <c r="K52" s="828">
        <f>K39-K60</f>
        <v>0.39818954030205944</v>
      </c>
      <c r="L52" s="828">
        <f>IF((L39-L60)&gt;0,L39-L60,0)</f>
        <v>0.80444675763028073</v>
      </c>
      <c r="M52" s="828">
        <f>IF((M39-M60)&gt;0,M39-M60,0)</f>
        <v>1.218549902084245</v>
      </c>
      <c r="N52" s="831">
        <f t="shared" ref="N52:W52" si="16">N39-N60</f>
        <v>-0.12291729095128545</v>
      </c>
      <c r="O52" s="831">
        <f t="shared" si="16"/>
        <v>3.2071777570887861E-2</v>
      </c>
      <c r="P52" s="831">
        <f t="shared" si="16"/>
        <v>0.1853467130074975</v>
      </c>
      <c r="Q52" s="831">
        <f t="shared" si="16"/>
        <v>0.25954185074869329</v>
      </c>
      <c r="R52" s="831">
        <f t="shared" si="16"/>
        <v>0.31910195034148359</v>
      </c>
      <c r="S52" s="831">
        <f t="shared" si="16"/>
        <v>0.66867857249867058</v>
      </c>
      <c r="T52" s="831">
        <f t="shared" si="16"/>
        <v>1.0974087302731057</v>
      </c>
      <c r="U52" s="831">
        <f t="shared" si="16"/>
        <v>1.542594817212585</v>
      </c>
      <c r="V52" s="831">
        <f t="shared" si="16"/>
        <v>1.987426311714664</v>
      </c>
      <c r="W52" s="831">
        <f t="shared" si="16"/>
        <v>2.2389868267824475</v>
      </c>
      <c r="X52" s="847"/>
      <c r="AE52" s="937" t="s">
        <v>485</v>
      </c>
      <c r="AF52" s="937" t="s">
        <v>484</v>
      </c>
      <c r="AG52" s="937" t="s">
        <v>276</v>
      </c>
      <c r="BA52" s="312" t="s">
        <v>77</v>
      </c>
      <c r="BB52" s="312">
        <v>0.96855500000000005</v>
      </c>
      <c r="BC52" s="312">
        <v>1.0279100000000001</v>
      </c>
      <c r="BD52" s="312">
        <v>1.000391</v>
      </c>
      <c r="BE52" s="312">
        <v>0.78884200000000004</v>
      </c>
    </row>
    <row r="53" spans="1:61" x14ac:dyDescent="0.25">
      <c r="B53" s="845" t="s">
        <v>2</v>
      </c>
      <c r="J53" s="828">
        <f>J40-J63</f>
        <v>0</v>
      </c>
      <c r="K53" s="828">
        <f>K40-K63</f>
        <v>0</v>
      </c>
      <c r="L53" s="828">
        <f>IF((L40-L63)&gt;0,L40-L63,0)</f>
        <v>0</v>
      </c>
      <c r="M53" s="828">
        <f>IF((M40-M63)&gt;0,M40-M63,0)</f>
        <v>0</v>
      </c>
      <c r="N53" s="831">
        <f t="shared" ref="N53:W53" si="17">IF((N40-N63)&gt;0,N40-N63,0)</f>
        <v>0</v>
      </c>
      <c r="O53" s="831">
        <f t="shared" si="17"/>
        <v>0</v>
      </c>
      <c r="P53" s="831">
        <f t="shared" si="17"/>
        <v>0.33000000000000052</v>
      </c>
      <c r="Q53" s="831">
        <f t="shared" si="17"/>
        <v>0</v>
      </c>
      <c r="R53" s="831">
        <f t="shared" si="17"/>
        <v>0.83000000000000052</v>
      </c>
      <c r="S53" s="831">
        <f t="shared" si="17"/>
        <v>0</v>
      </c>
      <c r="T53" s="831">
        <f t="shared" si="17"/>
        <v>3.0000000000000249E-2</v>
      </c>
      <c r="U53" s="831">
        <f t="shared" si="17"/>
        <v>0</v>
      </c>
      <c r="V53" s="831">
        <f t="shared" si="17"/>
        <v>3.0000000000000249E-2</v>
      </c>
      <c r="W53" s="831">
        <f t="shared" si="17"/>
        <v>0</v>
      </c>
      <c r="X53" s="847"/>
      <c r="BA53" s="312" t="s">
        <v>78</v>
      </c>
      <c r="BB53" s="312">
        <v>0.87819999999999998</v>
      </c>
      <c r="BC53" s="312">
        <v>0.90612099999999995</v>
      </c>
      <c r="BD53" s="312">
        <v>0.79643900000000001</v>
      </c>
      <c r="BE53" s="312">
        <v>1.0696969999999999</v>
      </c>
    </row>
    <row r="54" spans="1:61" x14ac:dyDescent="0.25">
      <c r="B54" s="845" t="s">
        <v>63</v>
      </c>
      <c r="J54" s="828">
        <f>(J41+J42)-J64</f>
        <v>0</v>
      </c>
      <c r="K54" s="828">
        <f>(K41+K42)-K64</f>
        <v>5.8253552825417074</v>
      </c>
      <c r="L54" s="828">
        <f>(L41+L42)-L64</f>
        <v>11.6586944544933</v>
      </c>
      <c r="M54" s="933">
        <f>M50-M52-M53</f>
        <v>17.500156460141969</v>
      </c>
      <c r="N54" s="831">
        <f t="shared" ref="N54:V54" si="18">(N41+N42)-N64</f>
        <v>19.328834580669948</v>
      </c>
      <c r="O54" s="831">
        <f t="shared" si="18"/>
        <v>22.353987248858417</v>
      </c>
      <c r="P54" s="831">
        <f t="shared" si="18"/>
        <v>25.429225852220625</v>
      </c>
      <c r="Q54" s="831">
        <f t="shared" si="18"/>
        <v>28.631262484342443</v>
      </c>
      <c r="R54" s="831">
        <f t="shared" si="18"/>
        <v>31.878292891990327</v>
      </c>
      <c r="S54" s="831">
        <f t="shared" si="18"/>
        <v>34.937572332932504</v>
      </c>
      <c r="T54" s="831">
        <f t="shared" si="18"/>
        <v>37.918272869054476</v>
      </c>
      <c r="U54" s="831">
        <f t="shared" si="18"/>
        <v>40.948718454825453</v>
      </c>
      <c r="V54" s="831">
        <f t="shared" si="18"/>
        <v>44.027702638037866</v>
      </c>
      <c r="W54" s="934">
        <f>W50-W52-W53</f>
        <v>47.346923464144254</v>
      </c>
      <c r="X54" s="964"/>
      <c r="BA54" s="312" t="s">
        <v>79</v>
      </c>
      <c r="BB54" s="312">
        <v>0.59262700000000001</v>
      </c>
      <c r="BC54" s="312">
        <v>0.61369200000000002</v>
      </c>
      <c r="BD54" s="312">
        <v>0.59292299999999998</v>
      </c>
      <c r="BE54" s="312">
        <v>0.58471099999999998</v>
      </c>
    </row>
    <row r="55" spans="1:61" s="173" customFormat="1" x14ac:dyDescent="0.25">
      <c r="A55" s="797"/>
      <c r="B55" s="791" t="s">
        <v>66</v>
      </c>
      <c r="J55" s="836">
        <f t="shared" ref="J55:W55" si="19">J41-J65</f>
        <v>0</v>
      </c>
      <c r="K55" s="836">
        <f t="shared" si="19"/>
        <v>3.3759264840981871</v>
      </c>
      <c r="L55" s="836">
        <f t="shared" si="19"/>
        <v>6.7544059807150134</v>
      </c>
      <c r="M55" s="836">
        <f t="shared" si="19"/>
        <v>10.135454943797541</v>
      </c>
      <c r="N55" s="833">
        <f t="shared" si="19"/>
        <v>5.573263039036938</v>
      </c>
      <c r="O55" s="833">
        <f t="shared" si="19"/>
        <v>6.6633880291793233</v>
      </c>
      <c r="P55" s="833">
        <f t="shared" si="19"/>
        <v>7.7818047076326806</v>
      </c>
      <c r="Q55" s="833">
        <f t="shared" si="19"/>
        <v>8.927654768453742</v>
      </c>
      <c r="R55" s="833">
        <f t="shared" si="19"/>
        <v>10.100107024741618</v>
      </c>
      <c r="S55" s="833">
        <f t="shared" si="19"/>
        <v>11.255290303545863</v>
      </c>
      <c r="T55" s="833">
        <f t="shared" si="19"/>
        <v>12.451134247612409</v>
      </c>
      <c r="U55" s="833">
        <f t="shared" si="19"/>
        <v>13.686196541925689</v>
      </c>
      <c r="V55" s="833">
        <f t="shared" si="19"/>
        <v>14.959092852997784</v>
      </c>
      <c r="W55" s="833">
        <f t="shared" si="19"/>
        <v>16.268494576457485</v>
      </c>
      <c r="X55" s="960"/>
      <c r="AC55" s="1005">
        <v>1</v>
      </c>
      <c r="AD55" s="1005">
        <v>2</v>
      </c>
      <c r="AE55" s="1005">
        <v>3</v>
      </c>
      <c r="AF55" s="1005">
        <v>4</v>
      </c>
      <c r="AG55" s="1005">
        <v>5</v>
      </c>
      <c r="AH55" s="1005">
        <v>6</v>
      </c>
      <c r="AI55" s="1005">
        <v>7</v>
      </c>
      <c r="AJ55" s="1005">
        <v>8</v>
      </c>
      <c r="AK55" s="1005">
        <v>9</v>
      </c>
      <c r="AL55" s="1005">
        <v>10</v>
      </c>
      <c r="AM55" s="1005">
        <v>11</v>
      </c>
      <c r="BA55" s="312" t="s">
        <v>80</v>
      </c>
      <c r="BB55" s="312">
        <v>2.316058</v>
      </c>
      <c r="BC55" s="312">
        <v>2.4277060000000001</v>
      </c>
      <c r="BD55" s="312">
        <v>2.354225</v>
      </c>
      <c r="BE55" s="312">
        <v>2.4289070000000001</v>
      </c>
      <c r="BF55" s="312"/>
      <c r="BG55" s="312"/>
      <c r="BH55" s="312"/>
      <c r="BI55" s="312"/>
    </row>
    <row r="56" spans="1:61" s="173" customFormat="1" x14ac:dyDescent="0.25">
      <c r="A56" s="797"/>
      <c r="B56" s="791" t="s">
        <v>67</v>
      </c>
      <c r="J56" s="836">
        <f t="shared" ref="J56:W56" si="20">J42-J66</f>
        <v>0</v>
      </c>
      <c r="K56" s="836">
        <f t="shared" si="20"/>
        <v>2.4494287984435203</v>
      </c>
      <c r="L56" s="836">
        <f t="shared" si="20"/>
        <v>4.904288473778287</v>
      </c>
      <c r="M56" s="836">
        <f t="shared" si="20"/>
        <v>7.3647015163444252</v>
      </c>
      <c r="N56" s="833">
        <f t="shared" si="20"/>
        <v>13.755571541633003</v>
      </c>
      <c r="O56" s="833">
        <f t="shared" si="20"/>
        <v>15.6905992196791</v>
      </c>
      <c r="P56" s="833">
        <f t="shared" si="20"/>
        <v>17.647421144587952</v>
      </c>
      <c r="Q56" s="833">
        <f t="shared" si="20"/>
        <v>19.703607715888708</v>
      </c>
      <c r="R56" s="833">
        <f t="shared" si="20"/>
        <v>21.77818586724872</v>
      </c>
      <c r="S56" s="833">
        <f t="shared" si="20"/>
        <v>23.682282029386652</v>
      </c>
      <c r="T56" s="833">
        <f t="shared" si="20"/>
        <v>25.467138621442075</v>
      </c>
      <c r="U56" s="833">
        <f t="shared" si="20"/>
        <v>27.262521912899778</v>
      </c>
      <c r="V56" s="833">
        <f t="shared" si="20"/>
        <v>29.068609785040088</v>
      </c>
      <c r="W56" s="833">
        <f t="shared" si="20"/>
        <v>31.078428887686776</v>
      </c>
      <c r="X56" s="960"/>
      <c r="AC56" s="1003"/>
      <c r="AD56" s="1003">
        <v>2021</v>
      </c>
      <c r="AE56" s="1003">
        <v>2022</v>
      </c>
      <c r="AF56" s="1003">
        <v>2023</v>
      </c>
      <c r="AG56" s="1003">
        <v>2024</v>
      </c>
      <c r="AH56" s="1003">
        <v>2025</v>
      </c>
      <c r="AI56" s="1003">
        <v>2026</v>
      </c>
      <c r="AJ56" s="1003">
        <v>2027</v>
      </c>
      <c r="AK56" s="1003">
        <v>2028</v>
      </c>
      <c r="AL56" s="1003">
        <v>2029</v>
      </c>
      <c r="AM56" s="1003">
        <v>2030</v>
      </c>
      <c r="BA56" s="312" t="s">
        <v>81</v>
      </c>
      <c r="BB56" s="312">
        <v>54.851911000000001</v>
      </c>
      <c r="BC56" s="312">
        <v>47.207588999999999</v>
      </c>
      <c r="BD56" s="312">
        <v>48.243903000000003</v>
      </c>
      <c r="BE56" s="312">
        <v>42.927726999999997</v>
      </c>
      <c r="BF56" s="312"/>
      <c r="BG56" s="312"/>
      <c r="BH56" s="312"/>
      <c r="BI56" s="312"/>
    </row>
    <row r="57" spans="1:61" s="173" customFormat="1" x14ac:dyDescent="0.25">
      <c r="A57" s="797"/>
      <c r="B57" s="229" t="s">
        <v>479</v>
      </c>
      <c r="J57" s="935">
        <f>J59+'Electricity Sector Emissions'!$AE$27</f>
        <v>142.33169192075729</v>
      </c>
      <c r="K57" s="935">
        <f>K59+'Electricity Sector Emissions'!$AE$27</f>
        <v>136.44378354391171</v>
      </c>
      <c r="L57" s="935">
        <f>L59+'Electricity Sector Emissions'!$AE$27</f>
        <v>130.55587516706612</v>
      </c>
      <c r="M57" s="936">
        <f>M59+M58</f>
        <v>124.66796679022053</v>
      </c>
      <c r="N57" s="926">
        <f>N59+N58</f>
        <v>121.08549271004843</v>
      </c>
      <c r="O57" s="926">
        <f t="shared" ref="O57:V57" si="21">O59+O58</f>
        <v>117.49309564330355</v>
      </c>
      <c r="P57" s="926">
        <f t="shared" si="21"/>
        <v>113.90069857655867</v>
      </c>
      <c r="Q57" s="926">
        <f t="shared" si="21"/>
        <v>110.30830150981379</v>
      </c>
      <c r="R57" s="926">
        <f t="shared" si="21"/>
        <v>106.71590444306891</v>
      </c>
      <c r="S57" s="926">
        <f t="shared" si="21"/>
        <v>103.12350737632403</v>
      </c>
      <c r="T57" s="926">
        <f t="shared" si="21"/>
        <v>99.531110309579148</v>
      </c>
      <c r="U57" s="926">
        <f t="shared" si="21"/>
        <v>95.938713242834268</v>
      </c>
      <c r="V57" s="926">
        <f t="shared" si="21"/>
        <v>92.346316176089388</v>
      </c>
      <c r="W57" s="997">
        <f>W59+W58</f>
        <v>88.75391910934448</v>
      </c>
      <c r="X57" s="965"/>
      <c r="AC57" s="1003" t="s">
        <v>492</v>
      </c>
      <c r="AD57" s="1004">
        <f>'Electricity Sector Emissions'!AI17</f>
        <v>4.2</v>
      </c>
      <c r="AE57" s="1004">
        <f>AD57*O59/N59</f>
        <v>4.0743252668827497</v>
      </c>
      <c r="AF57" s="1004">
        <f t="shared" ref="AF57:AM57" si="22">AE57*P59/O59</f>
        <v>3.9486505337654987</v>
      </c>
      <c r="AG57" s="1004">
        <f t="shared" si="22"/>
        <v>3.8229758006482477</v>
      </c>
      <c r="AH57" s="1004">
        <f t="shared" si="22"/>
        <v>3.6973010675309972</v>
      </c>
      <c r="AI57" s="1004">
        <f t="shared" si="22"/>
        <v>3.5716263344137467</v>
      </c>
      <c r="AJ57" s="1004">
        <f t="shared" si="22"/>
        <v>3.4459516012964961</v>
      </c>
      <c r="AK57" s="1004">
        <f t="shared" si="22"/>
        <v>3.3202768681792456</v>
      </c>
      <c r="AL57" s="1004">
        <f t="shared" si="22"/>
        <v>3.1946021350619946</v>
      </c>
      <c r="AM57" s="1004">
        <f t="shared" si="22"/>
        <v>3.0689274019447428</v>
      </c>
      <c r="BA57" s="312"/>
      <c r="BB57" s="312"/>
      <c r="BC57" s="312"/>
      <c r="BD57" s="312"/>
      <c r="BE57" s="312"/>
      <c r="BF57" s="312"/>
      <c r="BG57" s="312"/>
      <c r="BH57" s="312"/>
      <c r="BI57" s="312"/>
    </row>
    <row r="58" spans="1:61" s="173" customFormat="1" x14ac:dyDescent="0.25">
      <c r="A58" s="797"/>
      <c r="B58" s="996" t="s">
        <v>490</v>
      </c>
      <c r="J58" s="935">
        <f>'Electricity Sector Emissions'!$AE$27</f>
        <v>1.019077013427216</v>
      </c>
      <c r="K58" s="935">
        <f>'Electricity Sector Emissions'!$AE$27</f>
        <v>1.019077013427216</v>
      </c>
      <c r="L58" s="935">
        <f>'Electricity Sector Emissions'!$AE$27</f>
        <v>1.019077013427216</v>
      </c>
      <c r="M58" s="935">
        <f>'Electricity Sector Emissions'!$AE$27</f>
        <v>1.019077013427216</v>
      </c>
      <c r="N58" s="1007">
        <f>VLOOKUP($Z$58,$AC$57:$AM$59,2,FALSE)</f>
        <v>1.0289999999999999</v>
      </c>
      <c r="O58" s="1007">
        <f t="shared" ref="O58:W58" si="23">VLOOKUP($Z$58,$AC$57:$AM$59,2,FALSE)</f>
        <v>1.0289999999999999</v>
      </c>
      <c r="P58" s="1007">
        <f t="shared" si="23"/>
        <v>1.0289999999999999</v>
      </c>
      <c r="Q58" s="1007">
        <f t="shared" si="23"/>
        <v>1.0289999999999999</v>
      </c>
      <c r="R58" s="1007">
        <f t="shared" si="23"/>
        <v>1.0289999999999999</v>
      </c>
      <c r="S58" s="1007">
        <f t="shared" si="23"/>
        <v>1.0289999999999999</v>
      </c>
      <c r="T58" s="1007">
        <f t="shared" si="23"/>
        <v>1.0289999999999999</v>
      </c>
      <c r="U58" s="1007">
        <f t="shared" si="23"/>
        <v>1.0289999999999999</v>
      </c>
      <c r="V58" s="1007">
        <f t="shared" si="23"/>
        <v>1.0289999999999999</v>
      </c>
      <c r="W58" s="1007">
        <f t="shared" si="23"/>
        <v>1.0289999999999999</v>
      </c>
      <c r="X58" s="965"/>
      <c r="Y58" s="1006" t="s">
        <v>613</v>
      </c>
      <c r="Z58" s="1008" t="s">
        <v>681</v>
      </c>
      <c r="AC58" s="1003" t="s">
        <v>493</v>
      </c>
      <c r="AD58" s="1003">
        <f>'Electricity Sector Emissions'!AI17</f>
        <v>4.2</v>
      </c>
      <c r="AE58" s="1003">
        <f>AD58</f>
        <v>4.2</v>
      </c>
      <c r="AF58" s="1003">
        <f t="shared" ref="AF58:AM58" si="24">AE58</f>
        <v>4.2</v>
      </c>
      <c r="AG58" s="1003">
        <f t="shared" si="24"/>
        <v>4.2</v>
      </c>
      <c r="AH58" s="1003">
        <f t="shared" si="24"/>
        <v>4.2</v>
      </c>
      <c r="AI58" s="1003">
        <f t="shared" si="24"/>
        <v>4.2</v>
      </c>
      <c r="AJ58" s="1003">
        <f t="shared" si="24"/>
        <v>4.2</v>
      </c>
      <c r="AK58" s="1003">
        <f t="shared" si="24"/>
        <v>4.2</v>
      </c>
      <c r="AL58" s="1003">
        <f t="shared" si="24"/>
        <v>4.2</v>
      </c>
      <c r="AM58" s="1003">
        <f t="shared" si="24"/>
        <v>4.2</v>
      </c>
      <c r="BA58" s="312"/>
      <c r="BB58" s="312"/>
      <c r="BC58" s="312"/>
      <c r="BD58" s="312"/>
      <c r="BE58" s="312"/>
      <c r="BF58" s="312"/>
      <c r="BG58" s="312"/>
      <c r="BH58" s="312"/>
      <c r="BI58" s="312"/>
    </row>
    <row r="59" spans="1:61" x14ac:dyDescent="0.25">
      <c r="B59" s="157" t="s">
        <v>480</v>
      </c>
      <c r="J59" s="828">
        <f>J60+J63+J64</f>
        <v>141.31261490733007</v>
      </c>
      <c r="K59" s="828">
        <f>K60+K63+K64</f>
        <v>135.42470653048449</v>
      </c>
      <c r="L59" s="828">
        <f>L60+L63+L64</f>
        <v>129.5367981536389</v>
      </c>
      <c r="M59" s="933">
        <f>M60+M63+M64</f>
        <v>123.64888977679331</v>
      </c>
      <c r="N59" s="934">
        <f t="shared" ref="N59:V59" si="25">M59-($M59-$W59)/10</f>
        <v>120.05649271004843</v>
      </c>
      <c r="O59" s="934">
        <f t="shared" si="25"/>
        <v>116.46409564330355</v>
      </c>
      <c r="P59" s="934">
        <f t="shared" si="25"/>
        <v>112.87169857655867</v>
      </c>
      <c r="Q59" s="934">
        <f t="shared" si="25"/>
        <v>109.27930150981379</v>
      </c>
      <c r="R59" s="934">
        <f t="shared" si="25"/>
        <v>105.68690444306891</v>
      </c>
      <c r="S59" s="934">
        <f t="shared" si="25"/>
        <v>102.09450737632403</v>
      </c>
      <c r="T59" s="934">
        <f t="shared" si="25"/>
        <v>98.502110309579152</v>
      </c>
      <c r="U59" s="934">
        <f t="shared" si="25"/>
        <v>94.909713242834272</v>
      </c>
      <c r="V59" s="934">
        <f t="shared" si="25"/>
        <v>91.317316176089392</v>
      </c>
      <c r="W59" s="934">
        <f>W44-W50</f>
        <v>87.724919109344484</v>
      </c>
      <c r="X59" s="964"/>
      <c r="AB59" s="923"/>
      <c r="AC59" s="1003" t="s">
        <v>681</v>
      </c>
      <c r="AD59" s="1003">
        <f>'Electricity Sector Emissions'!$AI$8</f>
        <v>1.0289999999999999</v>
      </c>
      <c r="AE59" s="1003">
        <f>'Electricity Sector Emissions'!$AI$8</f>
        <v>1.0289999999999999</v>
      </c>
      <c r="AF59" s="1003">
        <f>'Electricity Sector Emissions'!$AI$8</f>
        <v>1.0289999999999999</v>
      </c>
      <c r="AG59" s="1003">
        <f>'Electricity Sector Emissions'!$AI$8</f>
        <v>1.0289999999999999</v>
      </c>
      <c r="AH59" s="1003">
        <f>'Electricity Sector Emissions'!$AI$8</f>
        <v>1.0289999999999999</v>
      </c>
      <c r="AI59" s="1003">
        <f>'Electricity Sector Emissions'!$AI$8</f>
        <v>1.0289999999999999</v>
      </c>
      <c r="AJ59" s="1003">
        <f>'Electricity Sector Emissions'!$AI$8</f>
        <v>1.0289999999999999</v>
      </c>
      <c r="AK59" s="1003">
        <f>'Electricity Sector Emissions'!$AI$8</f>
        <v>1.0289999999999999</v>
      </c>
      <c r="AL59" s="1003">
        <f>'Electricity Sector Emissions'!$AI$8</f>
        <v>1.0289999999999999</v>
      </c>
      <c r="AM59" s="1003">
        <f>'Electricity Sector Emissions'!$AI$8</f>
        <v>1.0289999999999999</v>
      </c>
      <c r="BA59" s="157" t="s">
        <v>82</v>
      </c>
    </row>
    <row r="60" spans="1:61" x14ac:dyDescent="0.25">
      <c r="B60" s="845" t="s">
        <v>96</v>
      </c>
      <c r="J60" s="828">
        <f>J61+J62</f>
        <v>29.502350481872782</v>
      </c>
      <c r="K60" s="828">
        <f>K61+K62</f>
        <v>28.720874520898647</v>
      </c>
      <c r="L60" s="828">
        <f>L61+L62</f>
        <v>27.939398559924513</v>
      </c>
      <c r="M60" s="828">
        <f>M61+M62</f>
        <v>27.157922598950378</v>
      </c>
      <c r="N60" s="831">
        <f>N61+N62</f>
        <v>28.410821631010826</v>
      </c>
      <c r="O60" s="831">
        <f t="shared" ref="O60:W60" si="26">O61+O62</f>
        <v>28.170115038776608</v>
      </c>
      <c r="P60" s="831">
        <f t="shared" si="26"/>
        <v>27.933927492740189</v>
      </c>
      <c r="Q60" s="831">
        <f t="shared" si="26"/>
        <v>27.702346436083737</v>
      </c>
      <c r="R60" s="831">
        <f t="shared" si="26"/>
        <v>27.492201831369098</v>
      </c>
      <c r="S60" s="831">
        <f t="shared" si="26"/>
        <v>26.998636790556681</v>
      </c>
      <c r="T60" s="831">
        <f t="shared" si="26"/>
        <v>26.55792809377316</v>
      </c>
      <c r="U60" s="831">
        <f t="shared" si="26"/>
        <v>26.103148497402017</v>
      </c>
      <c r="V60" s="831">
        <f t="shared" si="26"/>
        <v>25.651075152213899</v>
      </c>
      <c r="W60" s="831">
        <f t="shared" si="26"/>
        <v>25.201745439565656</v>
      </c>
      <c r="X60" s="847"/>
      <c r="BA60" s="312" t="s">
        <v>83</v>
      </c>
      <c r="BB60" s="312">
        <v>0.54015599999999997</v>
      </c>
      <c r="BC60" s="312">
        <v>0.55067600000000005</v>
      </c>
      <c r="BD60" s="312">
        <v>0.463028</v>
      </c>
      <c r="BE60" s="312">
        <v>0.51003299999999996</v>
      </c>
    </row>
    <row r="61" spans="1:61" s="173" customFormat="1" x14ac:dyDescent="0.25">
      <c r="A61" s="797"/>
      <c r="B61" s="791" t="s">
        <v>591</v>
      </c>
      <c r="J61" s="840">
        <f>J39*T76</f>
        <v>17.111363279486216</v>
      </c>
      <c r="K61" s="1246">
        <f>$J61-$J61*$N76</f>
        <v>16.329887318512082</v>
      </c>
      <c r="L61" s="1246">
        <f>$J61-$J61*$N76*2</f>
        <v>15.548411357537946</v>
      </c>
      <c r="M61" s="1246">
        <f>$J61-$J61*$N76*3</f>
        <v>14.766935396563809</v>
      </c>
      <c r="N61" s="849">
        <f>$M61-$M61*$P76</f>
        <v>14.290111052608765</v>
      </c>
      <c r="O61" s="849">
        <f>$M61-$M61*$P76*2</f>
        <v>13.813286708653719</v>
      </c>
      <c r="P61" s="849">
        <f>$M61-$M61*$P76*3</f>
        <v>13.336462364698674</v>
      </c>
      <c r="Q61" s="849">
        <f>$M61-$M61*$P76*4</f>
        <v>12.859638020743628</v>
      </c>
      <c r="R61" s="849">
        <f>$M61-$M61*$P76*5</f>
        <v>12.382813676788583</v>
      </c>
      <c r="S61" s="849">
        <f>$M61-$M61*$P76*6</f>
        <v>11.905989332833537</v>
      </c>
      <c r="T61" s="849">
        <f>$M61-$M61*$P76*7</f>
        <v>11.429164988878492</v>
      </c>
      <c r="U61" s="849">
        <f>$M61-$M61*$P76*8</f>
        <v>10.952340644923446</v>
      </c>
      <c r="V61" s="849">
        <f>$M61-$M61*$P76*9</f>
        <v>10.475516300968401</v>
      </c>
      <c r="W61" s="849">
        <f>$M61-$M61*$P76*10</f>
        <v>9.9986919570133566</v>
      </c>
      <c r="X61" s="1247"/>
      <c r="AC61" s="1005">
        <v>1</v>
      </c>
      <c r="AD61" s="1005">
        <v>2</v>
      </c>
      <c r="AE61" s="1005">
        <v>3</v>
      </c>
      <c r="AF61" s="1005">
        <v>4</v>
      </c>
      <c r="AG61" s="1005">
        <v>5</v>
      </c>
      <c r="AH61" s="1005">
        <v>6</v>
      </c>
      <c r="AI61" s="1005">
        <v>7</v>
      </c>
      <c r="AJ61" s="1005">
        <v>8</v>
      </c>
      <c r="AK61" s="1005">
        <v>9</v>
      </c>
      <c r="AL61" s="1005">
        <v>10</v>
      </c>
      <c r="AM61" s="1005">
        <v>11</v>
      </c>
      <c r="BA61" s="312"/>
      <c r="BB61" s="312"/>
      <c r="BC61" s="312"/>
      <c r="BD61" s="312"/>
      <c r="BE61" s="312"/>
      <c r="BF61" s="312"/>
      <c r="BG61" s="312"/>
      <c r="BH61" s="312"/>
      <c r="BI61" s="312"/>
    </row>
    <row r="62" spans="1:61" s="173" customFormat="1" x14ac:dyDescent="0.25">
      <c r="A62" s="797"/>
      <c r="B62" s="791" t="s">
        <v>592</v>
      </c>
      <c r="J62" s="840">
        <f>J39*T77</f>
        <v>12.390987202386567</v>
      </c>
      <c r="K62" s="840">
        <f>J62</f>
        <v>12.390987202386567</v>
      </c>
      <c r="L62" s="840">
        <f>K62</f>
        <v>12.390987202386567</v>
      </c>
      <c r="M62" s="840">
        <f>L62</f>
        <v>12.390987202386567</v>
      </c>
      <c r="N62" s="849">
        <v>14.120710578402061</v>
      </c>
      <c r="O62" s="849">
        <v>14.356828330122891</v>
      </c>
      <c r="P62" s="849">
        <v>14.597465128041513</v>
      </c>
      <c r="Q62" s="849">
        <v>14.842708415340109</v>
      </c>
      <c r="R62" s="849">
        <v>15.109388154580515</v>
      </c>
      <c r="S62" s="849">
        <v>15.092647457723142</v>
      </c>
      <c r="T62" s="849">
        <v>15.128763104894668</v>
      </c>
      <c r="U62" s="849">
        <v>15.150807852478572</v>
      </c>
      <c r="V62" s="849">
        <v>15.175558851245498</v>
      </c>
      <c r="W62" s="849">
        <v>15.203053482552299</v>
      </c>
      <c r="AC62" s="1003"/>
      <c r="AD62" s="1003">
        <v>2021</v>
      </c>
      <c r="AE62" s="1003">
        <v>2022</v>
      </c>
      <c r="AF62" s="1003">
        <v>2023</v>
      </c>
      <c r="AG62" s="1003">
        <v>2024</v>
      </c>
      <c r="AH62" s="1003">
        <v>2025</v>
      </c>
      <c r="AI62" s="1003">
        <v>2026</v>
      </c>
      <c r="AJ62" s="1003">
        <v>2027</v>
      </c>
      <c r="AK62" s="1003">
        <v>2028</v>
      </c>
      <c r="AL62" s="1003">
        <v>2029</v>
      </c>
      <c r="AM62" s="1003">
        <v>2030</v>
      </c>
      <c r="BA62" s="312"/>
      <c r="BB62" s="312"/>
      <c r="BC62" s="312"/>
      <c r="BD62" s="312"/>
      <c r="BE62" s="312"/>
      <c r="BF62" s="312"/>
      <c r="BG62" s="312"/>
      <c r="BH62" s="312"/>
      <c r="BI62" s="312"/>
    </row>
    <row r="63" spans="1:61" x14ac:dyDescent="0.25">
      <c r="B63" s="845" t="s">
        <v>2</v>
      </c>
      <c r="J63" s="828">
        <f>J40</f>
        <v>6.480922986572784</v>
      </c>
      <c r="K63" s="828">
        <f>$J63-$J63*$N78</f>
        <v>6.480922986572784</v>
      </c>
      <c r="L63" s="828">
        <f>$J63-$J63*$N78*2</f>
        <v>6.480922986572784</v>
      </c>
      <c r="M63" s="828">
        <f>$J63-$J63*$N78*3</f>
        <v>6.480922986572784</v>
      </c>
      <c r="N63" s="832">
        <f>VLOOKUP($Z$64,$AC$63:$AM$64,2,FALSE)</f>
        <v>3.8699999999999997</v>
      </c>
      <c r="O63" s="832">
        <f>VLOOKUP($Z$64,$AC$63:$AM$64,3,FALSE)</f>
        <v>3.8699999999999997</v>
      </c>
      <c r="P63" s="832">
        <f>VLOOKUP($Z$64,$AC$63:$AM$64,4,FALSE)</f>
        <v>3.8699999999999997</v>
      </c>
      <c r="Q63" s="832">
        <f>VLOOKUP($Z$64,$AC$63:$AM$64,5,FALSE)</f>
        <v>3.8699999999999997</v>
      </c>
      <c r="R63" s="832">
        <f>VLOOKUP($Z$64,$AC$63:$AM$64,6,FALSE)</f>
        <v>3.8699999999999997</v>
      </c>
      <c r="S63" s="832">
        <f>VLOOKUP($Z$64,$AC$63:$AM$64,7,FALSE)</f>
        <v>3.8699999999999997</v>
      </c>
      <c r="T63" s="832">
        <f>VLOOKUP($Z$64,$AC$63:$AM$64,8,FALSE)</f>
        <v>3.8699999999999997</v>
      </c>
      <c r="U63" s="832">
        <f>VLOOKUP($Z$64,$AC$63:$AM$64,9,FALSE)</f>
        <v>3.8699999999999997</v>
      </c>
      <c r="V63" s="832">
        <f>VLOOKUP($Z$64,$AC$63:$AM$64,10,FALSE)</f>
        <v>3.8699999999999997</v>
      </c>
      <c r="W63" s="832">
        <f>VLOOKUP($Z$64,$AC$63:$AM$64,11,FALSE)</f>
        <v>3.8699999999999997</v>
      </c>
      <c r="X63" s="958"/>
      <c r="AC63" s="1003" t="s">
        <v>276</v>
      </c>
      <c r="AD63" s="1004">
        <f>'Electricity Sector Emissions'!AI14</f>
        <v>3.6</v>
      </c>
      <c r="AE63" s="1004">
        <f>'Electricity Sector Emissions'!AJ14</f>
        <v>3.7</v>
      </c>
      <c r="AF63" s="1004">
        <f>'Electricity Sector Emissions'!AK14</f>
        <v>4.2</v>
      </c>
      <c r="AG63" s="1004">
        <f>'Electricity Sector Emissions'!AL14</f>
        <v>3.4</v>
      </c>
      <c r="AH63" s="1004">
        <f>'Electricity Sector Emissions'!AM14</f>
        <v>4.7</v>
      </c>
      <c r="AI63" s="1004">
        <f>'Electricity Sector Emissions'!AN14</f>
        <v>3.8</v>
      </c>
      <c r="AJ63" s="1004">
        <f>'Electricity Sector Emissions'!AO14</f>
        <v>3.9</v>
      </c>
      <c r="AK63" s="1004">
        <f>'Electricity Sector Emissions'!AP14</f>
        <v>3.7</v>
      </c>
      <c r="AL63" s="1004">
        <f>'Electricity Sector Emissions'!AQ14</f>
        <v>3.9</v>
      </c>
      <c r="AM63" s="1004">
        <f>'Electricity Sector Emissions'!AR14</f>
        <v>3.8</v>
      </c>
      <c r="BA63" s="312" t="s">
        <v>85</v>
      </c>
      <c r="BB63" s="312">
        <v>0.36312299999999997</v>
      </c>
      <c r="BC63" s="312">
        <v>0.47993200000000003</v>
      </c>
      <c r="BD63" s="312">
        <v>0.48398400000000003</v>
      </c>
      <c r="BE63" s="312">
        <v>0.49171700000000002</v>
      </c>
    </row>
    <row r="64" spans="1:61" x14ac:dyDescent="0.25">
      <c r="B64" s="845" t="s">
        <v>63</v>
      </c>
      <c r="J64" s="828">
        <f>SUM(J65:J66)</f>
        <v>105.32934143888451</v>
      </c>
      <c r="K64" s="933">
        <f>J64-($J64-$M64)/3</f>
        <v>100.22290902301306</v>
      </c>
      <c r="L64" s="933">
        <f>K64-($J64-$M64)/3</f>
        <v>95.116476607141607</v>
      </c>
      <c r="M64" s="933">
        <f>(M41+M42)-M54</f>
        <v>90.010044191270154</v>
      </c>
      <c r="N64" s="934">
        <f>M64-($M64-$W64)/10</f>
        <v>86.881357139121022</v>
      </c>
      <c r="O64" s="934">
        <f t="shared" ref="O64:V64" si="27">N64-($M64-$W64)/10</f>
        <v>83.752670086971889</v>
      </c>
      <c r="P64" s="934">
        <f t="shared" si="27"/>
        <v>80.623983034822757</v>
      </c>
      <c r="Q64" s="934">
        <f t="shared" si="27"/>
        <v>77.495295982673625</v>
      </c>
      <c r="R64" s="934">
        <f t="shared" si="27"/>
        <v>74.366608930524492</v>
      </c>
      <c r="S64" s="934">
        <f t="shared" si="27"/>
        <v>71.23792187837536</v>
      </c>
      <c r="T64" s="934">
        <f t="shared" si="27"/>
        <v>68.109234826226228</v>
      </c>
      <c r="U64" s="934">
        <f t="shared" si="27"/>
        <v>64.980547774077095</v>
      </c>
      <c r="V64" s="934">
        <f t="shared" si="27"/>
        <v>61.851860721927963</v>
      </c>
      <c r="W64" s="934">
        <f>(W41+W42)-W54</f>
        <v>58.723173669778816</v>
      </c>
      <c r="X64" s="964"/>
      <c r="Y64" s="1006" t="s">
        <v>614</v>
      </c>
      <c r="Z64" s="1008" t="s">
        <v>493</v>
      </c>
      <c r="AC64" s="1003" t="s">
        <v>493</v>
      </c>
      <c r="AD64" s="1003">
        <f>'Electricity Sector Emissions'!$AI$16</f>
        <v>3.8699999999999997</v>
      </c>
      <c r="AE64" s="1003">
        <f>'Electricity Sector Emissions'!$AI$16</f>
        <v>3.8699999999999997</v>
      </c>
      <c r="AF64" s="1003">
        <f>'Electricity Sector Emissions'!$AI$16</f>
        <v>3.8699999999999997</v>
      </c>
      <c r="AG64" s="1003">
        <f>'Electricity Sector Emissions'!$AI$16</f>
        <v>3.8699999999999997</v>
      </c>
      <c r="AH64" s="1003">
        <f>'Electricity Sector Emissions'!$AI$16</f>
        <v>3.8699999999999997</v>
      </c>
      <c r="AI64" s="1003">
        <f>'Electricity Sector Emissions'!$AI$16</f>
        <v>3.8699999999999997</v>
      </c>
      <c r="AJ64" s="1003">
        <f>'Electricity Sector Emissions'!$AI$16</f>
        <v>3.8699999999999997</v>
      </c>
      <c r="AK64" s="1003">
        <f>'Electricity Sector Emissions'!$AI$16</f>
        <v>3.8699999999999997</v>
      </c>
      <c r="AL64" s="1003">
        <f>'Electricity Sector Emissions'!$AI$16</f>
        <v>3.8699999999999997</v>
      </c>
      <c r="AM64" s="1003">
        <f>'Electricity Sector Emissions'!$AI$16</f>
        <v>3.8699999999999997</v>
      </c>
      <c r="BA64" s="312" t="s">
        <v>86</v>
      </c>
      <c r="BB64" s="312">
        <v>0.29633300000000001</v>
      </c>
      <c r="BC64" s="312">
        <v>0.29138399999999998</v>
      </c>
      <c r="BD64" s="312">
        <v>0.26049299999999997</v>
      </c>
      <c r="BE64" s="312">
        <v>0.25771500000000003</v>
      </c>
    </row>
    <row r="65" spans="1:61" s="173" customFormat="1" x14ac:dyDescent="0.25">
      <c r="A65" s="797"/>
      <c r="B65" s="791" t="s">
        <v>66</v>
      </c>
      <c r="J65" s="840">
        <f>J41</f>
        <v>61.463691711425781</v>
      </c>
      <c r="K65" s="840">
        <f>$J65-$J65*$P$88*1</f>
        <v>58.483893457047955</v>
      </c>
      <c r="L65" s="840">
        <f>$J65-$J65*$P$88*2</f>
        <v>55.504095202670129</v>
      </c>
      <c r="M65" s="840">
        <f>$J65-$J65*$P$88*3</f>
        <v>52.524296948292303</v>
      </c>
      <c r="N65" s="849">
        <f>$M65-$M65*$R$88*1</f>
        <v>50.698588614718389</v>
      </c>
      <c r="O65" s="849">
        <f>$M65-$M65*$R$88*2</f>
        <v>48.872880281144468</v>
      </c>
      <c r="P65" s="849">
        <f>$M65-$M65*$R$88*3</f>
        <v>47.047171947570554</v>
      </c>
      <c r="Q65" s="849">
        <f>$M65-$M65*$R$88*4</f>
        <v>45.22146361399664</v>
      </c>
      <c r="R65" s="849">
        <f>$M65-$M65*$R$88*5</f>
        <v>43.395755280422719</v>
      </c>
      <c r="S65" s="849">
        <f>$M65-$M65*$R$88*6</f>
        <v>41.570046946848805</v>
      </c>
      <c r="T65" s="849">
        <f>$M65-$M65*$R$88*7</f>
        <v>39.744338613274891</v>
      </c>
      <c r="U65" s="849">
        <f>$M65-$M65*$R$88*8</f>
        <v>37.91863027970097</v>
      </c>
      <c r="V65" s="849">
        <f>$M65-$M65*$R$88*9</f>
        <v>36.092921946127056</v>
      </c>
      <c r="W65" s="849">
        <f>$M65-$M65*$R$88*10</f>
        <v>34.267213612553135</v>
      </c>
      <c r="X65" s="966"/>
      <c r="BA65" s="312" t="s">
        <v>87</v>
      </c>
      <c r="BB65" s="312">
        <v>0.28870200000000001</v>
      </c>
      <c r="BC65" s="312">
        <v>0.304591</v>
      </c>
      <c r="BD65" s="312">
        <v>0.32132899999999998</v>
      </c>
      <c r="BE65" s="312">
        <v>0.323932</v>
      </c>
      <c r="BF65" s="312"/>
      <c r="BG65" s="312"/>
      <c r="BH65" s="312"/>
      <c r="BI65" s="312"/>
    </row>
    <row r="66" spans="1:61" s="173" customFormat="1" x14ac:dyDescent="0.25">
      <c r="A66" s="797"/>
      <c r="B66" s="791" t="s">
        <v>67</v>
      </c>
      <c r="J66" s="840">
        <f>J42</f>
        <v>43.865649727458731</v>
      </c>
      <c r="K66" s="840">
        <f>$J66-$J66*$P$88*1</f>
        <v>41.739015565965104</v>
      </c>
      <c r="L66" s="840">
        <f>$J66-$J66*$P$88*2</f>
        <v>39.612381404471478</v>
      </c>
      <c r="M66" s="840">
        <f>$J66-$J66*$P$88*3</f>
        <v>37.485747242977851</v>
      </c>
      <c r="N66" s="849">
        <f>$M66-$M66*$R$88*1</f>
        <v>36.182768524402633</v>
      </c>
      <c r="O66" s="849">
        <f>$M66-$M66*$R$88*2</f>
        <v>34.879789805827414</v>
      </c>
      <c r="P66" s="849">
        <f>$M66-$M66*$R$88*3</f>
        <v>33.576811087252196</v>
      </c>
      <c r="Q66" s="849">
        <f>$M66-$M66*$R$88*4</f>
        <v>32.273832368676977</v>
      </c>
      <c r="R66" s="849">
        <f>$M66-$M66*$R$88*5</f>
        <v>30.970853650101763</v>
      </c>
      <c r="S66" s="849">
        <f>$M66-$M66*$R$88*6</f>
        <v>29.667874931526544</v>
      </c>
      <c r="T66" s="849">
        <f>$M66-$M66*$R$88*7</f>
        <v>28.364896212951329</v>
      </c>
      <c r="U66" s="849">
        <f>$M66-$M66*$R$88*8</f>
        <v>27.061917494376111</v>
      </c>
      <c r="V66" s="849">
        <f>$M66-$M66*$R$88*9</f>
        <v>25.758938775800893</v>
      </c>
      <c r="W66" s="849">
        <f>$M66-$M66*$R$88*10</f>
        <v>24.455960057225674</v>
      </c>
      <c r="X66" s="966"/>
      <c r="BA66" s="312" t="s">
        <v>88</v>
      </c>
      <c r="BB66" s="312">
        <v>0.20796100000000001</v>
      </c>
      <c r="BC66" s="312">
        <v>0.14618500000000001</v>
      </c>
      <c r="BD66" s="312">
        <v>0.18004899999999999</v>
      </c>
      <c r="BE66" s="312">
        <v>0.18599299999999999</v>
      </c>
      <c r="BF66" s="312"/>
      <c r="BG66" s="312"/>
      <c r="BH66" s="312"/>
      <c r="BI66" s="312"/>
    </row>
    <row r="67" spans="1:61" x14ac:dyDescent="0.25">
      <c r="B67" s="852" t="s">
        <v>179</v>
      </c>
      <c r="J67" s="850">
        <f>J63+J64</f>
        <v>111.81026442545729</v>
      </c>
      <c r="K67" s="850">
        <f t="shared" ref="K67:W67" si="28">K63+K64</f>
        <v>106.70383200958584</v>
      </c>
      <c r="L67" s="850">
        <f t="shared" si="28"/>
        <v>101.59739959371439</v>
      </c>
      <c r="M67" s="850">
        <f t="shared" si="28"/>
        <v>96.490967177842933</v>
      </c>
      <c r="N67" s="851">
        <f t="shared" si="28"/>
        <v>90.751357139121026</v>
      </c>
      <c r="O67" s="851">
        <f t="shared" si="28"/>
        <v>87.622670086971894</v>
      </c>
      <c r="P67" s="851">
        <f t="shared" si="28"/>
        <v>84.493983034822762</v>
      </c>
      <c r="Q67" s="851">
        <f t="shared" si="28"/>
        <v>81.365295982673629</v>
      </c>
      <c r="R67" s="851">
        <f t="shared" si="28"/>
        <v>78.236608930524497</v>
      </c>
      <c r="S67" s="851">
        <f t="shared" si="28"/>
        <v>75.107921878375365</v>
      </c>
      <c r="T67" s="851">
        <f t="shared" si="28"/>
        <v>71.979234826226232</v>
      </c>
      <c r="U67" s="851">
        <f t="shared" si="28"/>
        <v>68.8505477740771</v>
      </c>
      <c r="V67" s="851">
        <f t="shared" si="28"/>
        <v>65.721860721927968</v>
      </c>
      <c r="W67" s="851">
        <f t="shared" si="28"/>
        <v>62.593173669778814</v>
      </c>
      <c r="X67" s="967"/>
      <c r="BA67" s="312" t="s">
        <v>89</v>
      </c>
      <c r="BB67" s="312">
        <v>0.13961899999999999</v>
      </c>
      <c r="BC67" s="312">
        <v>0.13515199999999999</v>
      </c>
      <c r="BD67" s="312">
        <v>0.145704</v>
      </c>
      <c r="BE67" s="312">
        <v>0.135209</v>
      </c>
    </row>
    <row r="68" spans="1:61" x14ac:dyDescent="0.25">
      <c r="B68" s="852" t="s">
        <v>428</v>
      </c>
      <c r="J68" s="850">
        <f>J64+J63+J61</f>
        <v>128.92162770494352</v>
      </c>
      <c r="K68" s="850">
        <f>K64+K63+K61</f>
        <v>123.03371932809792</v>
      </c>
      <c r="L68" s="850">
        <f>L64+L63+L61</f>
        <v>117.14581095125233</v>
      </c>
      <c r="M68" s="850">
        <f>M64+M63+M61</f>
        <v>111.25790257440674</v>
      </c>
      <c r="N68" s="851">
        <f>N64+N63+N61</f>
        <v>105.04146819172979</v>
      </c>
      <c r="O68" s="851">
        <f t="shared" ref="O68:W68" si="29">O64+O63+O61</f>
        <v>101.43595679562561</v>
      </c>
      <c r="P68" s="851">
        <f t="shared" si="29"/>
        <v>97.830445399521437</v>
      </c>
      <c r="Q68" s="851">
        <f t="shared" si="29"/>
        <v>94.22493400341726</v>
      </c>
      <c r="R68" s="851">
        <f t="shared" si="29"/>
        <v>90.619422607313084</v>
      </c>
      <c r="S68" s="851">
        <f t="shared" si="29"/>
        <v>87.013911211208907</v>
      </c>
      <c r="T68" s="851">
        <f t="shared" si="29"/>
        <v>83.40839981510473</v>
      </c>
      <c r="U68" s="851">
        <f t="shared" si="29"/>
        <v>79.802888419000539</v>
      </c>
      <c r="V68" s="851">
        <f t="shared" si="29"/>
        <v>76.197377022896376</v>
      </c>
      <c r="W68" s="851">
        <f t="shared" si="29"/>
        <v>72.59186562679217</v>
      </c>
      <c r="X68" s="967"/>
      <c r="BA68" s="312" t="s">
        <v>90</v>
      </c>
      <c r="BB68" s="312">
        <v>0.101923</v>
      </c>
      <c r="BC68" s="312">
        <v>0.137846</v>
      </c>
      <c r="BD68" s="312">
        <v>0.142485</v>
      </c>
      <c r="BE68" s="312">
        <v>0.155691</v>
      </c>
    </row>
    <row r="69" spans="1:61" s="785" customFormat="1" x14ac:dyDescent="0.25">
      <c r="J69" s="1631" t="s">
        <v>467</v>
      </c>
      <c r="K69" s="1631"/>
      <c r="L69" s="1631"/>
      <c r="M69" s="1631"/>
      <c r="N69" s="1624" t="s">
        <v>468</v>
      </c>
      <c r="O69" s="1624"/>
      <c r="P69" s="1624"/>
      <c r="Q69" s="1624"/>
      <c r="R69" s="1624"/>
      <c r="S69" s="1624"/>
      <c r="T69" s="1624"/>
      <c r="U69" s="1624"/>
      <c r="V69" s="1624"/>
      <c r="W69" s="1624"/>
      <c r="X69" s="946"/>
      <c r="Y69" s="767"/>
      <c r="Z69" s="767"/>
      <c r="BA69" s="312"/>
      <c r="BB69" s="312"/>
      <c r="BC69" s="312"/>
      <c r="BD69" s="312"/>
      <c r="BE69" s="312"/>
      <c r="BF69" s="312"/>
      <c r="BG69" s="312"/>
      <c r="BH69" s="312"/>
      <c r="BI69" s="312"/>
    </row>
    <row r="70" spans="1:61" s="785" customFormat="1" x14ac:dyDescent="0.25">
      <c r="J70" s="1631" t="s">
        <v>594</v>
      </c>
      <c r="K70" s="1631"/>
      <c r="L70" s="1631"/>
      <c r="M70" s="1631"/>
      <c r="N70" s="1624" t="s">
        <v>593</v>
      </c>
      <c r="O70" s="1624"/>
      <c r="P70" s="1624"/>
      <c r="Q70" s="1624"/>
      <c r="R70" s="1624"/>
      <c r="S70" s="1624"/>
      <c r="T70" s="1624"/>
      <c r="U70" s="1624"/>
      <c r="V70" s="1624"/>
      <c r="W70" s="1624"/>
      <c r="X70" s="946"/>
      <c r="Y70" s="767"/>
      <c r="Z70" s="767"/>
      <c r="BA70" s="157" t="s">
        <v>91</v>
      </c>
      <c r="BB70" s="312"/>
      <c r="BC70" s="312"/>
      <c r="BD70" s="312"/>
      <c r="BE70" s="312"/>
      <c r="BF70" s="312"/>
      <c r="BG70" s="312"/>
      <c r="BH70" s="312"/>
      <c r="BI70" s="312"/>
    </row>
    <row r="71" spans="1:61" x14ac:dyDescent="0.25">
      <c r="B71" s="1156" t="s">
        <v>112</v>
      </c>
      <c r="C71" s="765"/>
      <c r="D71" s="765"/>
      <c r="E71" s="765"/>
      <c r="F71" s="765"/>
      <c r="G71" s="765"/>
      <c r="H71" s="765"/>
      <c r="I71" s="765"/>
      <c r="J71" s="844">
        <v>12.230901558896287</v>
      </c>
      <c r="K71" s="844">
        <v>13.034013518870387</v>
      </c>
      <c r="L71" s="844">
        <v>13.45429782049424</v>
      </c>
      <c r="M71" s="844">
        <v>13.889026213928405</v>
      </c>
      <c r="N71" s="844"/>
      <c r="O71" s="844"/>
      <c r="P71" s="765"/>
      <c r="Y71" s="793"/>
      <c r="Z71" s="793"/>
      <c r="BA71" s="312" t="s">
        <v>92</v>
      </c>
      <c r="BB71" s="312">
        <v>30.604073000000007</v>
      </c>
      <c r="BC71" s="312">
        <v>30.742030999999997</v>
      </c>
      <c r="BD71" s="312">
        <v>31.306160999999999</v>
      </c>
      <c r="BE71" s="312">
        <v>29.095790999999998</v>
      </c>
    </row>
    <row r="72" spans="1:61" ht="15.75" thickBot="1" x14ac:dyDescent="0.3">
      <c r="B72" s="765"/>
      <c r="C72" s="765"/>
      <c r="D72" s="765"/>
      <c r="E72" s="765"/>
      <c r="F72" s="765"/>
      <c r="G72" s="765"/>
      <c r="H72" s="765"/>
      <c r="I72" s="765"/>
      <c r="J72" s="794"/>
      <c r="K72" s="765"/>
      <c r="L72" s="765"/>
      <c r="M72" s="765"/>
      <c r="N72" s="844"/>
      <c r="O72" s="844"/>
      <c r="P72" s="844"/>
      <c r="Q72" s="844"/>
      <c r="R72" s="844"/>
      <c r="S72" s="844"/>
      <c r="T72" s="844"/>
      <c r="U72" s="844"/>
      <c r="V72" s="844"/>
      <c r="W72" s="844"/>
      <c r="BA72" s="312" t="s">
        <v>93</v>
      </c>
      <c r="BB72" s="312">
        <v>23.471340999999999</v>
      </c>
      <c r="BC72" s="312">
        <v>15.654388000000001</v>
      </c>
      <c r="BD72" s="312">
        <v>16.177610999999999</v>
      </c>
      <c r="BE72" s="312">
        <v>13.049913</v>
      </c>
    </row>
    <row r="73" spans="1:61" x14ac:dyDescent="0.25">
      <c r="B73" s="765"/>
      <c r="C73" s="765"/>
      <c r="D73" s="765"/>
      <c r="E73" s="765"/>
      <c r="F73" s="765"/>
      <c r="G73" s="765"/>
      <c r="H73" s="765"/>
      <c r="I73" s="765"/>
      <c r="J73" s="912"/>
      <c r="K73" s="792"/>
      <c r="L73" s="792"/>
      <c r="M73" s="792"/>
      <c r="N73" s="913" t="s">
        <v>478</v>
      </c>
      <c r="O73" s="914"/>
      <c r="P73" s="913" t="s">
        <v>477</v>
      </c>
      <c r="Q73" s="858"/>
      <c r="R73" s="792"/>
      <c r="S73" s="792"/>
      <c r="T73" s="792"/>
      <c r="U73" s="792"/>
      <c r="V73" s="792"/>
      <c r="W73" s="857"/>
      <c r="X73" s="856"/>
    </row>
    <row r="74" spans="1:61" x14ac:dyDescent="0.25">
      <c r="B74" s="765"/>
      <c r="C74" s="765"/>
      <c r="D74" s="765"/>
      <c r="J74" s="884"/>
      <c r="K74" s="885"/>
      <c r="L74" s="860" t="s">
        <v>55</v>
      </c>
      <c r="M74" s="860"/>
      <c r="N74" s="915">
        <v>2017</v>
      </c>
      <c r="O74" s="865"/>
      <c r="P74" s="915">
        <v>2020</v>
      </c>
      <c r="Q74" s="888"/>
      <c r="R74" s="885"/>
      <c r="S74" s="888"/>
      <c r="T74" s="888"/>
      <c r="U74" s="888"/>
      <c r="V74" s="885"/>
      <c r="W74" s="887"/>
      <c r="X74" s="892"/>
      <c r="Z74" s="765"/>
      <c r="BA74" s="312" t="s">
        <v>94</v>
      </c>
      <c r="BB74" s="312">
        <v>0.37824099999999999</v>
      </c>
      <c r="BC74" s="312">
        <v>0.38194</v>
      </c>
      <c r="BD74" s="312">
        <v>0.357153</v>
      </c>
      <c r="BE74" s="312">
        <v>0.36861699999999997</v>
      </c>
    </row>
    <row r="75" spans="1:61" x14ac:dyDescent="0.25">
      <c r="B75" s="765"/>
      <c r="C75" s="765"/>
      <c r="D75" s="765"/>
      <c r="J75" s="884"/>
      <c r="K75" s="885"/>
      <c r="L75" s="860" t="s">
        <v>56</v>
      </c>
      <c r="M75" s="860"/>
      <c r="N75" s="916" t="s">
        <v>116</v>
      </c>
      <c r="O75" s="917"/>
      <c r="P75" s="916" t="s">
        <v>473</v>
      </c>
      <c r="Q75" s="888"/>
      <c r="R75" s="885"/>
      <c r="S75" s="865"/>
      <c r="T75" s="1044">
        <v>2017</v>
      </c>
      <c r="U75" s="863"/>
      <c r="V75" s="885"/>
      <c r="W75" s="887"/>
      <c r="X75" s="892"/>
      <c r="Z75" s="765"/>
    </row>
    <row r="76" spans="1:61" x14ac:dyDescent="0.25">
      <c r="B76" s="765"/>
      <c r="C76" s="765"/>
      <c r="D76" s="765"/>
      <c r="J76" s="884"/>
      <c r="K76" s="885"/>
      <c r="L76" s="920"/>
      <c r="M76" s="921" t="s">
        <v>36</v>
      </c>
      <c r="N76" s="861">
        <v>4.5670000000000002E-2</v>
      </c>
      <c r="O76" s="862" t="s">
        <v>57</v>
      </c>
      <c r="P76" s="861">
        <v>3.2289999999999999E-2</v>
      </c>
      <c r="Q76" s="886"/>
      <c r="R76" s="885"/>
      <c r="S76" s="863" t="s">
        <v>58</v>
      </c>
      <c r="T76" s="893">
        <f>1-T77</f>
        <v>0.58000000000000007</v>
      </c>
      <c r="U76" s="885"/>
      <c r="V76" s="885"/>
      <c r="W76" s="887"/>
      <c r="X76" s="892"/>
      <c r="Z76" s="765"/>
      <c r="BA76" s="312" t="s">
        <v>90</v>
      </c>
      <c r="BB76" s="312">
        <v>0.101923</v>
      </c>
      <c r="BC76" s="312">
        <v>0.137846</v>
      </c>
      <c r="BD76" s="312">
        <v>0.142485</v>
      </c>
      <c r="BE76" s="312">
        <v>0.155691</v>
      </c>
    </row>
    <row r="77" spans="1:61" x14ac:dyDescent="0.25">
      <c r="B77" s="765"/>
      <c r="C77" s="765"/>
      <c r="D77" s="765"/>
      <c r="J77" s="884"/>
      <c r="K77" s="885"/>
      <c r="L77" s="922"/>
      <c r="M77" s="860"/>
      <c r="N77" s="864">
        <v>0</v>
      </c>
      <c r="O77" s="865" t="s">
        <v>59</v>
      </c>
      <c r="P77" s="864">
        <v>0</v>
      </c>
      <c r="Q77" s="886"/>
      <c r="R77" s="885"/>
      <c r="S77" s="863" t="s">
        <v>59</v>
      </c>
      <c r="T77" s="893">
        <v>0.42</v>
      </c>
      <c r="U77" s="885"/>
      <c r="V77" s="885"/>
      <c r="W77" s="887"/>
      <c r="X77" s="892"/>
      <c r="Z77" s="765"/>
      <c r="BA77" s="312" t="s">
        <v>86</v>
      </c>
      <c r="BB77" s="312">
        <v>0.29633300000000001</v>
      </c>
      <c r="BC77" s="312">
        <v>0.29138399999999998</v>
      </c>
      <c r="BD77" s="312">
        <v>0.26049299999999997</v>
      </c>
      <c r="BE77" s="312">
        <v>0.25771500000000003</v>
      </c>
    </row>
    <row r="78" spans="1:61" x14ac:dyDescent="0.25">
      <c r="B78" s="765"/>
      <c r="C78" s="765"/>
      <c r="D78" s="765"/>
      <c r="J78" s="884"/>
      <c r="K78" s="885"/>
      <c r="L78" s="920"/>
      <c r="M78" s="860" t="s">
        <v>60</v>
      </c>
      <c r="N78" s="918">
        <v>0</v>
      </c>
      <c r="O78" s="865" t="s">
        <v>61</v>
      </c>
      <c r="P78" s="918">
        <v>0</v>
      </c>
      <c r="Q78" s="886"/>
      <c r="R78" s="888"/>
      <c r="S78" s="888"/>
      <c r="T78" s="888"/>
      <c r="U78" s="885"/>
      <c r="V78" s="885"/>
      <c r="W78" s="887"/>
      <c r="X78" s="892"/>
      <c r="Z78" s="765"/>
      <c r="BA78" s="312" t="s">
        <v>81</v>
      </c>
      <c r="BB78" s="312">
        <v>54.851911000000008</v>
      </c>
      <c r="BC78" s="312">
        <v>47.207588999999999</v>
      </c>
      <c r="BD78" s="312">
        <v>48.243902999999996</v>
      </c>
      <c r="BE78" s="312">
        <v>42.92772699999999</v>
      </c>
    </row>
    <row r="79" spans="1:61" x14ac:dyDescent="0.25">
      <c r="B79" s="765"/>
      <c r="C79" s="765"/>
      <c r="D79" s="765"/>
      <c r="J79" s="884"/>
      <c r="K79" s="885"/>
      <c r="L79" s="920"/>
      <c r="M79" s="860" t="s">
        <v>63</v>
      </c>
      <c r="N79" s="919">
        <f>P88</f>
        <v>4.8480626064052346E-2</v>
      </c>
      <c r="O79" s="865" t="s">
        <v>64</v>
      </c>
      <c r="P79" s="919">
        <f>R88</f>
        <v>3.4759310255427889E-2</v>
      </c>
      <c r="Q79" s="886"/>
      <c r="R79" s="888"/>
      <c r="S79" s="888"/>
      <c r="T79" s="888"/>
      <c r="U79" s="885"/>
      <c r="V79" s="885"/>
      <c r="W79" s="887"/>
      <c r="X79" s="892"/>
      <c r="Z79" s="765"/>
      <c r="BA79" s="158" t="s">
        <v>95</v>
      </c>
      <c r="BB79" s="796">
        <f>SUM(BB71,BB74,BB76,BB77)</f>
        <v>31.380570000000006</v>
      </c>
      <c r="BC79" s="796">
        <f>SUM(BC71,BC74,BC76,BC77)</f>
        <v>31.553200999999998</v>
      </c>
      <c r="BD79" s="796">
        <f>SUM(BD71,BD74,BD76,BD77)</f>
        <v>32.066291999999997</v>
      </c>
      <c r="BE79" s="796">
        <f>SUM(BE71,BE74,BE76,BE77)</f>
        <v>29.877814000000001</v>
      </c>
    </row>
    <row r="80" spans="1:61" x14ac:dyDescent="0.25">
      <c r="B80" s="765"/>
      <c r="C80" s="765"/>
      <c r="D80" s="765"/>
      <c r="J80" s="884"/>
      <c r="K80" s="885"/>
      <c r="L80" s="922"/>
      <c r="M80" s="860" t="s">
        <v>475</v>
      </c>
      <c r="N80" s="866">
        <f>P85</f>
        <v>4.1665836986363579E-2</v>
      </c>
      <c r="O80" s="865" t="s">
        <v>64</v>
      </c>
      <c r="P80" s="866">
        <f>R85</f>
        <v>2.9053209238107624E-2</v>
      </c>
      <c r="Q80" s="886"/>
      <c r="R80" s="888"/>
      <c r="S80" s="888"/>
      <c r="T80" s="888"/>
      <c r="U80" s="885"/>
      <c r="V80" s="885"/>
      <c r="W80" s="887"/>
      <c r="X80" s="892"/>
      <c r="Z80" s="1217"/>
      <c r="AA80" s="1216"/>
    </row>
    <row r="81" spans="1:72" ht="18" x14ac:dyDescent="0.35">
      <c r="B81" s="765"/>
      <c r="C81" s="765"/>
      <c r="D81" s="765"/>
      <c r="J81" s="884"/>
      <c r="K81" s="885"/>
      <c r="L81" s="920"/>
      <c r="M81" s="859"/>
      <c r="N81" s="885"/>
      <c r="O81" s="885"/>
      <c r="P81" s="885"/>
      <c r="Q81" s="885"/>
      <c r="R81" s="885"/>
      <c r="S81" s="885"/>
      <c r="T81" s="885"/>
      <c r="U81" s="885"/>
      <c r="V81" s="885"/>
      <c r="W81" s="887"/>
      <c r="X81" s="892"/>
      <c r="Z81" s="970" t="s">
        <v>471</v>
      </c>
      <c r="AA81" s="970" t="s">
        <v>472</v>
      </c>
      <c r="AC81" s="970" t="s">
        <v>474</v>
      </c>
    </row>
    <row r="82" spans="1:72" x14ac:dyDescent="0.25">
      <c r="B82" s="765"/>
      <c r="C82" s="765"/>
      <c r="D82" s="765"/>
      <c r="J82" s="884"/>
      <c r="K82" s="885"/>
      <c r="L82" s="892"/>
      <c r="M82" s="885"/>
      <c r="N82" s="885"/>
      <c r="O82" s="1623" t="s">
        <v>116</v>
      </c>
      <c r="P82" s="1623"/>
      <c r="Q82" s="1622" t="s">
        <v>473</v>
      </c>
      <c r="R82" s="1622"/>
      <c r="S82" s="885"/>
      <c r="T82" s="885"/>
      <c r="U82" s="885"/>
      <c r="V82" s="885"/>
      <c r="W82" s="887"/>
      <c r="X82" s="892"/>
      <c r="Z82" s="971">
        <v>0</v>
      </c>
      <c r="AA82" s="993">
        <v>3.2289999999999999E-2</v>
      </c>
      <c r="AC82" s="1001">
        <f>R85</f>
        <v>2.9053209238107624E-2</v>
      </c>
    </row>
    <row r="83" spans="1:72" x14ac:dyDescent="0.25">
      <c r="B83" s="853"/>
      <c r="C83" s="765"/>
      <c r="D83" s="765"/>
      <c r="J83" s="884"/>
      <c r="K83" s="859"/>
      <c r="L83" s="859"/>
      <c r="M83" s="859"/>
      <c r="N83" s="867" t="s">
        <v>112</v>
      </c>
      <c r="O83" s="868" t="s">
        <v>114</v>
      </c>
      <c r="P83" s="869" t="s">
        <v>115</v>
      </c>
      <c r="Q83" s="868" t="s">
        <v>114</v>
      </c>
      <c r="R83" s="869" t="s">
        <v>115</v>
      </c>
      <c r="S83" s="885"/>
      <c r="T83" s="885"/>
      <c r="U83" s="885"/>
      <c r="V83" s="885"/>
      <c r="W83" s="887"/>
      <c r="X83" s="892"/>
      <c r="Z83" s="971">
        <v>0.01</v>
      </c>
      <c r="AA83" s="993">
        <v>3.1220000000000001E-2</v>
      </c>
    </row>
    <row r="84" spans="1:72" x14ac:dyDescent="0.25">
      <c r="B84" s="854"/>
      <c r="C84" s="765"/>
      <c r="D84" s="765"/>
      <c r="J84" s="884"/>
      <c r="K84" s="859"/>
      <c r="L84" s="859"/>
      <c r="M84" s="859"/>
      <c r="N84" s="867" t="s">
        <v>611</v>
      </c>
      <c r="O84" s="870">
        <f>1-M57/J57</f>
        <v>0.12410254450126945</v>
      </c>
      <c r="P84" s="871">
        <f t="shared" ref="P84:P90" si="30">O84/3</f>
        <v>4.1367514833756482E-2</v>
      </c>
      <c r="Q84" s="870">
        <f>1-W57/M57</f>
        <v>0.28807759206748607</v>
      </c>
      <c r="R84" s="872">
        <f t="shared" ref="R84:R90" si="31">Q84/10</f>
        <v>2.8807759206748607E-2</v>
      </c>
      <c r="S84" s="885"/>
      <c r="T84" s="885"/>
      <c r="U84" s="885"/>
      <c r="V84" s="885"/>
      <c r="W84" s="887"/>
      <c r="X84" s="892"/>
      <c r="Z84" s="765"/>
    </row>
    <row r="85" spans="1:72" x14ac:dyDescent="0.25">
      <c r="B85" s="854"/>
      <c r="C85" s="765"/>
      <c r="D85" s="765"/>
      <c r="J85" s="884"/>
      <c r="K85" s="859"/>
      <c r="L85" s="859"/>
      <c r="M85" s="859"/>
      <c r="N85" s="867" t="s">
        <v>612</v>
      </c>
      <c r="O85" s="870">
        <f>1-M59/J59</f>
        <v>0.12499751095909073</v>
      </c>
      <c r="P85" s="871">
        <f t="shared" si="30"/>
        <v>4.1665836986363579E-2</v>
      </c>
      <c r="Q85" s="870">
        <f>1-W59/M59</f>
        <v>0.29053209238107625</v>
      </c>
      <c r="R85" s="872">
        <f t="shared" si="31"/>
        <v>2.9053209238107624E-2</v>
      </c>
      <c r="S85" s="885"/>
      <c r="T85" s="885"/>
      <c r="U85" s="885"/>
      <c r="V85" s="885"/>
      <c r="W85" s="887"/>
      <c r="X85" s="892"/>
      <c r="Z85" s="765"/>
    </row>
    <row r="86" spans="1:72" x14ac:dyDescent="0.25">
      <c r="B86" s="855"/>
      <c r="C86" s="765"/>
      <c r="D86" s="765"/>
      <c r="J86" s="884"/>
      <c r="K86" s="859"/>
      <c r="L86" s="859"/>
      <c r="M86" s="859"/>
      <c r="N86" s="873" t="s">
        <v>96</v>
      </c>
      <c r="O86" s="870">
        <f>1-M60/J60</f>
        <v>7.946579999999992E-2</v>
      </c>
      <c r="P86" s="871">
        <f t="shared" si="30"/>
        <v>2.6488599999999973E-2</v>
      </c>
      <c r="Q86" s="870">
        <f>1-W60/M60</f>
        <v>7.2029705227171004E-2</v>
      </c>
      <c r="R86" s="872">
        <f t="shared" si="31"/>
        <v>7.2029705227171E-3</v>
      </c>
      <c r="S86" s="885"/>
      <c r="T86" s="885"/>
      <c r="U86" s="885"/>
      <c r="V86" s="885"/>
      <c r="W86" s="887"/>
      <c r="X86" s="892"/>
      <c r="Z86" s="1217"/>
      <c r="AA86" s="1216"/>
    </row>
    <row r="87" spans="1:72" x14ac:dyDescent="0.25">
      <c r="B87" s="855"/>
      <c r="C87" s="765"/>
      <c r="D87" s="765"/>
      <c r="J87" s="884"/>
      <c r="K87" s="859"/>
      <c r="L87" s="859"/>
      <c r="M87" s="859"/>
      <c r="N87" s="874" t="s">
        <v>2</v>
      </c>
      <c r="O87" s="870">
        <f>1-M63/J63</f>
        <v>0</v>
      </c>
      <c r="P87" s="875">
        <f t="shared" si="30"/>
        <v>0</v>
      </c>
      <c r="Q87" s="870">
        <f>1-W63/M63</f>
        <v>0.40286283172660908</v>
      </c>
      <c r="R87" s="871">
        <f t="shared" si="31"/>
        <v>4.0286283172660906E-2</v>
      </c>
      <c r="S87" s="885"/>
      <c r="T87" s="885"/>
      <c r="U87" s="885"/>
      <c r="V87" s="885"/>
      <c r="W87" s="887"/>
      <c r="X87" s="892"/>
    </row>
    <row r="88" spans="1:72" x14ac:dyDescent="0.25">
      <c r="B88" s="855"/>
      <c r="C88" s="765"/>
      <c r="D88" s="765"/>
      <c r="J88" s="884"/>
      <c r="K88" s="859"/>
      <c r="L88" s="859"/>
      <c r="M88" s="859"/>
      <c r="N88" s="876" t="s">
        <v>63</v>
      </c>
      <c r="O88" s="870">
        <f>1-M64/J64</f>
        <v>0.14544187819215704</v>
      </c>
      <c r="P88" s="872">
        <f t="shared" si="30"/>
        <v>4.8480626064052346E-2</v>
      </c>
      <c r="Q88" s="870">
        <f>1-W64/M64</f>
        <v>0.34759310255427889</v>
      </c>
      <c r="R88" s="872">
        <f t="shared" si="31"/>
        <v>3.4759310255427889E-2</v>
      </c>
      <c r="S88" s="885"/>
      <c r="T88" s="885"/>
      <c r="U88" s="885"/>
      <c r="V88" s="885"/>
      <c r="W88" s="887"/>
      <c r="X88" s="892"/>
    </row>
    <row r="89" spans="1:72" x14ac:dyDescent="0.25">
      <c r="B89" s="856"/>
      <c r="C89" s="765"/>
      <c r="D89" s="765"/>
      <c r="J89" s="884"/>
      <c r="K89" s="859"/>
      <c r="L89" s="859"/>
      <c r="M89" s="859"/>
      <c r="N89" s="877" t="s">
        <v>179</v>
      </c>
      <c r="O89" s="878">
        <f>1-M67/J67</f>
        <v>0.13701154653674552</v>
      </c>
      <c r="P89" s="879">
        <f t="shared" si="30"/>
        <v>4.5670515512248509E-2</v>
      </c>
      <c r="Q89" s="878">
        <f>1-W67/M67</f>
        <v>0.35130535530426332</v>
      </c>
      <c r="R89" s="879">
        <f t="shared" si="31"/>
        <v>3.5130535530426332E-2</v>
      </c>
      <c r="S89" s="885"/>
      <c r="T89" s="885"/>
      <c r="U89" s="885"/>
      <c r="V89" s="885"/>
      <c r="W89" s="887"/>
      <c r="X89" s="892"/>
    </row>
    <row r="90" spans="1:72" ht="15.75" thickBot="1" x14ac:dyDescent="0.3">
      <c r="B90" s="765"/>
      <c r="C90" s="765"/>
      <c r="D90" s="765"/>
      <c r="J90" s="889"/>
      <c r="K90" s="880"/>
      <c r="L90" s="880"/>
      <c r="M90" s="880"/>
      <c r="N90" s="881" t="s">
        <v>428</v>
      </c>
      <c r="O90" s="882">
        <f>1-M68/J68</f>
        <v>0.1370113412697741</v>
      </c>
      <c r="P90" s="883">
        <f t="shared" si="30"/>
        <v>4.5670447089924703E-2</v>
      </c>
      <c r="Q90" s="882">
        <f>1-W68/M68</f>
        <v>0.34753519572918079</v>
      </c>
      <c r="R90" s="883">
        <f t="shared" si="31"/>
        <v>3.4753519572918078E-2</v>
      </c>
      <c r="S90" s="890"/>
      <c r="T90" s="890"/>
      <c r="U90" s="890"/>
      <c r="V90" s="890"/>
      <c r="W90" s="891"/>
      <c r="X90" s="892"/>
    </row>
    <row r="92" spans="1:72" s="795" customFormat="1" x14ac:dyDescent="0.25">
      <c r="A92" s="785"/>
    </row>
    <row r="93" spans="1:72" s="173" customFormat="1" ht="12" thickBot="1" x14ac:dyDescent="0.25">
      <c r="A93" s="797"/>
      <c r="B93" s="1030" t="s">
        <v>206</v>
      </c>
      <c r="N93" s="859"/>
      <c r="O93" s="859"/>
      <c r="P93" s="859"/>
      <c r="Q93" s="859"/>
      <c r="R93" s="859"/>
      <c r="S93" s="859"/>
      <c r="X93" s="948"/>
    </row>
    <row r="94" spans="1:72" s="1031" customFormat="1" ht="11.25" x14ac:dyDescent="0.2">
      <c r="B94" s="1157"/>
      <c r="C94" s="1032"/>
      <c r="D94" s="1032"/>
      <c r="E94" s="1032"/>
      <c r="F94" s="1032"/>
      <c r="G94" s="1032"/>
      <c r="H94" s="1032"/>
      <c r="I94" s="1033"/>
      <c r="J94" s="1033"/>
      <c r="K94" s="1033"/>
      <c r="L94" s="1033"/>
      <c r="M94" s="1033"/>
      <c r="N94" s="1034"/>
      <c r="O94" s="1035"/>
      <c r="P94" s="1035"/>
      <c r="Q94" s="1035"/>
      <c r="R94" s="1035"/>
      <c r="S94" s="1035"/>
      <c r="T94" s="1035"/>
      <c r="U94" s="1035"/>
      <c r="V94" s="1035"/>
      <c r="W94" s="1035"/>
      <c r="X94" s="1035"/>
      <c r="Y94" s="1035"/>
      <c r="Z94" s="1035"/>
      <c r="AA94" s="1035"/>
      <c r="AB94" s="1035"/>
      <c r="AC94" s="1036"/>
      <c r="AD94" s="1037" t="s">
        <v>204</v>
      </c>
      <c r="AE94" s="1038">
        <v>1</v>
      </c>
      <c r="AF94" s="1036"/>
      <c r="AG94" s="1036" t="s">
        <v>205</v>
      </c>
      <c r="AH94" s="1039">
        <v>0.05</v>
      </c>
      <c r="AI94" s="1036"/>
      <c r="AJ94" s="1036"/>
      <c r="AK94" s="1036"/>
      <c r="AL94" s="1036"/>
      <c r="AM94" s="1036"/>
      <c r="AN94" s="1036"/>
      <c r="AO94" s="1036"/>
      <c r="AP94" s="1036"/>
      <c r="AQ94" s="1036"/>
      <c r="AR94" s="1036"/>
      <c r="AS94" s="1036"/>
      <c r="AT94" s="1036"/>
      <c r="AU94" s="1036"/>
      <c r="AY94" s="1036"/>
      <c r="BT94" s="1040">
        <v>0.16</v>
      </c>
    </row>
    <row r="95" spans="1:72" s="1031" customFormat="1" ht="11.25" x14ac:dyDescent="0.2">
      <c r="B95" s="1041"/>
      <c r="C95" s="920"/>
      <c r="D95" s="920"/>
      <c r="E95" s="920"/>
      <c r="F95" s="920"/>
      <c r="G95" s="920"/>
      <c r="H95" s="920"/>
      <c r="I95" s="865"/>
      <c r="J95" s="865"/>
      <c r="K95" s="865"/>
      <c r="L95" s="865"/>
      <c r="M95" s="865"/>
      <c r="N95" s="865"/>
      <c r="O95" s="1035"/>
      <c r="P95" s="1035"/>
      <c r="Q95" s="1035"/>
      <c r="R95" s="1035"/>
      <c r="S95" s="1035"/>
      <c r="T95" s="1035"/>
      <c r="U95" s="1035"/>
      <c r="V95" s="1035"/>
      <c r="W95" s="1035"/>
      <c r="X95" s="1035"/>
      <c r="Y95" s="1035"/>
      <c r="Z95" s="1035"/>
      <c r="AA95" s="1035"/>
      <c r="AB95" s="1035"/>
      <c r="AC95" s="1036"/>
      <c r="AD95" s="1036"/>
      <c r="AE95" s="1036"/>
      <c r="AF95" s="1036"/>
      <c r="AG95" s="1036"/>
      <c r="AI95" s="1036"/>
      <c r="AJ95" s="1036"/>
      <c r="AK95" s="1036"/>
      <c r="AL95" s="1036"/>
      <c r="AM95" s="1036"/>
      <c r="AN95" s="1036"/>
      <c r="AO95" s="1036"/>
      <c r="AP95" s="1036"/>
      <c r="AQ95" s="1036"/>
      <c r="AR95" s="1036"/>
      <c r="AS95" s="1036"/>
      <c r="AT95" s="1036"/>
      <c r="AU95" s="1036"/>
      <c r="AY95" s="1036"/>
      <c r="BT95" s="1040">
        <v>0.17</v>
      </c>
    </row>
    <row r="96" spans="1:72" s="1031" customFormat="1" ht="11.25" x14ac:dyDescent="0.2">
      <c r="B96" s="1042" t="s">
        <v>206</v>
      </c>
      <c r="C96" s="953"/>
      <c r="D96" s="953"/>
      <c r="E96" s="953"/>
      <c r="F96" s="953"/>
      <c r="G96" s="953"/>
      <c r="H96" s="953"/>
      <c r="I96" s="1043">
        <v>2016</v>
      </c>
      <c r="J96" s="1043">
        <v>2017</v>
      </c>
      <c r="K96" s="1043">
        <v>2018</v>
      </c>
      <c r="L96" s="1043">
        <v>2019</v>
      </c>
      <c r="M96" s="1043">
        <v>2020</v>
      </c>
      <c r="N96" s="1043">
        <v>2021</v>
      </c>
      <c r="O96" s="1043">
        <v>2022</v>
      </c>
      <c r="P96" s="1043">
        <v>2023</v>
      </c>
      <c r="Q96" s="1043">
        <v>2024</v>
      </c>
      <c r="R96" s="1043">
        <v>2025</v>
      </c>
      <c r="S96" s="1043">
        <v>2026</v>
      </c>
      <c r="T96" s="1043">
        <v>2027</v>
      </c>
      <c r="U96" s="1043">
        <v>2028</v>
      </c>
      <c r="V96" s="1043">
        <v>2029</v>
      </c>
      <c r="W96" s="1043">
        <v>2030</v>
      </c>
      <c r="X96" s="1044"/>
      <c r="Y96" s="1044"/>
      <c r="Z96" s="1044"/>
      <c r="AA96" s="1035"/>
      <c r="AB96" s="1035"/>
      <c r="AC96" s="1036"/>
      <c r="AD96" s="1036"/>
      <c r="AE96" s="1036"/>
      <c r="AF96" s="1036"/>
      <c r="AG96" s="1036"/>
      <c r="AH96" s="1036"/>
      <c r="AI96" s="1036"/>
      <c r="AJ96" s="1036"/>
      <c r="AK96" s="1036"/>
      <c r="AL96" s="1036"/>
      <c r="AM96" s="1036"/>
      <c r="AN96" s="1036"/>
      <c r="AO96" s="1036"/>
      <c r="AP96" s="1036"/>
      <c r="AQ96" s="1036"/>
      <c r="AR96" s="1036"/>
      <c r="AS96" s="1036"/>
      <c r="AT96" s="1036"/>
      <c r="AU96" s="1036"/>
      <c r="BT96" s="1040">
        <v>0.18</v>
      </c>
    </row>
    <row r="97" spans="2:72" s="1031" customFormat="1" ht="11.25" x14ac:dyDescent="0.2">
      <c r="B97" s="1042" t="s">
        <v>510</v>
      </c>
      <c r="C97" s="953"/>
      <c r="D97" s="953"/>
      <c r="E97" s="953"/>
      <c r="F97" s="953"/>
      <c r="G97" s="953"/>
      <c r="H97" s="953"/>
      <c r="I97" s="1136"/>
      <c r="J97" s="1045">
        <f>'Carbon Price Forecast July 2017'!H13</f>
        <v>17.776544332575511</v>
      </c>
      <c r="K97" s="1046">
        <f>'Carbon Price Forecast July 2017'!I13</f>
        <v>18.260183300000001</v>
      </c>
      <c r="L97" s="1046">
        <f>'Carbon Price Forecast July 2017'!J13</f>
        <v>19.024845363512195</v>
      </c>
      <c r="M97" s="1046">
        <f>'Carbon Price Forecast July 2017'!K13</f>
        <v>19.823987288030477</v>
      </c>
      <c r="N97" s="1047">
        <f>'Carbon Price Forecast July 2017'!L13</f>
        <v>20.914146793507996</v>
      </c>
      <c r="O97" s="1047">
        <f>'Carbon Price Forecast July 2017'!M13</f>
        <v>22.276871121840031</v>
      </c>
      <c r="P97" s="1047">
        <f>'Carbon Price Forecast July 2017'!N13</f>
        <v>26.015425021990001</v>
      </c>
      <c r="Q97" s="1047">
        <f>'Carbon Price Forecast July 2017'!O13</f>
        <v>33.122947588190712</v>
      </c>
      <c r="R97" s="1047">
        <f>'Carbon Price Forecast July 2017'!P13</f>
        <v>39.254679818464147</v>
      </c>
      <c r="S97" s="1047">
        <f>'Carbon Price Forecast July 2017'!Q13</f>
        <v>46.231770390260444</v>
      </c>
      <c r="T97" s="1047">
        <f>'Carbon Price Forecast July 2017'!R13</f>
        <v>54.142767837477656</v>
      </c>
      <c r="U97" s="1047">
        <f>'Carbon Price Forecast July 2017'!S13</f>
        <v>58.615223418346439</v>
      </c>
      <c r="V97" s="1047">
        <f>'Carbon Price Forecast July 2017'!T13</f>
        <v>63.049506895243077</v>
      </c>
      <c r="W97" s="1047">
        <f>'Carbon Price Forecast July 2017'!U13</f>
        <v>67.604570726888241</v>
      </c>
      <c r="X97" s="1048"/>
      <c r="Y97" s="1048"/>
      <c r="Z97" s="1048"/>
      <c r="AA97" s="1035"/>
      <c r="AB97" s="1035"/>
      <c r="AC97" s="1036"/>
      <c r="AD97" s="1036" t="s">
        <v>208</v>
      </c>
      <c r="AE97" s="1036"/>
      <c r="AF97" s="1038">
        <v>1</v>
      </c>
      <c r="AG97" s="1036"/>
      <c r="AH97" s="1049">
        <v>0</v>
      </c>
      <c r="AI97" s="1036"/>
      <c r="AJ97" s="1036"/>
      <c r="AK97" s="1036"/>
      <c r="AM97" s="1036"/>
      <c r="AN97" s="1036"/>
      <c r="AO97" s="1036"/>
      <c r="AP97" s="1036"/>
      <c r="AQ97" s="1036"/>
      <c r="AR97" s="1036"/>
      <c r="AS97" s="1036"/>
      <c r="AT97" s="1036"/>
      <c r="AU97" s="1036"/>
      <c r="BT97" s="1040">
        <v>0.19</v>
      </c>
    </row>
    <row r="98" spans="2:72" s="1031" customFormat="1" ht="16.149999999999999" customHeight="1" x14ac:dyDescent="0.2">
      <c r="B98" s="1042" t="s">
        <v>209</v>
      </c>
      <c r="C98" s="953"/>
      <c r="D98" s="953"/>
      <c r="E98" s="953"/>
      <c r="F98" s="953"/>
      <c r="G98" s="953"/>
      <c r="H98" s="953"/>
      <c r="I98" s="1137"/>
      <c r="J98" s="1051">
        <f>J57</f>
        <v>142.33169192075729</v>
      </c>
      <c r="K98" s="1051">
        <f t="shared" ref="K98:W98" si="32">K57</f>
        <v>136.44378354391171</v>
      </c>
      <c r="L98" s="1051">
        <f t="shared" si="32"/>
        <v>130.55587516706612</v>
      </c>
      <c r="M98" s="1051">
        <f t="shared" si="32"/>
        <v>124.66796679022053</v>
      </c>
      <c r="N98" s="1052">
        <f t="shared" si="32"/>
        <v>121.08549271004843</v>
      </c>
      <c r="O98" s="1052">
        <f t="shared" si="32"/>
        <v>117.49309564330355</v>
      </c>
      <c r="P98" s="1052">
        <f t="shared" si="32"/>
        <v>113.90069857655867</v>
      </c>
      <c r="Q98" s="1052">
        <f t="shared" si="32"/>
        <v>110.30830150981379</v>
      </c>
      <c r="R98" s="1052">
        <f t="shared" si="32"/>
        <v>106.71590444306891</v>
      </c>
      <c r="S98" s="1052">
        <f t="shared" si="32"/>
        <v>103.12350737632403</v>
      </c>
      <c r="T98" s="1052">
        <f t="shared" si="32"/>
        <v>99.531110309579148</v>
      </c>
      <c r="U98" s="1052">
        <f t="shared" si="32"/>
        <v>95.938713242834268</v>
      </c>
      <c r="V98" s="1052">
        <f t="shared" si="32"/>
        <v>92.346316176089388</v>
      </c>
      <c r="W98" s="1052">
        <f t="shared" si="32"/>
        <v>88.75391910934448</v>
      </c>
      <c r="X98" s="1053"/>
      <c r="Y98" s="1053"/>
      <c r="Z98" s="1053"/>
      <c r="AA98" s="1035"/>
      <c r="AB98" s="1035"/>
      <c r="AC98" s="1036"/>
      <c r="AD98" s="1036"/>
      <c r="AE98" s="1036"/>
      <c r="AF98" s="1036"/>
      <c r="AG98" s="1036"/>
      <c r="AH98" s="1049">
        <v>1</v>
      </c>
      <c r="AI98" s="1036"/>
      <c r="AJ98" s="1036"/>
      <c r="AK98" s="1036"/>
      <c r="AM98" s="1036"/>
      <c r="AN98" s="1036"/>
      <c r="AO98" s="1036"/>
      <c r="AP98" s="1036"/>
      <c r="AQ98" s="1036"/>
      <c r="AR98" s="1036"/>
      <c r="AS98" s="1036"/>
      <c r="AT98" s="1036"/>
      <c r="AU98" s="1036"/>
      <c r="BT98" s="1040">
        <v>0.2</v>
      </c>
    </row>
    <row r="99" spans="2:72" s="1031" customFormat="1" ht="11.25" x14ac:dyDescent="0.2">
      <c r="B99" s="1054" t="s">
        <v>511</v>
      </c>
      <c r="C99" s="1055"/>
      <c r="D99" s="1055"/>
      <c r="E99" s="1055"/>
      <c r="F99" s="1055"/>
      <c r="G99" s="1055"/>
      <c r="H99" s="1055"/>
      <c r="I99" s="1138"/>
      <c r="J99" s="1057">
        <f>J98*0.05</f>
        <v>7.1165845960378649</v>
      </c>
      <c r="K99" s="1057">
        <f>K98*0.05</f>
        <v>6.822189177195586</v>
      </c>
      <c r="L99" s="1057">
        <f>L98*0.05</f>
        <v>6.5277937583533063</v>
      </c>
      <c r="M99" s="1057">
        <f>AD103*0.05</f>
        <v>6.2333983395110266</v>
      </c>
      <c r="N99" s="1058">
        <f>AE103*0.05</f>
        <v>6.0542746355024217</v>
      </c>
      <c r="O99" s="1058">
        <f>O98*0.05</f>
        <v>5.8746547821651776</v>
      </c>
      <c r="P99" s="1058">
        <f>P98*0.05</f>
        <v>5.6950349288279334</v>
      </c>
      <c r="Q99" s="1058">
        <f>Q98*0.05</f>
        <v>5.5154150754906901</v>
      </c>
      <c r="R99" s="1058">
        <f>AI103*0.05</f>
        <v>5.3357952221534459</v>
      </c>
      <c r="S99" s="1058">
        <f>AJ103*0.05</f>
        <v>5.1561753688162018</v>
      </c>
      <c r="T99" s="1058">
        <f>T98*0.05</f>
        <v>4.9765555154789576</v>
      </c>
      <c r="U99" s="1058">
        <f>U98*0.05</f>
        <v>4.7969356621417134</v>
      </c>
      <c r="V99" s="1058">
        <f>V98*0.05</f>
        <v>4.6173158088044692</v>
      </c>
      <c r="W99" s="1058">
        <f>AN103*0.05</f>
        <v>4.4376959554672242</v>
      </c>
      <c r="X99" s="1059"/>
      <c r="Y99" s="1059"/>
      <c r="Z99" s="1059"/>
      <c r="AA99" s="1035"/>
      <c r="AB99" s="1035"/>
      <c r="AC99" s="1036"/>
      <c r="AD99" s="1060" t="s">
        <v>211</v>
      </c>
      <c r="AE99" s="1061">
        <v>124.66770740616697</v>
      </c>
      <c r="AF99" s="1036"/>
      <c r="AG99" s="1036"/>
      <c r="AH99" s="1036"/>
      <c r="AI99" s="1036"/>
      <c r="AJ99" s="1036"/>
      <c r="AK99" s="1036"/>
      <c r="AL99" s="1036"/>
      <c r="AM99" s="1036"/>
      <c r="AN99" s="1036"/>
      <c r="AO99" s="1036"/>
      <c r="AP99" s="1036"/>
      <c r="AQ99" s="1036"/>
      <c r="AR99" s="1036"/>
      <c r="AS99" s="1036"/>
      <c r="AT99" s="1036"/>
      <c r="AU99" s="1036"/>
    </row>
    <row r="100" spans="2:72" s="1031" customFormat="1" ht="22.5" x14ac:dyDescent="0.2">
      <c r="B100" s="1062" t="s">
        <v>512</v>
      </c>
      <c r="C100" s="1063"/>
      <c r="D100" s="1063"/>
      <c r="E100" s="1063"/>
      <c r="F100" s="1063"/>
      <c r="G100" s="1063"/>
      <c r="H100" s="1063"/>
      <c r="I100" s="1138"/>
      <c r="J100" s="1064">
        <v>32.636369999999999</v>
      </c>
      <c r="K100" s="1064">
        <v>32.220582690494403</v>
      </c>
      <c r="L100" s="1064">
        <v>31.824955134482078</v>
      </c>
      <c r="M100" s="1064">
        <v>30.558808345894324</v>
      </c>
      <c r="N100" s="1065">
        <v>29.177485569186121</v>
      </c>
      <c r="O100" s="1139"/>
      <c r="P100" s="1139"/>
      <c r="Q100" s="1139"/>
      <c r="R100" s="1139"/>
      <c r="S100" s="1139"/>
      <c r="T100" s="1139"/>
      <c r="U100" s="1139"/>
      <c r="V100" s="1139"/>
      <c r="W100" s="1139"/>
      <c r="X100" s="1066"/>
      <c r="Y100" s="1066"/>
      <c r="Z100" s="1066"/>
      <c r="AA100" s="1035"/>
      <c r="AB100" s="1035"/>
      <c r="AC100" s="1036"/>
      <c r="AD100" s="1036"/>
      <c r="AE100" s="1036"/>
      <c r="AF100" s="1036"/>
      <c r="AG100" s="1036"/>
      <c r="AH100" s="1036"/>
      <c r="AI100" s="1036"/>
      <c r="AJ100" s="1036"/>
      <c r="AK100" s="1036"/>
      <c r="AL100" s="1036"/>
      <c r="AM100" s="1036"/>
      <c r="AN100" s="1036"/>
      <c r="AO100" s="1036"/>
      <c r="AP100" s="1036"/>
      <c r="AQ100" s="1036"/>
      <c r="AR100" s="1036"/>
      <c r="AS100" s="1036"/>
      <c r="AT100" s="1036"/>
      <c r="AU100" s="1036"/>
    </row>
    <row r="101" spans="2:72" s="1031" customFormat="1" ht="22.5" x14ac:dyDescent="0.2">
      <c r="B101" s="1062" t="s">
        <v>513</v>
      </c>
      <c r="C101" s="1063"/>
      <c r="D101" s="1063"/>
      <c r="E101" s="1063"/>
      <c r="F101" s="1063"/>
      <c r="G101" s="1063"/>
      <c r="H101" s="1063"/>
      <c r="I101" s="1138"/>
      <c r="J101" s="1064">
        <v>4.8301060254408619E-2</v>
      </c>
      <c r="K101" s="1064">
        <v>4.6093701800782143E-2</v>
      </c>
      <c r="L101" s="1064">
        <v>4.3886343347155674E-2</v>
      </c>
      <c r="M101" s="1064">
        <v>4.1678984893529204E-2</v>
      </c>
      <c r="N101" s="1065">
        <v>3.9471626439902728E-2</v>
      </c>
      <c r="O101" s="1139"/>
      <c r="P101" s="1139"/>
      <c r="Q101" s="1139"/>
      <c r="R101" s="1139"/>
      <c r="S101" s="1139"/>
      <c r="T101" s="1139"/>
      <c r="U101" s="1139"/>
      <c r="V101" s="1139"/>
      <c r="W101" s="1139"/>
      <c r="X101" s="1066"/>
      <c r="Y101" s="1066"/>
      <c r="Z101" s="1066"/>
      <c r="AA101" s="1035"/>
      <c r="AB101" s="1035"/>
      <c r="AC101" s="1036"/>
      <c r="AD101" s="1036"/>
      <c r="AE101" s="1036"/>
      <c r="AF101" s="1036"/>
      <c r="AG101" s="1036"/>
      <c r="AH101" s="1036"/>
      <c r="AI101" s="1036"/>
      <c r="AJ101" s="1036"/>
      <c r="AK101" s="1036"/>
      <c r="AL101" s="1036"/>
      <c r="AM101" s="1036"/>
      <c r="AN101" s="1036"/>
      <c r="AO101" s="1036"/>
      <c r="AP101" s="1036"/>
      <c r="AQ101" s="1036"/>
      <c r="AR101" s="1036"/>
      <c r="AS101" s="1036"/>
      <c r="AT101" s="1036"/>
      <c r="AU101" s="1036"/>
    </row>
    <row r="102" spans="2:72" s="1031" customFormat="1" ht="22.5" x14ac:dyDescent="0.2">
      <c r="B102" s="1062" t="s">
        <v>514</v>
      </c>
      <c r="C102" s="1063"/>
      <c r="D102" s="1063"/>
      <c r="E102" s="1063"/>
      <c r="F102" s="1063"/>
      <c r="G102" s="1063"/>
      <c r="H102" s="1063"/>
      <c r="I102" s="1138"/>
      <c r="J102" s="1064">
        <v>1.2399020000000001</v>
      </c>
      <c r="K102" s="1064">
        <v>1.0093417931126489</v>
      </c>
      <c r="L102" s="1064">
        <v>0.96888749981997291</v>
      </c>
      <c r="M102" s="1064">
        <v>0.92872219191778393</v>
      </c>
      <c r="N102" s="1065">
        <v>0.9577379061017518</v>
      </c>
      <c r="O102" s="1139"/>
      <c r="P102" s="1139"/>
      <c r="Q102" s="1139"/>
      <c r="R102" s="1139"/>
      <c r="S102" s="1139"/>
      <c r="T102" s="1139"/>
      <c r="U102" s="1139"/>
      <c r="V102" s="1139"/>
      <c r="W102" s="1139"/>
      <c r="X102" s="1066"/>
      <c r="Y102" s="1066"/>
      <c r="Z102" s="1066"/>
      <c r="AA102" s="1035"/>
      <c r="AB102" s="1035"/>
      <c r="AC102" s="1036"/>
      <c r="AD102" s="1043">
        <v>2020</v>
      </c>
      <c r="AE102" s="1043">
        <v>2021</v>
      </c>
      <c r="AF102" s="1043">
        <v>2022</v>
      </c>
      <c r="AG102" s="1043">
        <v>2023</v>
      </c>
      <c r="AH102" s="1043">
        <v>2024</v>
      </c>
      <c r="AI102" s="1043">
        <v>2025</v>
      </c>
      <c r="AJ102" s="1043">
        <v>2026</v>
      </c>
      <c r="AK102" s="1043">
        <v>2027</v>
      </c>
      <c r="AL102" s="1043">
        <v>2028</v>
      </c>
      <c r="AM102" s="1043">
        <v>2029</v>
      </c>
      <c r="AN102" s="1043">
        <v>2030</v>
      </c>
      <c r="AO102" s="1043">
        <v>2031</v>
      </c>
      <c r="AP102" s="1036"/>
      <c r="AQ102" s="1036"/>
      <c r="AR102" s="1036"/>
      <c r="AS102" s="1036"/>
      <c r="AT102" s="1036"/>
      <c r="AU102" s="1036"/>
    </row>
    <row r="103" spans="2:72" s="1031" customFormat="1" ht="11.25" x14ac:dyDescent="0.2">
      <c r="B103" s="1067" t="s">
        <v>504</v>
      </c>
      <c r="C103" s="922"/>
      <c r="D103" s="922"/>
      <c r="E103" s="922"/>
      <c r="F103" s="922"/>
      <c r="G103" s="922"/>
      <c r="H103" s="922"/>
      <c r="I103" s="1137"/>
      <c r="J103" s="1051">
        <f>J100+J101+J102</f>
        <v>33.92457306025441</v>
      </c>
      <c r="K103" s="1051">
        <f>K100+K101+K102</f>
        <v>33.276018185407835</v>
      </c>
      <c r="L103" s="1051">
        <f>L100+L101+L102</f>
        <v>32.837728977649206</v>
      </c>
      <c r="M103" s="1051">
        <f>M100+M101+M102</f>
        <v>31.529209522705639</v>
      </c>
      <c r="N103" s="1052">
        <f>'Allocation_Khalid Aug 2017'!G11</f>
        <v>35.318158558468674</v>
      </c>
      <c r="O103" s="1052">
        <f>'Allocation_Khalid Aug 2017'!H11</f>
        <v>35.876935312010517</v>
      </c>
      <c r="P103" s="1052">
        <f>'Allocation_Khalid Aug 2017'!I11</f>
        <v>36.455786127177333</v>
      </c>
      <c r="Q103" s="1052">
        <f>'Allocation_Khalid Aug 2017'!J11</f>
        <v>37.055733582354669</v>
      </c>
      <c r="R103" s="1052">
        <f>'Allocation_Khalid Aug 2017'!K11</f>
        <v>37.847784215938951</v>
      </c>
      <c r="S103" s="1052">
        <f>'Allocation_Khalid Aug 2017'!L11</f>
        <v>37.677874150263158</v>
      </c>
      <c r="T103" s="1052">
        <f>'Allocation_Khalid Aug 2017'!M11</f>
        <v>38.028330784351517</v>
      </c>
      <c r="U103" s="1052">
        <f>'Allocation_Khalid Aug 2017'!N11</f>
        <v>38.219728110003814</v>
      </c>
      <c r="V103" s="1052">
        <f>'Allocation_Khalid Aug 2017'!O11</f>
        <v>38.422198130379329</v>
      </c>
      <c r="W103" s="1052">
        <f>'Allocation_Khalid Aug 2017'!P11</f>
        <v>38.635970722361627</v>
      </c>
      <c r="X103" s="1068"/>
      <c r="Y103" s="1068"/>
      <c r="Z103" s="1068"/>
      <c r="AA103" s="1035"/>
      <c r="AB103" s="1035"/>
      <c r="AC103" s="1036"/>
      <c r="AD103" s="1069">
        <f>M98</f>
        <v>124.66796679022053</v>
      </c>
      <c r="AE103" s="1069">
        <f t="shared" ref="AE103:AN103" si="33">N98</f>
        <v>121.08549271004843</v>
      </c>
      <c r="AF103" s="1069">
        <f t="shared" si="33"/>
        <v>117.49309564330355</v>
      </c>
      <c r="AG103" s="1069">
        <f t="shared" si="33"/>
        <v>113.90069857655867</v>
      </c>
      <c r="AH103" s="1069">
        <f t="shared" si="33"/>
        <v>110.30830150981379</v>
      </c>
      <c r="AI103" s="1069">
        <f t="shared" si="33"/>
        <v>106.71590444306891</v>
      </c>
      <c r="AJ103" s="1069">
        <f t="shared" si="33"/>
        <v>103.12350737632403</v>
      </c>
      <c r="AK103" s="1069">
        <f t="shared" si="33"/>
        <v>99.531110309579148</v>
      </c>
      <c r="AL103" s="1069">
        <f t="shared" si="33"/>
        <v>95.938713242834268</v>
      </c>
      <c r="AM103" s="1069">
        <f t="shared" si="33"/>
        <v>92.346316176089388</v>
      </c>
      <c r="AN103" s="1069">
        <f t="shared" si="33"/>
        <v>88.75391910934448</v>
      </c>
      <c r="AO103" s="1070">
        <f>AN103</f>
        <v>88.75391910934448</v>
      </c>
      <c r="AP103" s="1036"/>
      <c r="AQ103" s="1036"/>
      <c r="AR103" s="1036"/>
      <c r="AS103" s="1036"/>
      <c r="AT103" s="1036"/>
      <c r="AU103" s="1036"/>
    </row>
    <row r="104" spans="2:72" s="1031" customFormat="1" ht="11.25" x14ac:dyDescent="0.2">
      <c r="B104" s="1054"/>
      <c r="C104" s="1055"/>
      <c r="D104" s="1055"/>
      <c r="E104" s="1055"/>
      <c r="F104" s="1055"/>
      <c r="G104" s="1055"/>
      <c r="H104" s="1055"/>
      <c r="I104" s="1138"/>
      <c r="J104" s="1057"/>
      <c r="K104" s="1057"/>
      <c r="L104" s="1057"/>
      <c r="M104" s="1057"/>
      <c r="N104" s="1058"/>
      <c r="O104" s="1140"/>
      <c r="P104" s="1140"/>
      <c r="Q104" s="1140"/>
      <c r="R104" s="1140"/>
      <c r="S104" s="1140"/>
      <c r="T104" s="1140"/>
      <c r="U104" s="1140"/>
      <c r="V104" s="1140"/>
      <c r="W104" s="1140"/>
      <c r="X104" s="1035"/>
      <c r="Y104" s="1035"/>
      <c r="Z104" s="1035"/>
      <c r="AA104" s="1035"/>
      <c r="AB104" s="1035"/>
      <c r="AC104" s="1036"/>
      <c r="AD104" s="1036"/>
      <c r="AE104" s="1036"/>
      <c r="AF104" s="1036"/>
      <c r="AG104" s="1036"/>
      <c r="AH104" s="1036"/>
      <c r="AI104" s="1036"/>
      <c r="AJ104" s="1036"/>
      <c r="AK104" s="1036"/>
      <c r="AL104" s="1036"/>
      <c r="AM104" s="1036"/>
      <c r="AN104" s="1036"/>
      <c r="AO104" s="1036"/>
      <c r="AP104" s="1036"/>
      <c r="AQ104" s="1036"/>
      <c r="AR104" s="1036"/>
      <c r="AS104" s="1036"/>
      <c r="AT104" s="1036"/>
      <c r="AU104" s="1036"/>
    </row>
    <row r="105" spans="2:72" s="1031" customFormat="1" ht="11.25" x14ac:dyDescent="0.2">
      <c r="B105" s="1072" t="s">
        <v>215</v>
      </c>
      <c r="C105" s="1073"/>
      <c r="D105" s="1073"/>
      <c r="E105" s="1073"/>
      <c r="F105" s="1073"/>
      <c r="G105" s="1073"/>
      <c r="H105" s="1073"/>
      <c r="I105" s="1141"/>
      <c r="J105" s="1074">
        <f>IF($AF$97=0,0,AD103*0.1)</f>
        <v>12.466796679022053</v>
      </c>
      <c r="K105" s="1074">
        <f t="shared" ref="K105:W105" si="34">IF($AF$97=0,0,AE103*0.1)</f>
        <v>12.108549271004843</v>
      </c>
      <c r="L105" s="1074">
        <f t="shared" si="34"/>
        <v>11.749309564330355</v>
      </c>
      <c r="M105" s="1074">
        <f t="shared" si="34"/>
        <v>11.390069857655867</v>
      </c>
      <c r="N105" s="1075">
        <f t="shared" si="34"/>
        <v>11.03083015098138</v>
      </c>
      <c r="O105" s="1075">
        <f t="shared" si="34"/>
        <v>10.671590444306892</v>
      </c>
      <c r="P105" s="1075">
        <f t="shared" si="34"/>
        <v>10.312350737632404</v>
      </c>
      <c r="Q105" s="1075">
        <f t="shared" si="34"/>
        <v>9.9531110309579152</v>
      </c>
      <c r="R105" s="1075">
        <f t="shared" si="34"/>
        <v>9.5938713242834268</v>
      </c>
      <c r="S105" s="1075">
        <f t="shared" si="34"/>
        <v>9.2346316176089385</v>
      </c>
      <c r="T105" s="1075">
        <f t="shared" si="34"/>
        <v>8.8753919109344483</v>
      </c>
      <c r="U105" s="1075">
        <f t="shared" si="34"/>
        <v>8.8753919109344483</v>
      </c>
      <c r="V105" s="1075">
        <f t="shared" si="34"/>
        <v>0</v>
      </c>
      <c r="W105" s="1075">
        <f t="shared" si="34"/>
        <v>0</v>
      </c>
      <c r="X105" s="1035"/>
      <c r="Y105" s="1035"/>
      <c r="Z105" s="1035"/>
      <c r="AA105" s="1035"/>
      <c r="AB105" s="1035"/>
      <c r="AC105" s="1036"/>
      <c r="AD105" s="1043">
        <v>2020</v>
      </c>
      <c r="AE105" s="1043">
        <v>2021</v>
      </c>
      <c r="AF105" s="1043">
        <v>2022</v>
      </c>
      <c r="AG105" s="1043">
        <v>2023</v>
      </c>
      <c r="AH105" s="1043">
        <v>2024</v>
      </c>
      <c r="AI105" s="1043">
        <v>2025</v>
      </c>
      <c r="AJ105" s="1043">
        <v>2026</v>
      </c>
      <c r="AK105" s="1043">
        <v>2027</v>
      </c>
      <c r="AL105" s="1043">
        <v>2028</v>
      </c>
      <c r="AM105" s="1043">
        <v>2029</v>
      </c>
      <c r="AN105" s="1043">
        <v>2030</v>
      </c>
      <c r="AO105" s="1043">
        <v>2031</v>
      </c>
      <c r="AP105" s="1036"/>
      <c r="AQ105" s="1036"/>
      <c r="AR105" s="1036"/>
      <c r="AS105" s="1036"/>
      <c r="AT105" s="1036"/>
      <c r="AU105" s="1036"/>
    </row>
    <row r="106" spans="2:72" s="1031" customFormat="1" ht="11.25" x14ac:dyDescent="0.2">
      <c r="B106" s="1076"/>
      <c r="C106" s="1055"/>
      <c r="D106" s="1055"/>
      <c r="E106" s="1055"/>
      <c r="F106" s="1055"/>
      <c r="G106" s="1055"/>
      <c r="H106" s="1055"/>
      <c r="I106" s="1142"/>
      <c r="J106" s="1077">
        <f>J103/(J98+J105)</f>
        <v>0.219153128477656</v>
      </c>
      <c r="K106" s="1077">
        <f t="shared" ref="K106:W106" si="35">K103/(K98+K105)</f>
        <v>0.22400199010584973</v>
      </c>
      <c r="L106" s="1077">
        <f t="shared" si="35"/>
        <v>0.23075567513320749</v>
      </c>
      <c r="M106" s="1077">
        <f t="shared" si="35"/>
        <v>0.2317335329797863</v>
      </c>
      <c r="N106" s="1078">
        <f t="shared" si="35"/>
        <v>0.26732623035246789</v>
      </c>
      <c r="O106" s="1078">
        <f t="shared" si="35"/>
        <v>0.27992839843173228</v>
      </c>
      <c r="P106" s="1078">
        <f t="shared" si="35"/>
        <v>0.29349401152663224</v>
      </c>
      <c r="Q106" s="1078">
        <f t="shared" si="35"/>
        <v>0.30812654532717904</v>
      </c>
      <c r="R106" s="1078">
        <f t="shared" si="35"/>
        <v>0.32540501403462135</v>
      </c>
      <c r="S106" s="1078">
        <f t="shared" si="35"/>
        <v>0.33533729276432445</v>
      </c>
      <c r="T106" s="1078">
        <f t="shared" si="35"/>
        <v>0.35079381776377866</v>
      </c>
      <c r="U106" s="1078">
        <f t="shared" si="35"/>
        <v>0.36464298439540299</v>
      </c>
      <c r="V106" s="1078">
        <f t="shared" si="35"/>
        <v>0.41606638706750848</v>
      </c>
      <c r="W106" s="1078">
        <f t="shared" si="35"/>
        <v>0.43531565828391489</v>
      </c>
      <c r="X106" s="1035"/>
      <c r="Y106" s="1035"/>
      <c r="Z106" s="1035"/>
      <c r="AA106" s="1035"/>
      <c r="AB106" s="1035"/>
      <c r="AC106" s="1036"/>
      <c r="AD106" s="1079">
        <f>M97</f>
        <v>19.823987288030477</v>
      </c>
      <c r="AE106" s="1079">
        <f t="shared" ref="AE106:AN106" si="36">N97</f>
        <v>20.914146793507996</v>
      </c>
      <c r="AF106" s="1079">
        <f t="shared" si="36"/>
        <v>22.276871121840031</v>
      </c>
      <c r="AG106" s="1079">
        <f t="shared" si="36"/>
        <v>26.015425021990001</v>
      </c>
      <c r="AH106" s="1079">
        <f t="shared" si="36"/>
        <v>33.122947588190712</v>
      </c>
      <c r="AI106" s="1079">
        <f t="shared" si="36"/>
        <v>39.254679818464147</v>
      </c>
      <c r="AJ106" s="1079">
        <f t="shared" si="36"/>
        <v>46.231770390260444</v>
      </c>
      <c r="AK106" s="1079">
        <f t="shared" si="36"/>
        <v>54.142767837477656</v>
      </c>
      <c r="AL106" s="1079">
        <f t="shared" si="36"/>
        <v>58.615223418346439</v>
      </c>
      <c r="AM106" s="1079">
        <f t="shared" si="36"/>
        <v>63.049506895243077</v>
      </c>
      <c r="AN106" s="1079">
        <f t="shared" si="36"/>
        <v>67.604570726888241</v>
      </c>
      <c r="AO106" s="1080">
        <f>AN106</f>
        <v>67.604570726888241</v>
      </c>
      <c r="AP106" s="1036"/>
      <c r="AQ106" s="1036"/>
      <c r="AR106" s="1036"/>
      <c r="AS106" s="1036"/>
      <c r="AT106" s="1036"/>
      <c r="AU106" s="1036"/>
    </row>
    <row r="107" spans="2:72" s="1031" customFormat="1" ht="11.25" x14ac:dyDescent="0.2">
      <c r="B107" s="1076" t="s">
        <v>505</v>
      </c>
      <c r="C107" s="1055"/>
      <c r="D107" s="1055"/>
      <c r="E107" s="1055"/>
      <c r="F107" s="1055"/>
      <c r="G107" s="1055"/>
      <c r="H107" s="1055"/>
      <c r="I107" s="1142"/>
      <c r="J107" s="1142">
        <f>J105*J97</f>
        <v>221.6165638498407</v>
      </c>
      <c r="K107" s="1142">
        <f t="shared" ref="K107:W107" si="37">K105*K97</f>
        <v>221.10432918562984</v>
      </c>
      <c r="L107" s="1142">
        <f t="shared" si="37"/>
        <v>223.52879758941984</v>
      </c>
      <c r="M107" s="1142">
        <f t="shared" si="37"/>
        <v>225.79660006794902</v>
      </c>
      <c r="N107" s="1143">
        <f t="shared" si="37"/>
        <v>230.70040103187856</v>
      </c>
      <c r="O107" s="1143">
        <f t="shared" si="37"/>
        <v>237.72964499288423</v>
      </c>
      <c r="P107" s="1143">
        <f t="shared" si="37"/>
        <v>268.28018741533907</v>
      </c>
      <c r="Q107" s="1143">
        <f t="shared" si="37"/>
        <v>329.67637501786186</v>
      </c>
      <c r="R107" s="1143">
        <f t="shared" si="37"/>
        <v>376.60434705429054</v>
      </c>
      <c r="S107" s="1143">
        <f t="shared" si="37"/>
        <v>426.93336858393582</v>
      </c>
      <c r="T107" s="1143">
        <f t="shared" si="37"/>
        <v>480.53828370035103</v>
      </c>
      <c r="U107" s="1143">
        <f t="shared" si="37"/>
        <v>520.23307978480739</v>
      </c>
      <c r="V107" s="1143">
        <f t="shared" si="37"/>
        <v>0</v>
      </c>
      <c r="W107" s="1143">
        <f t="shared" si="37"/>
        <v>0</v>
      </c>
      <c r="X107" s="1035"/>
      <c r="Y107" s="1035"/>
      <c r="Z107" s="1035"/>
      <c r="AA107" s="1035"/>
      <c r="AB107" s="1035"/>
      <c r="AC107" s="1036"/>
      <c r="AD107" s="1079"/>
      <c r="AE107" s="1081"/>
      <c r="AF107" s="1082"/>
      <c r="AG107" s="1082"/>
      <c r="AH107" s="1082"/>
      <c r="AI107" s="1036"/>
      <c r="AJ107" s="1036"/>
      <c r="AK107" s="1036"/>
      <c r="AL107" s="1036"/>
      <c r="AM107" s="1036"/>
      <c r="AN107" s="1036"/>
      <c r="AO107" s="1036"/>
      <c r="AP107" s="1036"/>
      <c r="AQ107" s="1036"/>
      <c r="AR107" s="1036"/>
      <c r="AS107" s="1036"/>
      <c r="AT107" s="1036"/>
      <c r="AU107" s="1036"/>
    </row>
    <row r="108" spans="2:72" s="1031" customFormat="1" ht="11.25" x14ac:dyDescent="0.2">
      <c r="B108" s="1083" t="s">
        <v>506</v>
      </c>
      <c r="C108" s="1084"/>
      <c r="D108" s="1084"/>
      <c r="E108" s="1084"/>
      <c r="F108" s="1084"/>
      <c r="G108" s="1084"/>
      <c r="H108" s="1084"/>
      <c r="I108" s="1144">
        <f>J107/4</f>
        <v>55.404140962460176</v>
      </c>
      <c r="J108" s="1144">
        <f>J107*0.75+K107*0.25</f>
        <v>221.48850518378796</v>
      </c>
      <c r="K108" s="1144">
        <f t="shared" ref="K108:W108" si="38">K107*0.75+L107*0.25</f>
        <v>221.71044628657734</v>
      </c>
      <c r="L108" s="1144">
        <f t="shared" si="38"/>
        <v>224.09574820905215</v>
      </c>
      <c r="M108" s="1144">
        <f t="shared" si="38"/>
        <v>227.02255030893139</v>
      </c>
      <c r="N108" s="1145">
        <f t="shared" si="38"/>
        <v>232.45771202212998</v>
      </c>
      <c r="O108" s="1145">
        <f t="shared" si="38"/>
        <v>245.36728059849793</v>
      </c>
      <c r="P108" s="1145">
        <f t="shared" si="38"/>
        <v>283.62923431596977</v>
      </c>
      <c r="Q108" s="1145">
        <f t="shared" si="38"/>
        <v>341.40836802696901</v>
      </c>
      <c r="R108" s="1145">
        <f t="shared" si="38"/>
        <v>389.18660243670189</v>
      </c>
      <c r="S108" s="1145">
        <f t="shared" si="38"/>
        <v>440.33459736303962</v>
      </c>
      <c r="T108" s="1145">
        <f t="shared" si="38"/>
        <v>490.46198272146512</v>
      </c>
      <c r="U108" s="1145">
        <f t="shared" si="38"/>
        <v>390.17480983860554</v>
      </c>
      <c r="V108" s="1145">
        <f t="shared" si="38"/>
        <v>0</v>
      </c>
      <c r="W108" s="1145">
        <f t="shared" si="38"/>
        <v>0</v>
      </c>
      <c r="X108" s="1035"/>
      <c r="Y108" s="1035"/>
      <c r="Z108" s="1035"/>
      <c r="AA108" s="1035"/>
      <c r="AB108" s="1035"/>
      <c r="AC108" s="1036"/>
      <c r="AD108" s="1079"/>
      <c r="AE108" s="1081"/>
      <c r="AF108" s="1082"/>
      <c r="AG108" s="1082"/>
      <c r="AH108" s="1082"/>
      <c r="AI108" s="1036"/>
      <c r="AJ108" s="1036"/>
      <c r="AK108" s="1036"/>
      <c r="AL108" s="1036"/>
      <c r="AM108" s="1036"/>
      <c r="AN108" s="1036"/>
      <c r="AO108" s="1036"/>
      <c r="AP108" s="1036"/>
      <c r="AQ108" s="1036"/>
      <c r="AR108" s="1036"/>
      <c r="AS108" s="1036"/>
      <c r="AT108" s="1036"/>
      <c r="AU108" s="1036"/>
    </row>
    <row r="109" spans="2:72" s="1031" customFormat="1" ht="11.25" x14ac:dyDescent="0.2">
      <c r="B109" s="1083"/>
      <c r="C109" s="1084"/>
      <c r="D109" s="1084"/>
      <c r="E109" s="1084"/>
      <c r="F109" s="1084"/>
      <c r="G109" s="1084"/>
      <c r="H109" s="1084"/>
      <c r="I109" s="1085"/>
      <c r="J109" s="1085"/>
      <c r="K109" s="1085"/>
      <c r="L109" s="1085"/>
      <c r="M109" s="1085"/>
      <c r="N109" s="1086"/>
      <c r="O109" s="1087"/>
      <c r="P109" s="1071"/>
      <c r="Q109" s="1071"/>
      <c r="R109" s="1071"/>
      <c r="S109" s="1071"/>
      <c r="T109" s="1071"/>
      <c r="U109" s="1071"/>
      <c r="V109" s="1071"/>
      <c r="W109" s="1071"/>
      <c r="X109" s="1035"/>
      <c r="Y109" s="1035"/>
      <c r="Z109" s="1035"/>
      <c r="AA109" s="1035"/>
      <c r="AB109" s="1035"/>
      <c r="AC109" s="1036"/>
      <c r="AD109" s="1079"/>
      <c r="AE109" s="1081"/>
      <c r="AF109" s="1082"/>
      <c r="AG109" s="1082"/>
      <c r="AH109" s="1082"/>
      <c r="AI109" s="1036"/>
      <c r="AJ109" s="1036"/>
      <c r="AK109" s="1036"/>
      <c r="AL109" s="1036"/>
      <c r="AM109" s="1036"/>
      <c r="AN109" s="1036"/>
      <c r="AO109" s="1036"/>
      <c r="AP109" s="1036"/>
      <c r="AQ109" s="1036"/>
      <c r="AR109" s="1036"/>
      <c r="AS109" s="1036"/>
      <c r="AT109" s="1036"/>
      <c r="AU109" s="1036"/>
    </row>
    <row r="110" spans="2:72" s="1031" customFormat="1" ht="11.25" x14ac:dyDescent="0.2">
      <c r="B110" s="1088" t="s">
        <v>515</v>
      </c>
      <c r="C110" s="953"/>
      <c r="D110" s="953"/>
      <c r="E110" s="953"/>
      <c r="F110" s="953"/>
      <c r="G110" s="953"/>
      <c r="H110" s="953"/>
      <c r="I110" s="1050"/>
      <c r="J110" s="1051">
        <f>J98-J103+J105</f>
        <v>120.87391553952494</v>
      </c>
      <c r="K110" s="1051">
        <f t="shared" ref="K110:W110" si="39">K98-K103+K105</f>
        <v>115.27631462950872</v>
      </c>
      <c r="L110" s="1051">
        <f t="shared" si="39"/>
        <v>109.46745575374727</v>
      </c>
      <c r="M110" s="1051">
        <f t="shared" si="39"/>
        <v>104.52882712517075</v>
      </c>
      <c r="N110" s="1052">
        <f t="shared" si="39"/>
        <v>96.798164302561133</v>
      </c>
      <c r="O110" s="1052">
        <f t="shared" si="39"/>
        <v>92.287750775599918</v>
      </c>
      <c r="P110" s="1052">
        <f t="shared" si="39"/>
        <v>87.757263187013734</v>
      </c>
      <c r="Q110" s="1052">
        <f t="shared" si="39"/>
        <v>83.205678958417039</v>
      </c>
      <c r="R110" s="1052">
        <f t="shared" si="39"/>
        <v>78.461991551413391</v>
      </c>
      <c r="S110" s="1052">
        <f t="shared" si="39"/>
        <v>74.680264843669804</v>
      </c>
      <c r="T110" s="1052">
        <f t="shared" si="39"/>
        <v>70.378171436162077</v>
      </c>
      <c r="U110" s="1052">
        <f t="shared" si="39"/>
        <v>66.594377043764908</v>
      </c>
      <c r="V110" s="1052">
        <f t="shared" si="39"/>
        <v>53.92411804571006</v>
      </c>
      <c r="W110" s="1052">
        <f t="shared" si="39"/>
        <v>50.117948386982853</v>
      </c>
      <c r="X110" s="1035"/>
      <c r="Y110" s="1035"/>
      <c r="Z110" s="1035"/>
      <c r="AA110" s="1035"/>
      <c r="AB110" s="1035"/>
      <c r="AC110" s="1036"/>
      <c r="AD110" s="1036"/>
      <c r="AE110" s="1036"/>
      <c r="AF110" s="1036"/>
      <c r="AG110" s="1036"/>
      <c r="AH110" s="1036"/>
      <c r="AI110" s="1036"/>
      <c r="AJ110" s="1036"/>
      <c r="AK110" s="1036"/>
      <c r="AL110" s="1036"/>
      <c r="AM110" s="1036"/>
      <c r="AN110" s="1036"/>
      <c r="AO110" s="1036"/>
      <c r="AP110" s="1036"/>
      <c r="AQ110" s="1036"/>
      <c r="AR110" s="1036"/>
      <c r="AS110" s="1036"/>
      <c r="AT110" s="1036"/>
      <c r="AU110" s="1036"/>
    </row>
    <row r="111" spans="2:72" s="1031" customFormat="1" ht="11.25" x14ac:dyDescent="0.2">
      <c r="B111" s="1089" t="s">
        <v>516</v>
      </c>
      <c r="C111" s="1055"/>
      <c r="D111" s="1055"/>
      <c r="E111" s="1055"/>
      <c r="F111" s="1055"/>
      <c r="G111" s="1055"/>
      <c r="H111" s="1055"/>
      <c r="I111" s="1050"/>
      <c r="J111" s="1057">
        <v>7.5</v>
      </c>
      <c r="K111" s="1057">
        <v>7.5</v>
      </c>
      <c r="L111" s="1057">
        <v>7.5</v>
      </c>
      <c r="M111" s="1057">
        <v>7.5</v>
      </c>
      <c r="N111" s="1058">
        <v>7.5</v>
      </c>
      <c r="O111" s="1071"/>
      <c r="P111" s="1071"/>
      <c r="Q111" s="1071"/>
      <c r="R111" s="1071"/>
      <c r="S111" s="1071"/>
      <c r="T111" s="1071"/>
      <c r="U111" s="1071"/>
      <c r="V111" s="1071"/>
      <c r="W111" s="1071"/>
      <c r="X111" s="1035"/>
      <c r="Y111" s="1035"/>
      <c r="Z111" s="1035"/>
      <c r="AA111" s="1035"/>
      <c r="AB111" s="1090"/>
      <c r="AC111" s="1036"/>
      <c r="AD111" s="1036"/>
      <c r="AE111" s="1036"/>
      <c r="AF111" s="1036"/>
      <c r="AG111" s="1036"/>
      <c r="AH111" s="1036"/>
      <c r="AI111" s="1036"/>
      <c r="AJ111" s="1036"/>
      <c r="AK111" s="1036"/>
      <c r="AL111" s="1036"/>
      <c r="AM111" s="1036"/>
      <c r="AN111" s="1036"/>
      <c r="AO111" s="1036"/>
      <c r="AP111" s="1036"/>
      <c r="AQ111" s="1036"/>
      <c r="AR111" s="1036"/>
      <c r="AS111" s="1036"/>
      <c r="AT111" s="1036"/>
      <c r="AU111" s="1036"/>
    </row>
    <row r="112" spans="2:72" s="1031" customFormat="1" ht="11.25" x14ac:dyDescent="0.2">
      <c r="B112" s="1089" t="s">
        <v>517</v>
      </c>
      <c r="C112" s="1055"/>
      <c r="D112" s="1055"/>
      <c r="E112" s="1055"/>
      <c r="F112" s="1055"/>
      <c r="G112" s="1055"/>
      <c r="H112" s="1055"/>
      <c r="I112" s="1050"/>
      <c r="J112" s="1057">
        <f>J110-J111</f>
        <v>113.37391553952494</v>
      </c>
      <c r="K112" s="1057">
        <f>K110-K111</f>
        <v>107.77631462950872</v>
      </c>
      <c r="L112" s="1057">
        <f>L110-L111</f>
        <v>101.96745575374727</v>
      </c>
      <c r="M112" s="1057">
        <f>M110-M111</f>
        <v>97.02882712517075</v>
      </c>
      <c r="N112" s="1058">
        <f>N110-N111</f>
        <v>89.298164302561133</v>
      </c>
      <c r="O112" s="1071"/>
      <c r="P112" s="1071"/>
      <c r="Q112" s="1071"/>
      <c r="R112" s="1071"/>
      <c r="S112" s="1071"/>
      <c r="T112" s="1071"/>
      <c r="U112" s="1071"/>
      <c r="V112" s="1071"/>
      <c r="W112" s="1071"/>
      <c r="X112" s="1035"/>
      <c r="Y112" s="1035"/>
      <c r="Z112" s="1035"/>
      <c r="AA112" s="1035"/>
      <c r="AB112" s="1091"/>
      <c r="AC112" s="1036"/>
      <c r="AF112" s="1036"/>
      <c r="AG112" s="1036"/>
      <c r="AH112" s="1036"/>
      <c r="AI112" s="1036"/>
      <c r="AJ112" s="1036"/>
      <c r="AK112" s="1036"/>
      <c r="AL112" s="1036"/>
      <c r="AM112" s="1036"/>
      <c r="AN112" s="1036"/>
      <c r="AO112" s="1036"/>
      <c r="AP112" s="1036"/>
      <c r="AQ112" s="1036"/>
      <c r="AR112" s="1036"/>
      <c r="AS112" s="1036"/>
      <c r="AT112" s="1036"/>
      <c r="AU112" s="1036"/>
    </row>
    <row r="113" spans="2:50" s="1031" customFormat="1" ht="11.25" x14ac:dyDescent="0.2">
      <c r="B113" s="1092" t="s">
        <v>508</v>
      </c>
      <c r="C113" s="920"/>
      <c r="D113" s="920"/>
      <c r="E113" s="920"/>
      <c r="F113" s="920"/>
      <c r="G113" s="920"/>
      <c r="H113" s="920"/>
      <c r="I113" s="1134">
        <v>0</v>
      </c>
      <c r="J113" s="1134">
        <f>J110*J97</f>
        <v>2148.7205182403532</v>
      </c>
      <c r="K113" s="1134">
        <f>K110*K97</f>
        <v>2104.966635283301</v>
      </c>
      <c r="L113" s="1134">
        <f>L110*L97</f>
        <v>2082.6014180521552</v>
      </c>
      <c r="M113" s="1134">
        <f>M110*M97</f>
        <v>2072.1781401621201</v>
      </c>
      <c r="N113" s="1135">
        <f>N110*N97</f>
        <v>2024.4510175658691</v>
      </c>
      <c r="O113" s="1135">
        <f t="shared" ref="O113:W113" si="40">O110*O97</f>
        <v>2055.8823301525317</v>
      </c>
      <c r="P113" s="1135">
        <f t="shared" si="40"/>
        <v>2283.0425005767993</v>
      </c>
      <c r="Q113" s="1135">
        <f t="shared" si="40"/>
        <v>2756.0173431794701</v>
      </c>
      <c r="R113" s="1135">
        <f t="shared" si="40"/>
        <v>3080.0003562697716</v>
      </c>
      <c r="S113" s="1135">
        <f t="shared" si="40"/>
        <v>3452.6008569363817</v>
      </c>
      <c r="T113" s="1135">
        <f t="shared" si="40"/>
        <v>3810.4689968943248</v>
      </c>
      <c r="U113" s="1135">
        <f t="shared" si="40"/>
        <v>3903.4442888258814</v>
      </c>
      <c r="V113" s="1135">
        <f t="shared" si="40"/>
        <v>3399.8890525428978</v>
      </c>
      <c r="W113" s="1135">
        <f t="shared" si="40"/>
        <v>3388.2023864143166</v>
      </c>
      <c r="X113" s="1035"/>
      <c r="Y113" s="1035"/>
      <c r="Z113" s="1035"/>
      <c r="AA113" s="1035"/>
      <c r="AB113" s="1035"/>
      <c r="AC113" s="1036"/>
      <c r="AD113" s="1036"/>
      <c r="AE113" s="1036"/>
      <c r="AF113" s="1036"/>
      <c r="AG113" s="1036"/>
      <c r="AH113" s="1036"/>
      <c r="AI113" s="1036"/>
      <c r="AJ113" s="1036"/>
      <c r="AK113" s="1036"/>
      <c r="AL113" s="1036"/>
      <c r="AM113" s="1036"/>
      <c r="AN113" s="1036"/>
      <c r="AO113" s="1036"/>
      <c r="AP113" s="1036"/>
      <c r="AQ113" s="1036"/>
      <c r="AR113" s="1036"/>
      <c r="AS113" s="1036"/>
      <c r="AT113" s="1036"/>
      <c r="AU113" s="1036"/>
      <c r="AV113" s="1036"/>
      <c r="AW113" s="1036"/>
      <c r="AX113" s="1036"/>
    </row>
    <row r="114" spans="2:50" s="1098" customFormat="1" ht="11.25" x14ac:dyDescent="0.2">
      <c r="B114" s="1093" t="s">
        <v>220</v>
      </c>
      <c r="C114" s="1094"/>
      <c r="D114" s="1094"/>
      <c r="E114" s="1094"/>
      <c r="F114" s="1094"/>
      <c r="G114" s="1094"/>
      <c r="H114" s="1094"/>
      <c r="I114" s="1095">
        <f t="shared" ref="I114:N114" si="41">I113/4</f>
        <v>0</v>
      </c>
      <c r="J114" s="1095">
        <f t="shared" si="41"/>
        <v>537.18012956008829</v>
      </c>
      <c r="K114" s="1095">
        <f t="shared" si="41"/>
        <v>526.24165882082525</v>
      </c>
      <c r="L114" s="1095">
        <f t="shared" si="41"/>
        <v>520.65035451303879</v>
      </c>
      <c r="M114" s="1095">
        <f t="shared" si="41"/>
        <v>518.04453504053004</v>
      </c>
      <c r="N114" s="1096">
        <f t="shared" si="41"/>
        <v>506.11275439146726</v>
      </c>
      <c r="O114" s="1096">
        <f t="shared" ref="O114:W114" si="42">O113/4</f>
        <v>513.97058253813293</v>
      </c>
      <c r="P114" s="1096">
        <f t="shared" si="42"/>
        <v>570.76062514419982</v>
      </c>
      <c r="Q114" s="1096">
        <f t="shared" si="42"/>
        <v>689.00433579486753</v>
      </c>
      <c r="R114" s="1096">
        <f t="shared" si="42"/>
        <v>770.0000890674429</v>
      </c>
      <c r="S114" s="1096">
        <f t="shared" si="42"/>
        <v>863.15021423409542</v>
      </c>
      <c r="T114" s="1096">
        <f t="shared" si="42"/>
        <v>952.61724922358121</v>
      </c>
      <c r="U114" s="1096">
        <f t="shared" si="42"/>
        <v>975.86107220647034</v>
      </c>
      <c r="V114" s="1096">
        <f t="shared" si="42"/>
        <v>849.97226313572446</v>
      </c>
      <c r="W114" s="1096">
        <f t="shared" si="42"/>
        <v>847.05059660357915</v>
      </c>
      <c r="X114" s="1097"/>
      <c r="Y114" s="1097"/>
      <c r="Z114" s="1097"/>
      <c r="AA114" s="1097"/>
      <c r="AB114" s="1097"/>
      <c r="AC114" s="1049"/>
      <c r="AD114" s="1049"/>
      <c r="AE114" s="1049"/>
      <c r="AF114" s="1049"/>
      <c r="AG114" s="1049"/>
      <c r="AH114" s="1049"/>
      <c r="AI114" s="1049"/>
      <c r="AJ114" s="1049"/>
      <c r="AK114" s="1049"/>
      <c r="AL114" s="1049"/>
      <c r="AM114" s="1049"/>
      <c r="AN114" s="1049"/>
      <c r="AO114" s="1049"/>
      <c r="AP114" s="1049"/>
      <c r="AQ114" s="1049"/>
      <c r="AR114" s="1049"/>
      <c r="AS114" s="1049"/>
      <c r="AT114" s="1049"/>
      <c r="AU114" s="1049"/>
      <c r="AV114" s="1049"/>
      <c r="AW114" s="1049"/>
      <c r="AX114" s="1049"/>
    </row>
    <row r="115" spans="2:50" s="1031" customFormat="1" ht="11.25" x14ac:dyDescent="0.2">
      <c r="B115" s="1041"/>
      <c r="C115" s="920"/>
      <c r="D115" s="920"/>
      <c r="E115" s="920"/>
      <c r="F115" s="920"/>
      <c r="G115" s="920"/>
      <c r="H115" s="920"/>
      <c r="I115" s="1056"/>
      <c r="J115" s="1056"/>
      <c r="K115" s="1056"/>
      <c r="L115" s="1056"/>
      <c r="M115" s="1056"/>
      <c r="N115" s="1099"/>
      <c r="O115" s="1071"/>
      <c r="P115" s="1071"/>
      <c r="Q115" s="1071"/>
      <c r="R115" s="1071"/>
      <c r="S115" s="1071"/>
      <c r="T115" s="1071"/>
      <c r="U115" s="1071"/>
      <c r="V115" s="1071"/>
      <c r="W115" s="1071"/>
      <c r="X115" s="1035"/>
      <c r="Y115" s="1035"/>
      <c r="Z115" s="1035"/>
      <c r="AA115" s="1035"/>
      <c r="AB115" s="1035"/>
      <c r="AC115" s="1036"/>
      <c r="AD115" s="1036"/>
      <c r="AE115" s="1036"/>
      <c r="AF115" s="1036"/>
      <c r="AG115" s="1036"/>
      <c r="AH115" s="1036"/>
      <c r="AI115" s="1036"/>
      <c r="AJ115" s="1036"/>
      <c r="AK115" s="1036"/>
      <c r="AL115" s="1036"/>
      <c r="AM115" s="1036"/>
      <c r="AN115" s="1036"/>
      <c r="AO115" s="1036"/>
      <c r="AP115" s="1036"/>
      <c r="AQ115" s="1036"/>
      <c r="AR115" s="1036"/>
      <c r="AS115" s="1036"/>
      <c r="AT115" s="1036"/>
      <c r="AU115" s="1036"/>
    </row>
    <row r="116" spans="2:50" s="1031" customFormat="1" ht="11.25" x14ac:dyDescent="0.2">
      <c r="B116" s="1100" t="s">
        <v>221</v>
      </c>
      <c r="C116" s="920"/>
      <c r="D116" s="920"/>
      <c r="E116" s="920"/>
      <c r="F116" s="920"/>
      <c r="G116" s="920"/>
      <c r="H116" s="920"/>
      <c r="I116" s="1101" t="s">
        <v>222</v>
      </c>
      <c r="J116" s="1101" t="s">
        <v>223</v>
      </c>
      <c r="K116" s="1101" t="s">
        <v>224</v>
      </c>
      <c r="L116" s="1101" t="s">
        <v>225</v>
      </c>
      <c r="M116" s="1101" t="s">
        <v>226</v>
      </c>
      <c r="N116" s="1102" t="s">
        <v>281</v>
      </c>
      <c r="O116" s="1102" t="s">
        <v>282</v>
      </c>
      <c r="P116" s="1102" t="s">
        <v>283</v>
      </c>
      <c r="Q116" s="1102" t="s">
        <v>284</v>
      </c>
      <c r="R116" s="1102" t="s">
        <v>285</v>
      </c>
      <c r="S116" s="1102" t="s">
        <v>286</v>
      </c>
      <c r="T116" s="1102" t="s">
        <v>287</v>
      </c>
      <c r="U116" s="1102" t="s">
        <v>288</v>
      </c>
      <c r="V116" s="1102" t="s">
        <v>289</v>
      </c>
      <c r="W116" s="1102" t="s">
        <v>507</v>
      </c>
      <c r="X116" s="1035"/>
      <c r="Y116" s="1035"/>
      <c r="Z116" s="1035"/>
      <c r="AA116" s="1035"/>
      <c r="AB116" s="1035"/>
      <c r="AC116" s="1036"/>
      <c r="AD116" s="1036"/>
      <c r="AE116" s="1036"/>
      <c r="AF116" s="1036"/>
      <c r="AG116" s="1036"/>
      <c r="AH116" s="1036"/>
      <c r="AI116" s="1036"/>
      <c r="AJ116" s="1036"/>
      <c r="AK116" s="1036"/>
      <c r="AL116" s="1036"/>
      <c r="AM116" s="1036"/>
      <c r="AN116" s="1036"/>
      <c r="AO116" s="1036"/>
      <c r="AP116" s="1036"/>
      <c r="AQ116" s="1036"/>
      <c r="AR116" s="1036"/>
      <c r="AS116" s="1036"/>
      <c r="AT116" s="1036"/>
      <c r="AU116" s="1036"/>
    </row>
    <row r="117" spans="2:50" s="1031" customFormat="1" ht="11.25" x14ac:dyDescent="0.2">
      <c r="B117" s="1103" t="s">
        <v>518</v>
      </c>
      <c r="C117" s="920"/>
      <c r="D117" s="920"/>
      <c r="E117" s="920"/>
      <c r="F117" s="920"/>
      <c r="G117" s="920"/>
      <c r="H117" s="920"/>
      <c r="I117" s="1133">
        <f>J113/4</f>
        <v>537.18012956008829</v>
      </c>
      <c r="J117" s="1134">
        <f>J113*0.75+K113/4</f>
        <v>2137.7820475010903</v>
      </c>
      <c r="K117" s="1134">
        <f t="shared" ref="K117:W117" si="43">K113*0.75+L113/4</f>
        <v>2099.3753309755148</v>
      </c>
      <c r="L117" s="1134">
        <f t="shared" si="43"/>
        <v>2079.9955985796464</v>
      </c>
      <c r="M117" s="1134">
        <f t="shared" si="43"/>
        <v>2060.2463595130575</v>
      </c>
      <c r="N117" s="1135">
        <f t="shared" si="43"/>
        <v>2032.3088457125348</v>
      </c>
      <c r="O117" s="1135">
        <f t="shared" si="43"/>
        <v>2112.6723727585986</v>
      </c>
      <c r="P117" s="1135">
        <f t="shared" si="43"/>
        <v>2401.286211227467</v>
      </c>
      <c r="Q117" s="1135">
        <f t="shared" si="43"/>
        <v>2837.0130964520454</v>
      </c>
      <c r="R117" s="1135">
        <f t="shared" si="43"/>
        <v>3173.1504814364243</v>
      </c>
      <c r="S117" s="1135">
        <f t="shared" si="43"/>
        <v>3542.0678919258671</v>
      </c>
      <c r="T117" s="1135">
        <f t="shared" si="43"/>
        <v>3833.7128198772143</v>
      </c>
      <c r="U117" s="1135">
        <f t="shared" si="43"/>
        <v>3777.5554797551354</v>
      </c>
      <c r="V117" s="1135">
        <f t="shared" si="43"/>
        <v>3396.9673860107523</v>
      </c>
      <c r="W117" s="1135">
        <f t="shared" si="43"/>
        <v>2541.1517898107377</v>
      </c>
      <c r="X117" s="1035"/>
      <c r="Y117" s="1035"/>
      <c r="Z117" s="1035"/>
      <c r="AA117" s="1035"/>
      <c r="AB117" s="1035"/>
      <c r="AC117" s="1036"/>
      <c r="AD117" s="1036"/>
      <c r="AE117" s="1036"/>
      <c r="AF117" s="1036"/>
      <c r="AG117" s="1036"/>
      <c r="AH117" s="1036"/>
      <c r="AI117" s="1036"/>
      <c r="AJ117" s="1036"/>
      <c r="AK117" s="1036"/>
      <c r="AL117" s="1036"/>
      <c r="AM117" s="1036"/>
      <c r="AN117" s="1036"/>
      <c r="AO117" s="1036"/>
      <c r="AP117" s="1036"/>
      <c r="AQ117" s="1036"/>
      <c r="AR117" s="1036"/>
      <c r="AS117" s="1036"/>
      <c r="AT117" s="1036"/>
      <c r="AU117" s="1036"/>
    </row>
    <row r="118" spans="2:50" s="1031" customFormat="1" ht="12" thickBot="1" x14ac:dyDescent="0.25">
      <c r="B118" s="1104" t="s">
        <v>228</v>
      </c>
      <c r="C118" s="1105"/>
      <c r="D118" s="1105"/>
      <c r="E118" s="1105"/>
      <c r="F118" s="1105"/>
      <c r="G118" s="1105"/>
      <c r="H118" s="1105"/>
      <c r="I118" s="1106"/>
      <c r="J118" s="1106">
        <f>J117*0.85</f>
        <v>1817.1147403759267</v>
      </c>
      <c r="K118" s="1106">
        <f>K117*0.85</f>
        <v>1784.4690313291876</v>
      </c>
      <c r="L118" s="1106">
        <f>L117*0.85</f>
        <v>1767.9962587926993</v>
      </c>
      <c r="M118" s="1106">
        <f>M117*0.85</f>
        <v>1751.2094055860989</v>
      </c>
      <c r="N118" s="1107">
        <f t="shared" ref="N118:W118" si="44">N117*0.85</f>
        <v>1727.4625188556545</v>
      </c>
      <c r="O118" s="1107">
        <f t="shared" si="44"/>
        <v>1795.7715168448087</v>
      </c>
      <c r="P118" s="1107">
        <f t="shared" si="44"/>
        <v>2041.0932795433469</v>
      </c>
      <c r="Q118" s="1107">
        <f t="shared" si="44"/>
        <v>2411.4611319842384</v>
      </c>
      <c r="R118" s="1107">
        <f t="shared" si="44"/>
        <v>2697.1779092209608</v>
      </c>
      <c r="S118" s="1107">
        <f t="shared" si="44"/>
        <v>3010.7577081369868</v>
      </c>
      <c r="T118" s="1107">
        <f t="shared" si="44"/>
        <v>3258.6558968956319</v>
      </c>
      <c r="U118" s="1107">
        <f t="shared" si="44"/>
        <v>3210.9221577918652</v>
      </c>
      <c r="V118" s="1107">
        <f t="shared" si="44"/>
        <v>2887.4222781091394</v>
      </c>
      <c r="W118" s="1107">
        <f t="shared" si="44"/>
        <v>2159.979021339127</v>
      </c>
      <c r="X118" s="1035"/>
      <c r="Y118" s="1035"/>
      <c r="Z118" s="1035"/>
      <c r="AA118" s="1035"/>
      <c r="AB118" s="1035"/>
      <c r="AC118" s="1036"/>
      <c r="AD118" s="1036"/>
      <c r="AE118" s="1036"/>
      <c r="AF118" s="1036"/>
      <c r="AG118" s="1036"/>
      <c r="AH118" s="1036"/>
      <c r="AI118" s="1036"/>
      <c r="AJ118" s="1036"/>
      <c r="AK118" s="1036"/>
      <c r="AL118" s="1036"/>
      <c r="AM118" s="1036"/>
      <c r="AN118" s="1036"/>
      <c r="AO118" s="1036"/>
      <c r="AP118" s="1036"/>
      <c r="AQ118" s="1036"/>
      <c r="AR118" s="1036"/>
      <c r="AS118" s="1036"/>
      <c r="AT118" s="1036"/>
      <c r="AU118" s="1036"/>
    </row>
    <row r="119" spans="2:50" s="1036" customFormat="1" ht="12" thickBot="1" x14ac:dyDescent="0.25">
      <c r="B119" s="1152" t="s">
        <v>519</v>
      </c>
      <c r="C119" s="1108"/>
      <c r="D119" s="1108"/>
      <c r="E119" s="1108"/>
      <c r="F119" s="1108"/>
      <c r="G119" s="1108"/>
      <c r="H119" s="1108"/>
      <c r="I119" s="1109"/>
      <c r="J119" s="1146">
        <f>J113/4+J117</f>
        <v>2674.9621770611784</v>
      </c>
      <c r="K119" s="1109"/>
      <c r="L119" s="1109"/>
      <c r="M119" s="1109"/>
      <c r="N119" s="1110"/>
      <c r="O119" s="1110"/>
      <c r="P119" s="1110"/>
      <c r="Q119" s="1110"/>
      <c r="R119" s="1110"/>
      <c r="S119" s="1110"/>
      <c r="T119" s="1110"/>
      <c r="U119" s="1110"/>
      <c r="V119" s="1110"/>
      <c r="W119" s="1110"/>
      <c r="X119" s="1035"/>
      <c r="Y119" s="1035"/>
      <c r="Z119" s="1035"/>
      <c r="AA119" s="1035"/>
      <c r="AB119" s="1035"/>
      <c r="AD119" s="1036" t="s">
        <v>229</v>
      </c>
      <c r="AW119" s="1031"/>
    </row>
    <row r="120" spans="2:50" s="1036" customFormat="1" ht="11.25" x14ac:dyDescent="0.2">
      <c r="B120" s="1111" t="s">
        <v>509</v>
      </c>
      <c r="C120" s="1112"/>
      <c r="D120" s="1112"/>
      <c r="E120" s="1112"/>
      <c r="F120" s="1112"/>
      <c r="G120" s="1112"/>
      <c r="H120" s="1112"/>
      <c r="I120" s="1130"/>
      <c r="J120" s="1131">
        <f>J103*J97</f>
        <v>603.06167696930936</v>
      </c>
      <c r="K120" s="1131">
        <f>K103*K97</f>
        <v>607.62619155968048</v>
      </c>
      <c r="L120" s="1131">
        <f>L103*L97</f>
        <v>624.73271588869954</v>
      </c>
      <c r="M120" s="1131">
        <f>M103*M97</f>
        <v>625.03464877976603</v>
      </c>
      <c r="N120" s="1132">
        <f t="shared" ref="N120:W120" si="45">N103*N97</f>
        <v>738.64915256820461</v>
      </c>
      <c r="O120" s="1132">
        <f t="shared" si="45"/>
        <v>799.2258641922499</v>
      </c>
      <c r="P120" s="1132">
        <f t="shared" si="45"/>
        <v>948.41277060928519</v>
      </c>
      <c r="Q120" s="1132">
        <f t="shared" si="45"/>
        <v>1227.3951212902921</v>
      </c>
      <c r="R120" s="1132">
        <f t="shared" si="45"/>
        <v>1485.7026512350046</v>
      </c>
      <c r="S120" s="1132">
        <f t="shared" si="45"/>
        <v>1741.9148265080955</v>
      </c>
      <c r="T120" s="1132">
        <f t="shared" si="45"/>
        <v>2058.9590849039487</v>
      </c>
      <c r="U120" s="1132">
        <f t="shared" si="45"/>
        <v>2240.2579021563292</v>
      </c>
      <c r="V120" s="1132">
        <f t="shared" si="45"/>
        <v>2422.5006459517472</v>
      </c>
      <c r="W120" s="1132">
        <f t="shared" si="45"/>
        <v>2611.9682153018798</v>
      </c>
      <c r="X120" s="1113"/>
      <c r="Y120" s="1113"/>
      <c r="Z120" s="1113"/>
      <c r="AA120" s="1113"/>
      <c r="AB120" s="1113"/>
      <c r="AC120" s="1113"/>
      <c r="AD120" s="1114"/>
      <c r="AE120" s="1115"/>
      <c r="AF120" s="1115"/>
      <c r="AG120" s="1115"/>
      <c r="AH120" s="1115"/>
      <c r="AI120" s="1115"/>
    </row>
    <row r="121" spans="2:50" s="1049" customFormat="1" ht="11.25" x14ac:dyDescent="0.2">
      <c r="B121" s="1093" t="s">
        <v>232</v>
      </c>
      <c r="C121" s="1094"/>
      <c r="D121" s="1094"/>
      <c r="E121" s="1094"/>
      <c r="F121" s="1094"/>
      <c r="G121" s="1094"/>
      <c r="H121" s="1094"/>
      <c r="I121" s="1147"/>
      <c r="J121" s="1148">
        <f t="shared" ref="J121:W121" si="46">J120/4</f>
        <v>150.76541924232734</v>
      </c>
      <c r="K121" s="1148">
        <f t="shared" si="46"/>
        <v>151.90654788992012</v>
      </c>
      <c r="L121" s="1148">
        <f t="shared" si="46"/>
        <v>156.18317897217489</v>
      </c>
      <c r="M121" s="1148">
        <f t="shared" si="46"/>
        <v>156.25866219494151</v>
      </c>
      <c r="N121" s="1149">
        <f t="shared" si="46"/>
        <v>184.66228814205115</v>
      </c>
      <c r="O121" s="1149">
        <f t="shared" si="46"/>
        <v>199.80646604806248</v>
      </c>
      <c r="P121" s="1149">
        <f t="shared" si="46"/>
        <v>237.1031926523213</v>
      </c>
      <c r="Q121" s="1149">
        <f t="shared" si="46"/>
        <v>306.84878032257302</v>
      </c>
      <c r="R121" s="1149">
        <f t="shared" si="46"/>
        <v>371.42566280875116</v>
      </c>
      <c r="S121" s="1149">
        <f t="shared" si="46"/>
        <v>435.47870662702388</v>
      </c>
      <c r="T121" s="1149">
        <f t="shared" si="46"/>
        <v>514.73977122598717</v>
      </c>
      <c r="U121" s="1149">
        <f t="shared" si="46"/>
        <v>560.06447553908231</v>
      </c>
      <c r="V121" s="1149">
        <f t="shared" si="46"/>
        <v>605.62516148793679</v>
      </c>
      <c r="W121" s="1149">
        <f t="shared" si="46"/>
        <v>652.99205382546995</v>
      </c>
      <c r="X121" s="1150"/>
      <c r="Y121" s="1150"/>
      <c r="Z121" s="1150"/>
      <c r="AA121" s="1150"/>
      <c r="AB121" s="1150"/>
      <c r="AC121" s="1150"/>
      <c r="AD121" s="1151"/>
    </row>
    <row r="122" spans="2:50" s="1036" customFormat="1" ht="11.25" x14ac:dyDescent="0.2">
      <c r="B122" s="1041"/>
      <c r="C122" s="920"/>
      <c r="D122" s="920"/>
      <c r="E122" s="920"/>
      <c r="F122" s="920"/>
      <c r="G122" s="920"/>
      <c r="H122" s="920"/>
      <c r="I122" s="1116">
        <f>I121/4</f>
        <v>0</v>
      </c>
      <c r="J122" s="1117"/>
      <c r="K122" s="1117"/>
      <c r="L122" s="1117"/>
      <c r="M122" s="1117"/>
      <c r="N122" s="1118"/>
      <c r="O122" s="1118"/>
      <c r="P122" s="1118"/>
      <c r="Q122" s="1118"/>
      <c r="R122" s="1118"/>
      <c r="S122" s="1118"/>
      <c r="T122" s="1118"/>
      <c r="U122" s="1118"/>
      <c r="V122" s="1118"/>
      <c r="W122" s="1118"/>
      <c r="X122" s="1113"/>
      <c r="Y122" s="1113"/>
      <c r="Z122" s="1113"/>
      <c r="AA122" s="1113"/>
      <c r="AB122" s="1113"/>
      <c r="AC122" s="1113"/>
      <c r="AD122" s="1114"/>
      <c r="AE122" s="1115"/>
      <c r="AF122" s="1115"/>
      <c r="AG122" s="1115"/>
      <c r="AH122" s="1115"/>
      <c r="AI122" s="1115"/>
    </row>
    <row r="123" spans="2:50" s="1124" customFormat="1" ht="11.25" x14ac:dyDescent="0.2">
      <c r="B123" s="1042" t="s">
        <v>221</v>
      </c>
      <c r="C123" s="953"/>
      <c r="D123" s="953"/>
      <c r="E123" s="953"/>
      <c r="F123" s="953"/>
      <c r="G123" s="953"/>
      <c r="H123" s="953"/>
      <c r="I123" s="1119" t="s">
        <v>222</v>
      </c>
      <c r="J123" s="1119" t="s">
        <v>223</v>
      </c>
      <c r="K123" s="1119" t="s">
        <v>224</v>
      </c>
      <c r="L123" s="1119" t="s">
        <v>225</v>
      </c>
      <c r="M123" s="1119" t="s">
        <v>226</v>
      </c>
      <c r="N123" s="1120" t="s">
        <v>281</v>
      </c>
      <c r="O123" s="1120" t="s">
        <v>282</v>
      </c>
      <c r="P123" s="1120" t="s">
        <v>283</v>
      </c>
      <c r="Q123" s="1120" t="s">
        <v>284</v>
      </c>
      <c r="R123" s="1120" t="s">
        <v>285</v>
      </c>
      <c r="S123" s="1120" t="s">
        <v>286</v>
      </c>
      <c r="T123" s="1120" t="s">
        <v>287</v>
      </c>
      <c r="U123" s="1120" t="s">
        <v>288</v>
      </c>
      <c r="V123" s="1120" t="s">
        <v>289</v>
      </c>
      <c r="W123" s="1120" t="s">
        <v>507</v>
      </c>
      <c r="X123" s="1121"/>
      <c r="Y123" s="1121"/>
      <c r="Z123" s="1121"/>
      <c r="AA123" s="1121"/>
      <c r="AB123" s="1121"/>
      <c r="AC123" s="1121"/>
      <c r="AD123" s="1122"/>
      <c r="AE123" s="1123"/>
      <c r="AF123" s="1123"/>
      <c r="AG123" s="1123"/>
      <c r="AH123" s="1123"/>
      <c r="AI123" s="1123"/>
    </row>
    <row r="124" spans="2:50" s="1036" customFormat="1" ht="12" thickBot="1" x14ac:dyDescent="0.25">
      <c r="B124" s="1125" t="s">
        <v>227</v>
      </c>
      <c r="C124" s="1126"/>
      <c r="D124" s="1126"/>
      <c r="E124" s="1126"/>
      <c r="F124" s="1126"/>
      <c r="G124" s="1126"/>
      <c r="H124" s="1126"/>
      <c r="I124" s="1128">
        <f>(I121*3)+(J121*1)</f>
        <v>150.76541924232734</v>
      </c>
      <c r="J124" s="1128">
        <f>(J121*3)+(K121*1)</f>
        <v>604.2028056169022</v>
      </c>
      <c r="K124" s="1128">
        <f>(K121*3)+(L121*1)</f>
        <v>611.90282264193524</v>
      </c>
      <c r="L124" s="1128">
        <f>(L121*3)+(M121*1)</f>
        <v>624.80819911146614</v>
      </c>
      <c r="M124" s="1128">
        <f>(M121*3)+(N121*1)</f>
        <v>653.43827472687565</v>
      </c>
      <c r="N124" s="1129">
        <f t="shared" ref="N124:W124" si="47">(N121*3)+(O121*1)</f>
        <v>753.79333047421596</v>
      </c>
      <c r="O124" s="1129">
        <f t="shared" si="47"/>
        <v>836.52259079650867</v>
      </c>
      <c r="P124" s="1129">
        <f t="shared" si="47"/>
        <v>1018.158358279537</v>
      </c>
      <c r="Q124" s="1129">
        <f t="shared" si="47"/>
        <v>1291.9720037764703</v>
      </c>
      <c r="R124" s="1129">
        <f t="shared" si="47"/>
        <v>1549.7556950532773</v>
      </c>
      <c r="S124" s="1129">
        <f t="shared" si="47"/>
        <v>1821.1758911070588</v>
      </c>
      <c r="T124" s="1129">
        <f t="shared" si="47"/>
        <v>2104.2837892170437</v>
      </c>
      <c r="U124" s="1129">
        <f t="shared" si="47"/>
        <v>2285.8185881051841</v>
      </c>
      <c r="V124" s="1129">
        <f t="shared" si="47"/>
        <v>2469.8675382892802</v>
      </c>
      <c r="W124" s="1129">
        <f t="shared" si="47"/>
        <v>1958.9761614764097</v>
      </c>
      <c r="X124" s="1127"/>
      <c r="Y124" s="1127"/>
      <c r="Z124" s="1127"/>
      <c r="AA124" s="1113"/>
      <c r="AB124" s="1113"/>
      <c r="AC124" s="1113"/>
      <c r="AD124" s="1113"/>
      <c r="AE124" s="1113"/>
      <c r="AF124" s="1114"/>
      <c r="AG124" s="1115"/>
      <c r="AH124" s="1115"/>
      <c r="AI124" s="1115"/>
      <c r="AJ124" s="1115"/>
      <c r="AK124" s="1115"/>
    </row>
    <row r="125" spans="2:50" s="371" customFormat="1" ht="12" x14ac:dyDescent="0.2">
      <c r="B125" s="1153" t="s">
        <v>520</v>
      </c>
      <c r="C125" s="469"/>
      <c r="D125" s="469"/>
      <c r="E125" s="469"/>
      <c r="F125" s="469"/>
      <c r="G125" s="469"/>
      <c r="H125" s="461"/>
      <c r="I125" s="381"/>
      <c r="J125" s="512">
        <f>J120/4+J124</f>
        <v>754.96822485922951</v>
      </c>
      <c r="K125" s="457"/>
      <c r="L125" s="458"/>
      <c r="M125" s="458"/>
      <c r="N125" s="458"/>
      <c r="O125" s="458"/>
      <c r="P125" s="458"/>
      <c r="Q125" s="457"/>
      <c r="R125" s="457"/>
      <c r="S125" s="457"/>
      <c r="T125" s="460"/>
      <c r="U125" s="460"/>
      <c r="V125" s="460"/>
      <c r="W125" s="460"/>
      <c r="X125" s="460"/>
      <c r="Y125" s="460"/>
      <c r="Z125" s="460"/>
      <c r="AA125" s="460"/>
      <c r="AB125" s="460"/>
      <c r="AC125" s="460"/>
      <c r="AD125" s="460"/>
      <c r="AE125" s="460"/>
    </row>
    <row r="126" spans="2:50" s="371" customFormat="1" ht="12" x14ac:dyDescent="0.2">
      <c r="B126" s="477"/>
      <c r="C126" s="478"/>
      <c r="D126" s="478"/>
      <c r="E126" s="478"/>
      <c r="F126" s="478"/>
      <c r="G126" s="478"/>
      <c r="H126" s="477"/>
      <c r="I126" s="381"/>
      <c r="K126" s="381"/>
      <c r="L126" s="381"/>
      <c r="M126" s="381"/>
      <c r="N126" s="381"/>
      <c r="O126" s="381"/>
      <c r="P126" s="381"/>
      <c r="Q126" s="381"/>
      <c r="R126" s="381"/>
      <c r="S126" s="381"/>
    </row>
    <row r="127" spans="2:50" s="371" customFormat="1" ht="12" x14ac:dyDescent="0.2">
      <c r="B127" s="477"/>
      <c r="C127" s="478"/>
      <c r="D127" s="478"/>
      <c r="E127" s="478"/>
      <c r="F127" s="478"/>
      <c r="G127" s="478"/>
      <c r="H127" s="477"/>
      <c r="I127" s="381"/>
      <c r="K127" s="381"/>
      <c r="L127" s="381"/>
      <c r="M127" s="381"/>
      <c r="N127" s="381"/>
      <c r="O127" s="381"/>
      <c r="P127" s="381"/>
      <c r="Q127" s="381"/>
      <c r="R127" s="381"/>
      <c r="S127" s="381"/>
    </row>
    <row r="128" spans="2:50" s="371" customFormat="1" ht="12" x14ac:dyDescent="0.2">
      <c r="B128" s="477"/>
      <c r="C128" s="478"/>
      <c r="D128" s="478"/>
      <c r="E128" s="478"/>
      <c r="F128" s="478"/>
      <c r="G128" s="478"/>
      <c r="H128" s="477"/>
      <c r="I128" s="381"/>
      <c r="K128" s="381"/>
      <c r="L128" s="381"/>
      <c r="M128" s="381"/>
      <c r="N128" s="381"/>
      <c r="O128" s="381"/>
      <c r="P128" s="381"/>
      <c r="Q128" s="381"/>
      <c r="R128" s="381"/>
      <c r="S128" s="381"/>
    </row>
    <row r="129" spans="2:15" s="371" customFormat="1" ht="12" x14ac:dyDescent="0.2">
      <c r="B129" s="477"/>
      <c r="C129" s="478"/>
      <c r="D129" s="478"/>
      <c r="E129" s="478"/>
      <c r="F129" s="478"/>
      <c r="G129" s="478"/>
      <c r="H129" s="477"/>
      <c r="I129" s="381"/>
      <c r="K129" s="381"/>
      <c r="L129" s="381"/>
      <c r="M129" s="381"/>
      <c r="N129" s="381"/>
      <c r="O129" s="381"/>
    </row>
    <row r="130" spans="2:15" s="371" customFormat="1" ht="12" x14ac:dyDescent="0.2">
      <c r="B130" s="477"/>
      <c r="C130" s="478"/>
      <c r="D130" s="478"/>
      <c r="E130" s="478"/>
      <c r="F130" s="478"/>
      <c r="G130" s="478"/>
      <c r="H130" s="477"/>
      <c r="I130" s="381"/>
      <c r="K130" s="381"/>
      <c r="L130" s="381"/>
      <c r="M130" s="381"/>
      <c r="N130" s="381"/>
      <c r="O130" s="381"/>
    </row>
    <row r="131" spans="2:15" s="371" customFormat="1" ht="12" x14ac:dyDescent="0.2">
      <c r="B131" s="477"/>
      <c r="C131" s="478"/>
      <c r="D131" s="478"/>
      <c r="E131" s="478"/>
      <c r="F131" s="478"/>
      <c r="G131" s="478"/>
      <c r="H131" s="477"/>
      <c r="I131" s="381"/>
      <c r="K131" s="381"/>
      <c r="L131" s="381"/>
      <c r="M131" s="381"/>
      <c r="N131" s="381"/>
      <c r="O131" s="381"/>
    </row>
    <row r="132" spans="2:15" s="371" customFormat="1" ht="12" x14ac:dyDescent="0.2">
      <c r="B132" s="477"/>
      <c r="C132" s="478"/>
      <c r="D132" s="478"/>
      <c r="E132" s="478"/>
      <c r="F132" s="478"/>
      <c r="G132" s="478"/>
      <c r="H132" s="477"/>
      <c r="I132" s="381"/>
      <c r="K132" s="381"/>
      <c r="L132" s="381"/>
      <c r="M132" s="381"/>
      <c r="N132" s="381"/>
      <c r="O132" s="381"/>
    </row>
    <row r="133" spans="2:15" s="371" customFormat="1" ht="12" x14ac:dyDescent="0.2">
      <c r="B133" s="477"/>
      <c r="C133" s="478"/>
      <c r="D133" s="478"/>
      <c r="E133" s="478"/>
      <c r="F133" s="478"/>
      <c r="G133" s="478"/>
      <c r="H133" s="477"/>
      <c r="I133" s="381"/>
      <c r="K133" s="381"/>
      <c r="L133" s="381"/>
      <c r="M133" s="381"/>
      <c r="N133" s="381"/>
      <c r="O133" s="381"/>
    </row>
    <row r="134" spans="2:15" s="371" customFormat="1" ht="12" x14ac:dyDescent="0.2">
      <c r="B134" s="477"/>
      <c r="C134" s="478"/>
      <c r="D134" s="478"/>
      <c r="E134" s="478"/>
      <c r="F134" s="478"/>
      <c r="G134" s="478"/>
      <c r="H134" s="477"/>
      <c r="I134" s="381"/>
      <c r="K134" s="381"/>
      <c r="L134" s="381"/>
      <c r="M134" s="381"/>
      <c r="N134" s="381"/>
      <c r="O134" s="381"/>
    </row>
    <row r="135" spans="2:15" s="371" customFormat="1" ht="12" x14ac:dyDescent="0.2">
      <c r="B135" s="477"/>
      <c r="C135" s="478"/>
      <c r="D135" s="478"/>
      <c r="E135" s="478"/>
      <c r="F135" s="478"/>
      <c r="G135" s="478"/>
      <c r="H135" s="477"/>
      <c r="I135" s="381"/>
      <c r="K135" s="381"/>
      <c r="L135" s="381"/>
      <c r="M135" s="381"/>
      <c r="N135" s="381"/>
      <c r="O135" s="381"/>
    </row>
    <row r="136" spans="2:15" s="371" customFormat="1" ht="12" x14ac:dyDescent="0.2">
      <c r="B136" s="477"/>
      <c r="C136" s="478"/>
      <c r="D136" s="478"/>
      <c r="E136" s="478"/>
      <c r="F136" s="478"/>
      <c r="G136" s="478"/>
      <c r="H136" s="477"/>
      <c r="I136" s="381"/>
      <c r="K136" s="381"/>
      <c r="L136" s="381"/>
      <c r="M136" s="381"/>
      <c r="N136" s="381"/>
      <c r="O136" s="381"/>
    </row>
    <row r="137" spans="2:15" s="371" customFormat="1" ht="12" x14ac:dyDescent="0.2">
      <c r="B137" s="477"/>
      <c r="C137" s="478"/>
      <c r="D137" s="478"/>
      <c r="E137" s="478"/>
      <c r="F137" s="478"/>
      <c r="G137" s="478"/>
      <c r="H137" s="477"/>
      <c r="I137" s="381"/>
      <c r="K137" s="381"/>
      <c r="L137" s="381"/>
      <c r="M137" s="381"/>
      <c r="N137" s="381"/>
      <c r="O137" s="381"/>
    </row>
    <row r="138" spans="2:15" s="371" customFormat="1" ht="12" x14ac:dyDescent="0.2">
      <c r="B138" s="477"/>
      <c r="C138" s="478"/>
      <c r="D138" s="478"/>
      <c r="E138" s="478"/>
      <c r="F138" s="478"/>
      <c r="G138" s="478"/>
      <c r="H138" s="477"/>
      <c r="I138" s="381"/>
      <c r="K138" s="381"/>
      <c r="L138" s="381"/>
      <c r="M138" s="381"/>
      <c r="N138" s="381"/>
      <c r="O138" s="381"/>
    </row>
    <row r="139" spans="2:15" s="371" customFormat="1" ht="12" x14ac:dyDescent="0.2">
      <c r="B139" s="477"/>
      <c r="C139" s="478"/>
      <c r="D139" s="478"/>
      <c r="E139" s="478"/>
      <c r="F139" s="478"/>
      <c r="G139" s="478"/>
      <c r="H139" s="477"/>
      <c r="I139" s="381"/>
      <c r="K139" s="381"/>
      <c r="L139" s="381"/>
      <c r="M139" s="381"/>
      <c r="N139" s="381"/>
      <c r="O139" s="381"/>
    </row>
    <row r="140" spans="2:15" s="371" customFormat="1" ht="12" x14ac:dyDescent="0.2">
      <c r="B140" s="477"/>
      <c r="C140" s="478"/>
      <c r="D140" s="478"/>
      <c r="E140" s="478"/>
      <c r="F140" s="478"/>
      <c r="G140" s="478"/>
      <c r="H140" s="477"/>
      <c r="I140" s="381"/>
      <c r="K140" s="381"/>
      <c r="L140" s="381"/>
      <c r="M140" s="381"/>
      <c r="N140" s="381"/>
      <c r="O140" s="381"/>
    </row>
    <row r="141" spans="2:15" s="371" customFormat="1" ht="12" x14ac:dyDescent="0.2">
      <c r="B141" s="477"/>
      <c r="C141" s="478"/>
      <c r="D141" s="478"/>
      <c r="E141" s="478"/>
      <c r="F141" s="478"/>
      <c r="G141" s="478"/>
      <c r="H141" s="477"/>
      <c r="I141" s="381"/>
      <c r="K141" s="381"/>
      <c r="L141" s="381"/>
      <c r="M141" s="381"/>
      <c r="N141" s="381"/>
      <c r="O141" s="381"/>
    </row>
    <row r="142" spans="2:15" s="371" customFormat="1" ht="12" x14ac:dyDescent="0.2">
      <c r="B142" s="477"/>
      <c r="C142" s="478"/>
      <c r="D142" s="478"/>
      <c r="E142" s="478"/>
      <c r="F142" s="478"/>
      <c r="G142" s="478"/>
      <c r="H142" s="477"/>
      <c r="I142" s="381"/>
      <c r="K142" s="381"/>
      <c r="L142" s="381"/>
      <c r="M142" s="381"/>
      <c r="N142" s="381"/>
      <c r="O142" s="381"/>
    </row>
    <row r="143" spans="2:15" s="371" customFormat="1" ht="12" x14ac:dyDescent="0.2">
      <c r="B143" s="477"/>
      <c r="C143" s="478"/>
      <c r="D143" s="478"/>
      <c r="E143" s="478"/>
      <c r="F143" s="478"/>
      <c r="G143" s="478"/>
      <c r="H143" s="477"/>
      <c r="I143" s="381"/>
      <c r="K143" s="381"/>
      <c r="L143" s="381"/>
      <c r="M143" s="381"/>
      <c r="N143" s="381"/>
      <c r="O143" s="381"/>
    </row>
    <row r="144" spans="2:15" s="371" customFormat="1" ht="12" x14ac:dyDescent="0.2">
      <c r="B144" s="477"/>
      <c r="C144" s="478"/>
      <c r="D144" s="478"/>
      <c r="E144" s="478"/>
      <c r="F144" s="478"/>
      <c r="G144" s="478"/>
      <c r="H144" s="477"/>
      <c r="I144" s="381"/>
      <c r="K144" s="381"/>
      <c r="L144" s="381"/>
      <c r="M144" s="381"/>
      <c r="N144" s="381"/>
      <c r="O144" s="381"/>
    </row>
    <row r="145" spans="2:15" s="371" customFormat="1" ht="12" x14ac:dyDescent="0.2">
      <c r="B145" s="477"/>
      <c r="C145" s="478"/>
      <c r="D145" s="478"/>
      <c r="E145" s="478"/>
      <c r="F145" s="478"/>
      <c r="G145" s="478"/>
      <c r="H145" s="477"/>
      <c r="I145" s="381"/>
      <c r="K145" s="381"/>
      <c r="L145" s="381"/>
      <c r="M145" s="381"/>
      <c r="N145" s="381"/>
      <c r="O145" s="381"/>
    </row>
    <row r="146" spans="2:15" s="371" customFormat="1" ht="12" x14ac:dyDescent="0.2">
      <c r="B146" s="477"/>
      <c r="C146" s="478"/>
      <c r="D146" s="478"/>
      <c r="E146" s="478"/>
      <c r="F146" s="478"/>
      <c r="G146" s="478"/>
      <c r="H146" s="477"/>
      <c r="I146" s="381"/>
      <c r="K146" s="381"/>
      <c r="L146" s="381"/>
      <c r="M146" s="381"/>
      <c r="N146" s="381"/>
      <c r="O146" s="381"/>
    </row>
    <row r="147" spans="2:15" s="371" customFormat="1" ht="12" x14ac:dyDescent="0.2">
      <c r="B147" s="477"/>
      <c r="C147" s="478"/>
      <c r="D147" s="478"/>
      <c r="E147" s="478"/>
      <c r="F147" s="478"/>
      <c r="G147" s="478"/>
      <c r="H147" s="477"/>
      <c r="I147" s="381"/>
      <c r="K147" s="381"/>
      <c r="L147" s="381"/>
      <c r="M147" s="381"/>
      <c r="N147" s="381"/>
      <c r="O147" s="381"/>
    </row>
    <row r="148" spans="2:15" s="371" customFormat="1" ht="12" x14ac:dyDescent="0.2">
      <c r="B148" s="477"/>
      <c r="C148" s="478"/>
      <c r="D148" s="478"/>
      <c r="E148" s="478"/>
      <c r="F148" s="478"/>
      <c r="G148" s="478"/>
      <c r="H148" s="477"/>
      <c r="I148" s="381"/>
      <c r="K148" s="381"/>
      <c r="L148" s="381"/>
      <c r="M148" s="381"/>
      <c r="N148" s="381"/>
      <c r="O148" s="381"/>
    </row>
    <row r="149" spans="2:15" s="371" customFormat="1" ht="12" x14ac:dyDescent="0.2">
      <c r="B149" s="477"/>
      <c r="C149" s="478"/>
      <c r="D149" s="478"/>
      <c r="E149" s="478"/>
      <c r="F149" s="478"/>
      <c r="G149" s="478"/>
      <c r="H149" s="477"/>
      <c r="I149" s="381"/>
      <c r="K149" s="381"/>
      <c r="L149" s="381"/>
      <c r="M149" s="381"/>
      <c r="N149" s="381"/>
      <c r="O149" s="381"/>
    </row>
    <row r="150" spans="2:15" s="371" customFormat="1" ht="12" x14ac:dyDescent="0.2">
      <c r="B150" s="477"/>
      <c r="C150" s="478"/>
      <c r="D150" s="478"/>
      <c r="E150" s="478"/>
      <c r="F150" s="478"/>
      <c r="G150" s="478"/>
      <c r="H150" s="477"/>
      <c r="I150" s="381"/>
      <c r="K150" s="381"/>
      <c r="L150" s="381"/>
      <c r="M150" s="381"/>
      <c r="N150" s="381"/>
      <c r="O150" s="381"/>
    </row>
    <row r="151" spans="2:15" s="371" customFormat="1" ht="12" x14ac:dyDescent="0.2">
      <c r="B151" s="477"/>
      <c r="C151" s="478"/>
      <c r="D151" s="478"/>
      <c r="E151" s="478"/>
      <c r="F151" s="478"/>
      <c r="G151" s="478"/>
      <c r="H151" s="477"/>
      <c r="I151" s="381"/>
      <c r="K151" s="381"/>
      <c r="L151" s="381"/>
      <c r="M151" s="381"/>
      <c r="N151" s="381"/>
      <c r="O151" s="381"/>
    </row>
    <row r="152" spans="2:15" s="371" customFormat="1" ht="12" x14ac:dyDescent="0.2">
      <c r="B152" s="477"/>
      <c r="C152" s="478"/>
      <c r="D152" s="478"/>
      <c r="E152" s="478"/>
      <c r="F152" s="478"/>
      <c r="G152" s="478"/>
      <c r="H152" s="477"/>
      <c r="I152" s="381"/>
      <c r="K152" s="381"/>
      <c r="L152" s="381"/>
      <c r="M152" s="381"/>
      <c r="N152" s="381"/>
      <c r="O152" s="381"/>
    </row>
    <row r="153" spans="2:15" s="371" customFormat="1" ht="12" x14ac:dyDescent="0.2">
      <c r="B153" s="477"/>
      <c r="C153" s="478"/>
      <c r="D153" s="478"/>
      <c r="E153" s="478"/>
      <c r="F153" s="478"/>
      <c r="G153" s="478"/>
      <c r="H153" s="477"/>
      <c r="I153" s="381"/>
      <c r="K153" s="381"/>
      <c r="L153" s="381"/>
      <c r="M153" s="381"/>
      <c r="N153" s="381"/>
      <c r="O153" s="381"/>
    </row>
    <row r="154" spans="2:15" s="371" customFormat="1" ht="12" x14ac:dyDescent="0.2">
      <c r="B154" s="477"/>
      <c r="C154" s="478"/>
      <c r="D154" s="478"/>
      <c r="E154" s="478"/>
      <c r="F154" s="478"/>
      <c r="G154" s="478"/>
      <c r="H154" s="477"/>
      <c r="I154" s="381"/>
      <c r="K154" s="381"/>
      <c r="L154" s="381"/>
      <c r="M154" s="381"/>
      <c r="N154" s="381"/>
      <c r="O154" s="381"/>
    </row>
    <row r="155" spans="2:15" s="371" customFormat="1" ht="12" x14ac:dyDescent="0.2">
      <c r="B155" s="477"/>
      <c r="C155" s="478"/>
      <c r="D155" s="478"/>
      <c r="E155" s="478"/>
      <c r="F155" s="478"/>
      <c r="G155" s="478"/>
      <c r="H155" s="477"/>
      <c r="I155" s="381"/>
      <c r="K155" s="381"/>
      <c r="L155" s="381"/>
      <c r="M155" s="381"/>
      <c r="N155" s="381"/>
      <c r="O155" s="381"/>
    </row>
    <row r="156" spans="2:15" s="371" customFormat="1" ht="12" x14ac:dyDescent="0.2">
      <c r="B156" s="477"/>
      <c r="C156" s="478"/>
      <c r="D156" s="478"/>
      <c r="E156" s="478"/>
      <c r="F156" s="478"/>
      <c r="G156" s="478"/>
      <c r="H156" s="477"/>
      <c r="I156" s="381"/>
      <c r="K156" s="381"/>
      <c r="L156" s="381"/>
      <c r="M156" s="381"/>
      <c r="N156" s="381"/>
      <c r="O156" s="381"/>
    </row>
    <row r="157" spans="2:15" s="371" customFormat="1" ht="12" x14ac:dyDescent="0.2">
      <c r="B157" s="477"/>
      <c r="C157" s="478"/>
      <c r="D157" s="478"/>
      <c r="E157" s="478"/>
      <c r="F157" s="478"/>
      <c r="G157" s="478"/>
      <c r="H157" s="477"/>
      <c r="I157" s="381"/>
      <c r="K157" s="381"/>
      <c r="L157" s="381"/>
      <c r="M157" s="381"/>
      <c r="N157" s="381"/>
      <c r="O157" s="381"/>
    </row>
    <row r="158" spans="2:15" s="371" customFormat="1" ht="12" x14ac:dyDescent="0.2">
      <c r="B158" s="477"/>
      <c r="C158" s="478"/>
      <c r="D158" s="478"/>
      <c r="E158" s="478"/>
      <c r="F158" s="478"/>
      <c r="G158" s="478"/>
      <c r="H158" s="477"/>
      <c r="I158" s="381"/>
      <c r="K158" s="381"/>
      <c r="L158" s="381"/>
      <c r="M158" s="381"/>
      <c r="N158" s="381"/>
      <c r="O158" s="381"/>
    </row>
    <row r="159" spans="2:15" s="371" customFormat="1" ht="12" x14ac:dyDescent="0.2">
      <c r="B159" s="477"/>
      <c r="C159" s="478"/>
      <c r="D159" s="478"/>
      <c r="E159" s="478"/>
      <c r="F159" s="478"/>
      <c r="G159" s="478"/>
      <c r="H159" s="477"/>
      <c r="I159" s="381"/>
      <c r="K159" s="381"/>
      <c r="L159" s="381"/>
      <c r="M159" s="381"/>
      <c r="N159" s="381"/>
      <c r="O159" s="381"/>
    </row>
    <row r="160" spans="2:15" s="371" customFormat="1" ht="12" x14ac:dyDescent="0.2">
      <c r="B160" s="477"/>
      <c r="C160" s="478"/>
      <c r="D160" s="478"/>
      <c r="E160" s="478"/>
      <c r="F160" s="478"/>
      <c r="G160" s="478"/>
      <c r="H160" s="477"/>
      <c r="I160" s="381"/>
      <c r="K160" s="381"/>
      <c r="L160" s="381"/>
      <c r="M160" s="381"/>
      <c r="N160" s="381"/>
      <c r="O160" s="381"/>
    </row>
    <row r="161" spans="2:15" s="371" customFormat="1" ht="12" x14ac:dyDescent="0.2">
      <c r="B161" s="477"/>
      <c r="C161" s="478"/>
      <c r="D161" s="478"/>
      <c r="E161" s="478"/>
      <c r="F161" s="478"/>
      <c r="G161" s="478"/>
      <c r="H161" s="477"/>
      <c r="I161" s="381"/>
      <c r="K161" s="381"/>
      <c r="L161" s="381"/>
      <c r="M161" s="381"/>
      <c r="N161" s="381"/>
      <c r="O161" s="381"/>
    </row>
    <row r="162" spans="2:15" s="371" customFormat="1" ht="12" x14ac:dyDescent="0.2">
      <c r="B162" s="477"/>
      <c r="C162" s="478"/>
      <c r="D162" s="478"/>
      <c r="E162" s="478"/>
      <c r="F162" s="478"/>
      <c r="G162" s="478"/>
      <c r="H162" s="477"/>
      <c r="I162" s="381"/>
      <c r="K162" s="381"/>
      <c r="L162" s="381"/>
      <c r="M162" s="381"/>
      <c r="N162" s="381"/>
      <c r="O162" s="381"/>
    </row>
    <row r="163" spans="2:15" s="371" customFormat="1" ht="12" x14ac:dyDescent="0.2">
      <c r="B163" s="477"/>
      <c r="C163" s="478"/>
      <c r="D163" s="478"/>
      <c r="E163" s="478"/>
      <c r="F163" s="478"/>
      <c r="G163" s="478"/>
      <c r="H163" s="477"/>
      <c r="I163" s="381"/>
      <c r="K163" s="381"/>
      <c r="L163" s="381"/>
      <c r="M163" s="381"/>
      <c r="N163" s="381"/>
      <c r="O163" s="381"/>
    </row>
    <row r="164" spans="2:15" s="371" customFormat="1" ht="12" x14ac:dyDescent="0.2">
      <c r="B164" s="477"/>
      <c r="C164" s="478"/>
      <c r="D164" s="478"/>
      <c r="E164" s="478"/>
      <c r="F164" s="478"/>
      <c r="G164" s="478"/>
      <c r="H164" s="477"/>
      <c r="I164" s="381"/>
      <c r="K164" s="381"/>
      <c r="L164" s="381"/>
      <c r="M164" s="381"/>
      <c r="N164" s="381"/>
      <c r="O164" s="381"/>
    </row>
    <row r="165" spans="2:15" s="371" customFormat="1" ht="12" x14ac:dyDescent="0.2">
      <c r="B165" s="477"/>
      <c r="C165" s="478"/>
      <c r="D165" s="478"/>
      <c r="E165" s="478"/>
      <c r="F165" s="478"/>
      <c r="G165" s="478"/>
      <c r="H165" s="477"/>
      <c r="I165" s="381"/>
      <c r="K165" s="381"/>
      <c r="L165" s="381"/>
      <c r="M165" s="381"/>
      <c r="N165" s="381"/>
      <c r="O165" s="381"/>
    </row>
    <row r="166" spans="2:15" s="371" customFormat="1" ht="12" x14ac:dyDescent="0.2">
      <c r="B166" s="477"/>
      <c r="C166" s="478"/>
      <c r="D166" s="478"/>
      <c r="E166" s="478"/>
      <c r="F166" s="478"/>
      <c r="G166" s="478"/>
      <c r="H166" s="477"/>
      <c r="I166" s="381"/>
      <c r="K166" s="381"/>
      <c r="L166" s="381"/>
      <c r="M166" s="381"/>
      <c r="N166" s="381"/>
      <c r="O166" s="381"/>
    </row>
    <row r="167" spans="2:15" s="371" customFormat="1" ht="12" x14ac:dyDescent="0.2">
      <c r="B167" s="477"/>
      <c r="C167" s="478"/>
      <c r="D167" s="478"/>
      <c r="E167" s="478"/>
      <c r="F167" s="478"/>
      <c r="G167" s="478"/>
      <c r="H167" s="477"/>
      <c r="I167" s="381"/>
      <c r="K167" s="381"/>
      <c r="L167" s="381"/>
      <c r="M167" s="381"/>
      <c r="N167" s="381"/>
      <c r="O167" s="381"/>
    </row>
    <row r="168" spans="2:15" s="371" customFormat="1" ht="12" x14ac:dyDescent="0.2">
      <c r="B168" s="477"/>
      <c r="C168" s="478"/>
      <c r="D168" s="478"/>
      <c r="E168" s="478"/>
      <c r="F168" s="478"/>
      <c r="G168" s="478"/>
      <c r="H168" s="477"/>
      <c r="I168" s="381"/>
      <c r="K168" s="381"/>
      <c r="L168" s="381"/>
      <c r="M168" s="381"/>
      <c r="N168" s="381"/>
      <c r="O168" s="381"/>
    </row>
    <row r="169" spans="2:15" s="371" customFormat="1" ht="12" x14ac:dyDescent="0.2">
      <c r="B169" s="477"/>
      <c r="C169" s="478"/>
      <c r="D169" s="478"/>
      <c r="E169" s="478"/>
      <c r="F169" s="478"/>
      <c r="G169" s="478"/>
      <c r="H169" s="477"/>
      <c r="I169" s="381"/>
      <c r="K169" s="381"/>
      <c r="L169" s="381"/>
      <c r="M169" s="381"/>
      <c r="N169" s="381"/>
      <c r="O169" s="381"/>
    </row>
    <row r="170" spans="2:15" s="371" customFormat="1" ht="12" x14ac:dyDescent="0.2">
      <c r="B170" s="477"/>
      <c r="C170" s="478"/>
      <c r="D170" s="478"/>
      <c r="E170" s="478"/>
      <c r="F170" s="478"/>
      <c r="G170" s="478"/>
      <c r="H170" s="477"/>
      <c r="I170" s="381"/>
      <c r="K170" s="381"/>
      <c r="L170" s="381"/>
      <c r="M170" s="381"/>
      <c r="N170" s="381"/>
      <c r="O170" s="381"/>
    </row>
    <row r="171" spans="2:15" s="371" customFormat="1" ht="12" x14ac:dyDescent="0.2">
      <c r="B171" s="477"/>
      <c r="C171" s="478"/>
      <c r="D171" s="478"/>
      <c r="E171" s="478"/>
      <c r="F171" s="478"/>
      <c r="G171" s="478"/>
      <c r="H171" s="477"/>
      <c r="I171" s="381"/>
      <c r="K171" s="381"/>
      <c r="L171" s="381"/>
      <c r="M171" s="381"/>
      <c r="N171" s="381"/>
      <c r="O171" s="381"/>
    </row>
    <row r="172" spans="2:15" s="371" customFormat="1" ht="12" x14ac:dyDescent="0.2">
      <c r="B172" s="477"/>
      <c r="C172" s="478"/>
      <c r="D172" s="478"/>
      <c r="E172" s="478"/>
      <c r="F172" s="478"/>
      <c r="G172" s="478"/>
      <c r="H172" s="477"/>
      <c r="I172" s="381"/>
      <c r="K172" s="381"/>
      <c r="L172" s="381"/>
      <c r="M172" s="381"/>
      <c r="N172" s="381"/>
      <c r="O172" s="381"/>
    </row>
    <row r="173" spans="2:15" s="371" customFormat="1" ht="12" x14ac:dyDescent="0.2">
      <c r="B173" s="477"/>
      <c r="C173" s="478"/>
      <c r="D173" s="478"/>
      <c r="E173" s="478"/>
      <c r="F173" s="478"/>
      <c r="G173" s="478"/>
      <c r="H173" s="477"/>
      <c r="I173" s="381"/>
      <c r="K173" s="381"/>
      <c r="L173" s="381"/>
      <c r="M173" s="381"/>
      <c r="N173" s="381"/>
      <c r="O173" s="381"/>
    </row>
    <row r="174" spans="2:15" s="371" customFormat="1" ht="12" x14ac:dyDescent="0.2">
      <c r="B174" s="477"/>
      <c r="C174" s="478"/>
      <c r="D174" s="478"/>
      <c r="E174" s="478"/>
      <c r="F174" s="478"/>
      <c r="G174" s="478"/>
      <c r="H174" s="477"/>
      <c r="I174" s="381"/>
      <c r="K174" s="381"/>
      <c r="L174" s="381"/>
      <c r="M174" s="381"/>
      <c r="N174" s="381"/>
      <c r="O174" s="381"/>
    </row>
    <row r="176" spans="2:15" s="1249" customFormat="1" x14ac:dyDescent="0.25"/>
    <row r="178" spans="2:72" x14ac:dyDescent="0.25">
      <c r="B178" s="765"/>
      <c r="C178" s="765"/>
      <c r="D178" s="765"/>
      <c r="E178" s="765"/>
      <c r="F178" s="765"/>
      <c r="G178" s="765"/>
      <c r="H178" s="765"/>
      <c r="I178" s="765"/>
      <c r="J178" s="765"/>
      <c r="K178" s="765"/>
      <c r="L178" s="765"/>
      <c r="M178" s="765"/>
      <c r="N178" s="765"/>
      <c r="O178" s="765"/>
      <c r="P178" s="765"/>
      <c r="Q178" s="765"/>
      <c r="R178" s="765"/>
      <c r="S178" s="765"/>
      <c r="T178" s="765"/>
      <c r="U178" s="765"/>
      <c r="V178" s="765"/>
      <c r="W178" s="765"/>
      <c r="X178" s="856"/>
      <c r="Y178" s="765"/>
    </row>
    <row r="179" spans="2:72" x14ac:dyDescent="0.25">
      <c r="B179" s="765"/>
      <c r="C179" s="765"/>
      <c r="D179" s="765"/>
      <c r="E179" s="765"/>
      <c r="F179" s="765"/>
      <c r="G179" s="765"/>
      <c r="H179" s="765"/>
      <c r="I179" s="765"/>
      <c r="J179" s="765"/>
      <c r="K179" s="765"/>
      <c r="L179" s="765"/>
      <c r="M179" s="765"/>
      <c r="N179" s="765"/>
      <c r="O179" s="765"/>
      <c r="P179" s="765"/>
      <c r="Q179" s="765"/>
      <c r="R179" s="765"/>
      <c r="S179" s="765"/>
      <c r="T179" s="765"/>
      <c r="U179" s="765"/>
      <c r="V179" s="765"/>
      <c r="W179" s="765"/>
      <c r="X179" s="856"/>
      <c r="Y179" s="765"/>
    </row>
    <row r="180" spans="2:72" s="1031" customFormat="1" ht="11.25" x14ac:dyDescent="0.2">
      <c r="B180" s="953"/>
      <c r="C180" s="953"/>
      <c r="D180" s="953"/>
      <c r="E180" s="953"/>
      <c r="F180" s="953"/>
      <c r="G180" s="953"/>
      <c r="H180" s="953"/>
      <c r="I180" s="1250">
        <v>2016</v>
      </c>
      <c r="J180" s="1250">
        <v>2017</v>
      </c>
      <c r="K180" s="1250">
        <v>2018</v>
      </c>
      <c r="L180" s="1250">
        <v>2019</v>
      </c>
      <c r="M180" s="1250">
        <v>2020</v>
      </c>
      <c r="N180" s="1250">
        <v>2021</v>
      </c>
      <c r="O180" s="1250">
        <v>2022</v>
      </c>
      <c r="P180" s="1250">
        <v>2023</v>
      </c>
      <c r="Q180" s="1250">
        <v>2024</v>
      </c>
      <c r="R180" s="1250">
        <v>2025</v>
      </c>
      <c r="S180" s="1250">
        <v>2026</v>
      </c>
      <c r="T180" s="1250">
        <v>2027</v>
      </c>
      <c r="U180" s="1250">
        <v>2028</v>
      </c>
      <c r="V180" s="1250">
        <v>2029</v>
      </c>
      <c r="W180" s="1250">
        <v>2030</v>
      </c>
      <c r="X180" s="1044"/>
      <c r="Y180" s="1044"/>
      <c r="Z180" s="1044"/>
      <c r="AA180" s="1035"/>
      <c r="AB180" s="1035"/>
      <c r="AC180" s="1036"/>
      <c r="AD180" s="1036"/>
      <c r="AE180" s="1036"/>
      <c r="AF180" s="1036"/>
      <c r="AG180" s="1036"/>
      <c r="AH180" s="1036"/>
      <c r="AI180" s="1036"/>
      <c r="AJ180" s="1036"/>
      <c r="AK180" s="1036"/>
      <c r="AL180" s="1036"/>
      <c r="AM180" s="1036"/>
      <c r="AN180" s="1036"/>
      <c r="AO180" s="1036"/>
      <c r="AP180" s="1036"/>
      <c r="AQ180" s="1036"/>
      <c r="AR180" s="1036"/>
      <c r="AS180" s="1036"/>
      <c r="AT180" s="1036"/>
      <c r="AU180" s="1036"/>
      <c r="BT180" s="1040">
        <v>0.18</v>
      </c>
    </row>
    <row r="181" spans="2:72" x14ac:dyDescent="0.25">
      <c r="B181" s="859" t="s">
        <v>479</v>
      </c>
      <c r="C181" s="859"/>
      <c r="D181" s="859"/>
      <c r="E181" s="859"/>
      <c r="F181" s="859"/>
      <c r="G181" s="859"/>
      <c r="H181" s="859"/>
      <c r="I181" s="859"/>
      <c r="J181" s="1251">
        <f>J57</f>
        <v>142.33169192075729</v>
      </c>
      <c r="K181" s="1251">
        <f t="shared" ref="K181:W181" si="48">K57</f>
        <v>136.44378354391171</v>
      </c>
      <c r="L181" s="1251">
        <f t="shared" si="48"/>
        <v>130.55587516706612</v>
      </c>
      <c r="M181" s="1251">
        <f t="shared" si="48"/>
        <v>124.66796679022053</v>
      </c>
      <c r="N181" s="1251">
        <f t="shared" si="48"/>
        <v>121.08549271004843</v>
      </c>
      <c r="O181" s="1251">
        <f t="shared" si="48"/>
        <v>117.49309564330355</v>
      </c>
      <c r="P181" s="1251">
        <f t="shared" si="48"/>
        <v>113.90069857655867</v>
      </c>
      <c r="Q181" s="1251">
        <f t="shared" si="48"/>
        <v>110.30830150981379</v>
      </c>
      <c r="R181" s="1251">
        <f t="shared" si="48"/>
        <v>106.71590444306891</v>
      </c>
      <c r="S181" s="1251">
        <f t="shared" si="48"/>
        <v>103.12350737632403</v>
      </c>
      <c r="T181" s="1251">
        <f t="shared" si="48"/>
        <v>99.531110309579148</v>
      </c>
      <c r="U181" s="1251">
        <f t="shared" si="48"/>
        <v>95.938713242834268</v>
      </c>
      <c r="V181" s="1251">
        <f t="shared" si="48"/>
        <v>92.346316176089388</v>
      </c>
      <c r="W181" s="1251">
        <f t="shared" si="48"/>
        <v>88.75391910934448</v>
      </c>
      <c r="X181" s="856"/>
      <c r="Y181" s="765"/>
    </row>
    <row r="182" spans="2:72" hidden="1" x14ac:dyDescent="0.25">
      <c r="B182" s="173" t="s">
        <v>480</v>
      </c>
      <c r="C182" s="173"/>
      <c r="D182" s="173"/>
      <c r="E182" s="173"/>
      <c r="F182" s="173"/>
      <c r="G182" s="173"/>
      <c r="H182" s="173"/>
      <c r="I182" s="173"/>
      <c r="J182" s="1251">
        <f t="shared" ref="J182:W182" si="49">J59</f>
        <v>141.31261490733007</v>
      </c>
      <c r="K182" s="1251">
        <f t="shared" si="49"/>
        <v>135.42470653048449</v>
      </c>
      <c r="L182" s="1251">
        <f t="shared" si="49"/>
        <v>129.5367981536389</v>
      </c>
      <c r="M182" s="1251">
        <f t="shared" si="49"/>
        <v>123.64888977679331</v>
      </c>
      <c r="N182" s="1251">
        <f t="shared" si="49"/>
        <v>120.05649271004843</v>
      </c>
      <c r="O182" s="1251">
        <f t="shared" si="49"/>
        <v>116.46409564330355</v>
      </c>
      <c r="P182" s="1251">
        <f t="shared" si="49"/>
        <v>112.87169857655867</v>
      </c>
      <c r="Q182" s="1251">
        <f t="shared" si="49"/>
        <v>109.27930150981379</v>
      </c>
      <c r="R182" s="1251">
        <f t="shared" si="49"/>
        <v>105.68690444306891</v>
      </c>
      <c r="S182" s="1251">
        <f t="shared" si="49"/>
        <v>102.09450737632403</v>
      </c>
      <c r="T182" s="1251">
        <f t="shared" si="49"/>
        <v>98.502110309579152</v>
      </c>
      <c r="U182" s="1251">
        <f t="shared" si="49"/>
        <v>94.909713242834272</v>
      </c>
      <c r="V182" s="1251">
        <f t="shared" si="49"/>
        <v>91.317316176089392</v>
      </c>
      <c r="W182" s="1251">
        <f t="shared" si="49"/>
        <v>87.724919109344484</v>
      </c>
    </row>
    <row r="183" spans="2:72" hidden="1" x14ac:dyDescent="0.25">
      <c r="B183" s="1252" t="s">
        <v>96</v>
      </c>
      <c r="C183" s="173"/>
      <c r="D183" s="173"/>
      <c r="E183" s="173"/>
      <c r="F183" s="173"/>
      <c r="G183" s="173"/>
      <c r="H183" s="173"/>
      <c r="I183" s="173"/>
      <c r="J183" s="1251">
        <f t="shared" ref="J183:W183" si="50">J60</f>
        <v>29.502350481872782</v>
      </c>
      <c r="K183" s="1251">
        <f t="shared" si="50"/>
        <v>28.720874520898647</v>
      </c>
      <c r="L183" s="1251">
        <f t="shared" si="50"/>
        <v>27.939398559924513</v>
      </c>
      <c r="M183" s="1251">
        <f t="shared" si="50"/>
        <v>27.157922598950378</v>
      </c>
      <c r="N183" s="1251">
        <f t="shared" si="50"/>
        <v>28.410821631010826</v>
      </c>
      <c r="O183" s="1251">
        <f t="shared" si="50"/>
        <v>28.170115038776608</v>
      </c>
      <c r="P183" s="1251">
        <f t="shared" si="50"/>
        <v>27.933927492740189</v>
      </c>
      <c r="Q183" s="1251">
        <f t="shared" si="50"/>
        <v>27.702346436083737</v>
      </c>
      <c r="R183" s="1251">
        <f t="shared" si="50"/>
        <v>27.492201831369098</v>
      </c>
      <c r="S183" s="1251">
        <f t="shared" si="50"/>
        <v>26.998636790556681</v>
      </c>
      <c r="T183" s="1251">
        <f t="shared" si="50"/>
        <v>26.55792809377316</v>
      </c>
      <c r="U183" s="1251">
        <f t="shared" si="50"/>
        <v>26.103148497402017</v>
      </c>
      <c r="V183" s="1251">
        <f t="shared" si="50"/>
        <v>25.651075152213899</v>
      </c>
      <c r="W183" s="1251">
        <f t="shared" si="50"/>
        <v>25.201745439565656</v>
      </c>
    </row>
    <row r="184" spans="2:72" x14ac:dyDescent="0.25">
      <c r="B184" s="1253" t="s">
        <v>591</v>
      </c>
      <c r="C184" s="173"/>
      <c r="D184" s="173"/>
      <c r="E184" s="173"/>
      <c r="F184" s="173"/>
      <c r="G184" s="173"/>
      <c r="H184" s="173"/>
      <c r="I184" s="173"/>
      <c r="J184" s="1251">
        <f t="shared" ref="J184:W184" si="51">J61</f>
        <v>17.111363279486216</v>
      </c>
      <c r="K184" s="1251">
        <f t="shared" si="51"/>
        <v>16.329887318512082</v>
      </c>
      <c r="L184" s="1251">
        <f t="shared" si="51"/>
        <v>15.548411357537946</v>
      </c>
      <c r="M184" s="1251">
        <f t="shared" si="51"/>
        <v>14.766935396563809</v>
      </c>
      <c r="N184" s="1251">
        <f t="shared" si="51"/>
        <v>14.290111052608765</v>
      </c>
      <c r="O184" s="1251">
        <f t="shared" si="51"/>
        <v>13.813286708653719</v>
      </c>
      <c r="P184" s="1251">
        <f t="shared" si="51"/>
        <v>13.336462364698674</v>
      </c>
      <c r="Q184" s="1251">
        <f t="shared" si="51"/>
        <v>12.859638020743628</v>
      </c>
      <c r="R184" s="1251">
        <f t="shared" si="51"/>
        <v>12.382813676788583</v>
      </c>
      <c r="S184" s="1251">
        <f t="shared" si="51"/>
        <v>11.905989332833537</v>
      </c>
      <c r="T184" s="1251">
        <f t="shared" si="51"/>
        <v>11.429164988878492</v>
      </c>
      <c r="U184" s="1251">
        <f t="shared" si="51"/>
        <v>10.952340644923446</v>
      </c>
      <c r="V184" s="1251">
        <f t="shared" si="51"/>
        <v>10.475516300968401</v>
      </c>
      <c r="W184" s="1251">
        <f t="shared" si="51"/>
        <v>9.9986919570133566</v>
      </c>
    </row>
    <row r="185" spans="2:72" x14ac:dyDescent="0.25">
      <c r="B185" s="1253" t="s">
        <v>592</v>
      </c>
      <c r="C185" s="173"/>
      <c r="D185" s="173"/>
      <c r="E185" s="173"/>
      <c r="F185" s="173"/>
      <c r="G185" s="173"/>
      <c r="H185" s="173"/>
      <c r="I185" s="173"/>
      <c r="J185" s="1251">
        <f t="shared" ref="J185:W185" si="52">J62</f>
        <v>12.390987202386567</v>
      </c>
      <c r="K185" s="1251">
        <f t="shared" si="52"/>
        <v>12.390987202386567</v>
      </c>
      <c r="L185" s="1251">
        <f t="shared" si="52"/>
        <v>12.390987202386567</v>
      </c>
      <c r="M185" s="1251">
        <f t="shared" si="52"/>
        <v>12.390987202386567</v>
      </c>
      <c r="N185" s="1251">
        <f t="shared" si="52"/>
        <v>14.120710578402061</v>
      </c>
      <c r="O185" s="1251">
        <f t="shared" si="52"/>
        <v>14.356828330122891</v>
      </c>
      <c r="P185" s="1251">
        <f t="shared" si="52"/>
        <v>14.597465128041513</v>
      </c>
      <c r="Q185" s="1251">
        <f t="shared" si="52"/>
        <v>14.842708415340109</v>
      </c>
      <c r="R185" s="1251">
        <f t="shared" si="52"/>
        <v>15.109388154580515</v>
      </c>
      <c r="S185" s="1251">
        <f t="shared" si="52"/>
        <v>15.092647457723142</v>
      </c>
      <c r="T185" s="1251">
        <f t="shared" si="52"/>
        <v>15.128763104894668</v>
      </c>
      <c r="U185" s="1251">
        <f t="shared" si="52"/>
        <v>15.150807852478572</v>
      </c>
      <c r="V185" s="1251">
        <f t="shared" si="52"/>
        <v>15.175558851245498</v>
      </c>
      <c r="W185" s="1251">
        <f t="shared" si="52"/>
        <v>15.203053482552299</v>
      </c>
    </row>
    <row r="186" spans="2:72" x14ac:dyDescent="0.25">
      <c r="B186" s="1252" t="s">
        <v>490</v>
      </c>
      <c r="C186" s="173"/>
      <c r="D186" s="173"/>
      <c r="E186" s="173"/>
      <c r="F186" s="173"/>
      <c r="G186" s="173"/>
      <c r="H186" s="173"/>
      <c r="I186" s="173"/>
      <c r="J186" s="1251">
        <f t="shared" ref="J186:W186" si="53">J58</f>
        <v>1.019077013427216</v>
      </c>
      <c r="K186" s="1251">
        <f t="shared" si="53"/>
        <v>1.019077013427216</v>
      </c>
      <c r="L186" s="1251">
        <f t="shared" si="53"/>
        <v>1.019077013427216</v>
      </c>
      <c r="M186" s="1251">
        <f t="shared" si="53"/>
        <v>1.019077013427216</v>
      </c>
      <c r="N186" s="1251">
        <f t="shared" si="53"/>
        <v>1.0289999999999999</v>
      </c>
      <c r="O186" s="1251">
        <f t="shared" si="53"/>
        <v>1.0289999999999999</v>
      </c>
      <c r="P186" s="1251">
        <f t="shared" si="53"/>
        <v>1.0289999999999999</v>
      </c>
      <c r="Q186" s="1251">
        <f t="shared" si="53"/>
        <v>1.0289999999999999</v>
      </c>
      <c r="R186" s="1251">
        <f t="shared" si="53"/>
        <v>1.0289999999999999</v>
      </c>
      <c r="S186" s="1251">
        <f t="shared" si="53"/>
        <v>1.0289999999999999</v>
      </c>
      <c r="T186" s="1251">
        <f t="shared" si="53"/>
        <v>1.0289999999999999</v>
      </c>
      <c r="U186" s="1251">
        <f t="shared" si="53"/>
        <v>1.0289999999999999</v>
      </c>
      <c r="V186" s="1251">
        <f t="shared" si="53"/>
        <v>1.0289999999999999</v>
      </c>
      <c r="W186" s="1251">
        <f t="shared" si="53"/>
        <v>1.0289999999999999</v>
      </c>
    </row>
    <row r="187" spans="2:72" x14ac:dyDescent="0.25">
      <c r="B187" s="1252" t="s">
        <v>2</v>
      </c>
      <c r="C187" s="173"/>
      <c r="D187" s="173"/>
      <c r="E187" s="173"/>
      <c r="F187" s="173"/>
      <c r="G187" s="173"/>
      <c r="H187" s="173"/>
      <c r="I187" s="173"/>
      <c r="J187" s="1251">
        <f t="shared" ref="J187:W187" si="54">J63</f>
        <v>6.480922986572784</v>
      </c>
      <c r="K187" s="1251">
        <f t="shared" si="54"/>
        <v>6.480922986572784</v>
      </c>
      <c r="L187" s="1251">
        <f t="shared" si="54"/>
        <v>6.480922986572784</v>
      </c>
      <c r="M187" s="1251">
        <f t="shared" si="54"/>
        <v>6.480922986572784</v>
      </c>
      <c r="N187" s="1251">
        <f t="shared" si="54"/>
        <v>3.8699999999999997</v>
      </c>
      <c r="O187" s="1251">
        <f t="shared" si="54"/>
        <v>3.8699999999999997</v>
      </c>
      <c r="P187" s="1251">
        <f t="shared" si="54"/>
        <v>3.8699999999999997</v>
      </c>
      <c r="Q187" s="1251">
        <f t="shared" si="54"/>
        <v>3.8699999999999997</v>
      </c>
      <c r="R187" s="1251">
        <f t="shared" si="54"/>
        <v>3.8699999999999997</v>
      </c>
      <c r="S187" s="1251">
        <f t="shared" si="54"/>
        <v>3.8699999999999997</v>
      </c>
      <c r="T187" s="1251">
        <f t="shared" si="54"/>
        <v>3.8699999999999997</v>
      </c>
      <c r="U187" s="1251">
        <f t="shared" si="54"/>
        <v>3.8699999999999997</v>
      </c>
      <c r="V187" s="1251">
        <f t="shared" si="54"/>
        <v>3.8699999999999997</v>
      </c>
      <c r="W187" s="1251">
        <f t="shared" si="54"/>
        <v>3.8699999999999997</v>
      </c>
    </row>
    <row r="188" spans="2:72" x14ac:dyDescent="0.25">
      <c r="B188" s="1252" t="s">
        <v>63</v>
      </c>
      <c r="C188" s="173"/>
      <c r="D188" s="173"/>
      <c r="E188" s="173"/>
      <c r="F188" s="173"/>
      <c r="G188" s="173"/>
      <c r="H188" s="173"/>
      <c r="I188" s="173"/>
      <c r="J188" s="1251">
        <f t="shared" ref="J188:W188" si="55">J64</f>
        <v>105.32934143888451</v>
      </c>
      <c r="K188" s="1251">
        <f t="shared" si="55"/>
        <v>100.22290902301306</v>
      </c>
      <c r="L188" s="1251">
        <f t="shared" si="55"/>
        <v>95.116476607141607</v>
      </c>
      <c r="M188" s="1251">
        <f t="shared" si="55"/>
        <v>90.010044191270154</v>
      </c>
      <c r="N188" s="1251">
        <f t="shared" si="55"/>
        <v>86.881357139121022</v>
      </c>
      <c r="O188" s="1251">
        <f t="shared" si="55"/>
        <v>83.752670086971889</v>
      </c>
      <c r="P188" s="1251">
        <f t="shared" si="55"/>
        <v>80.623983034822757</v>
      </c>
      <c r="Q188" s="1251">
        <f t="shared" si="55"/>
        <v>77.495295982673625</v>
      </c>
      <c r="R188" s="1251">
        <f t="shared" si="55"/>
        <v>74.366608930524492</v>
      </c>
      <c r="S188" s="1251">
        <f t="shared" si="55"/>
        <v>71.23792187837536</v>
      </c>
      <c r="T188" s="1251">
        <f t="shared" si="55"/>
        <v>68.109234826226228</v>
      </c>
      <c r="U188" s="1251">
        <f t="shared" si="55"/>
        <v>64.980547774077095</v>
      </c>
      <c r="V188" s="1251">
        <f t="shared" si="55"/>
        <v>61.851860721927963</v>
      </c>
      <c r="W188" s="1251">
        <f t="shared" si="55"/>
        <v>58.723173669778816</v>
      </c>
    </row>
    <row r="221" spans="2:72" s="1031" customFormat="1" ht="11.25" x14ac:dyDescent="0.2">
      <c r="B221" s="953"/>
      <c r="C221" s="953"/>
      <c r="D221" s="953"/>
      <c r="E221" s="953"/>
      <c r="F221" s="953"/>
      <c r="G221" s="953"/>
      <c r="H221" s="953"/>
      <c r="I221" s="1250">
        <v>2016</v>
      </c>
      <c r="J221" s="1250">
        <v>2017</v>
      </c>
      <c r="K221" s="1250">
        <v>2018</v>
      </c>
      <c r="L221" s="1250">
        <v>2019</v>
      </c>
      <c r="M221" s="1250">
        <v>2020</v>
      </c>
      <c r="N221" s="1250">
        <v>2021</v>
      </c>
      <c r="O221" s="1250">
        <v>2022</v>
      </c>
      <c r="P221" s="1250">
        <v>2023</v>
      </c>
      <c r="Q221" s="1250">
        <v>2024</v>
      </c>
      <c r="R221" s="1250">
        <v>2025</v>
      </c>
      <c r="S221" s="1250">
        <v>2026</v>
      </c>
      <c r="T221" s="1250">
        <v>2027</v>
      </c>
      <c r="U221" s="1250">
        <v>2028</v>
      </c>
      <c r="V221" s="1250">
        <v>2029</v>
      </c>
      <c r="W221" s="1250">
        <v>2030</v>
      </c>
      <c r="X221" s="1044"/>
      <c r="Y221" s="1044"/>
      <c r="Z221" s="1044"/>
      <c r="AA221" s="1035"/>
      <c r="AB221" s="1035"/>
      <c r="AC221" s="1036"/>
      <c r="AD221" s="1036"/>
      <c r="AE221" s="1036"/>
      <c r="AF221" s="1036"/>
      <c r="AG221" s="1036"/>
      <c r="AH221" s="1036"/>
      <c r="AI221" s="1036"/>
      <c r="AJ221" s="1036"/>
      <c r="AK221" s="1036"/>
      <c r="AL221" s="1036"/>
      <c r="AM221" s="1036"/>
      <c r="AN221" s="1036"/>
      <c r="AO221" s="1036"/>
      <c r="AP221" s="1036"/>
      <c r="AQ221" s="1036"/>
      <c r="AR221" s="1036"/>
      <c r="AS221" s="1036"/>
      <c r="AT221" s="1036"/>
      <c r="AU221" s="1036"/>
      <c r="BT221" s="1040">
        <v>0.18</v>
      </c>
    </row>
    <row r="222" spans="2:72" x14ac:dyDescent="0.25">
      <c r="B222" s="859" t="s">
        <v>456</v>
      </c>
      <c r="C222" s="859"/>
      <c r="D222" s="859"/>
      <c r="E222" s="859"/>
      <c r="F222" s="859"/>
      <c r="G222" s="859"/>
      <c r="H222" s="859"/>
      <c r="I222" s="859"/>
      <c r="J222" s="1251">
        <f>J99</f>
        <v>7.1165845960378649</v>
      </c>
      <c r="K222" s="1251">
        <f t="shared" ref="K222:W222" si="56">K99</f>
        <v>6.822189177195586</v>
      </c>
      <c r="L222" s="1251">
        <f t="shared" si="56"/>
        <v>6.5277937583533063</v>
      </c>
      <c r="M222" s="1251">
        <f t="shared" si="56"/>
        <v>6.2333983395110266</v>
      </c>
      <c r="N222" s="1251">
        <f t="shared" si="56"/>
        <v>6.0542746355024217</v>
      </c>
      <c r="O222" s="1251">
        <f t="shared" si="56"/>
        <v>5.8746547821651776</v>
      </c>
      <c r="P222" s="1251">
        <f t="shared" si="56"/>
        <v>5.6950349288279334</v>
      </c>
      <c r="Q222" s="1251">
        <f t="shared" si="56"/>
        <v>5.5154150754906901</v>
      </c>
      <c r="R222" s="1251">
        <f t="shared" si="56"/>
        <v>5.3357952221534459</v>
      </c>
      <c r="S222" s="1251">
        <f t="shared" si="56"/>
        <v>5.1561753688162018</v>
      </c>
      <c r="T222" s="1251">
        <f t="shared" si="56"/>
        <v>4.9765555154789576</v>
      </c>
      <c r="U222" s="1251">
        <f t="shared" si="56"/>
        <v>4.7969356621417134</v>
      </c>
      <c r="V222" s="1251">
        <f t="shared" si="56"/>
        <v>4.6173158088044692</v>
      </c>
      <c r="W222" s="1251">
        <f t="shared" si="56"/>
        <v>4.4376959554672242</v>
      </c>
      <c r="X222" s="856"/>
      <c r="Y222" s="765"/>
    </row>
  </sheetData>
  <mergeCells count="11">
    <mergeCell ref="J70:M70"/>
    <mergeCell ref="N70:W70"/>
    <mergeCell ref="N11:W11"/>
    <mergeCell ref="N26:W26"/>
    <mergeCell ref="O82:P82"/>
    <mergeCell ref="Q82:R82"/>
    <mergeCell ref="C28:F28"/>
    <mergeCell ref="G28:W28"/>
    <mergeCell ref="C32:W32"/>
    <mergeCell ref="J69:M69"/>
    <mergeCell ref="N69:W69"/>
  </mergeCells>
  <dataValidations count="5">
    <dataValidation type="list" allowBlank="1" showInputMessage="1" showErrorMessage="1" sqref="AF97">
      <formula1>$AH$97:$AH$98</formula1>
    </dataValidation>
    <dataValidation type="list" allowBlank="1" showInputMessage="1" showErrorMessage="1" sqref="AE94 AH94">
      <formula1>#REF!</formula1>
    </dataValidation>
    <dataValidation type="list" allowBlank="1" showInputMessage="1" showErrorMessage="1" sqref="Z10">
      <formula1>$AC$9:$AC$10</formula1>
    </dataValidation>
    <dataValidation type="list" allowBlank="1" showInputMessage="1" showErrorMessage="1" sqref="Z58">
      <formula1>$AC$57:$AC$59</formula1>
    </dataValidation>
    <dataValidation type="list" allowBlank="1" showInputMessage="1" showErrorMessage="1" sqref="Z64">
      <formula1>$AC$63:$AC$64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Sheet1</vt:lpstr>
      <vt:lpstr>Charts</vt:lpstr>
      <vt:lpstr>QC CA Caps</vt:lpstr>
      <vt:lpstr>2020-2030 Caps</vt:lpstr>
      <vt:lpstr>Post-2020Caps_July25Navius FP 2</vt:lpstr>
      <vt:lpstr>Carbon Price Forecast July 2017</vt:lpstr>
      <vt:lpstr>Navius Reference_July252017</vt:lpstr>
      <vt:lpstr>2017 NIR</vt:lpstr>
      <vt:lpstr>Post-2020Caps_July25Navius FixP</vt:lpstr>
      <vt:lpstr>Electricity Sector Emissions</vt:lpstr>
      <vt:lpstr>Allocation_Khalid Aug 2017</vt:lpstr>
      <vt:lpstr>Post-2020Cap_July252017Navius</vt:lpstr>
      <vt:lpstr>Comparing GHG_2016 Reporting</vt:lpstr>
      <vt:lpstr>Summ_Post2020Cap Decline Factor</vt:lpstr>
      <vt:lpstr>October 2016 Proceeds</vt:lpstr>
      <vt:lpstr>Free Allowances</vt:lpstr>
      <vt:lpstr>December 2016_pst 2020 Proceeds</vt:lpstr>
      <vt:lpstr>Demand and Supply Anlaysis</vt:lpstr>
      <vt:lpstr>7.5Mt Elec Cap_Jan6 DS_new EX</vt:lpstr>
      <vt:lpstr>Close the Gap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2017-09-25T18:24:38Z</dcterms:modified>
</cp:coreProperties>
</file>