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0730" windowHeight="11760"/>
  </bookViews>
  <sheets>
    <sheet name="Assumptions" sheetId="1" r:id="rId1"/>
    <sheet name="Province's Net Asset" sheetId="2" r:id="rId2"/>
  </sheets>
  <externalReferences>
    <externalReference r:id="rId3"/>
  </externalReferences>
  <definedNames>
    <definedName name="_xlnm.Print_Area" localSheetId="0">Assumptions!$A$1:$AC$10</definedName>
    <definedName name="_xlnm.Print_Area" localSheetId="1">'Province''s Net Asset'!$A$1:$AF$39</definedName>
  </definedNames>
  <calcPr calcId="145621"/>
</workbook>
</file>

<file path=xl/calcChain.xml><?xml version="1.0" encoding="utf-8"?>
<calcChain xmlns="http://schemas.openxmlformats.org/spreadsheetml/2006/main">
  <c r="B36" i="1" l="1"/>
  <c r="B37" i="1" s="1"/>
  <c r="B33" i="1"/>
  <c r="B32" i="1"/>
  <c r="B29" i="1"/>
  <c r="B28" i="1"/>
  <c r="AB24" i="1"/>
  <c r="AC24" i="1"/>
  <c r="AA24" i="1"/>
  <c r="AB22" i="1"/>
  <c r="AC22" i="1"/>
  <c r="AA22" i="1"/>
  <c r="O11" i="1" l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N11" i="1"/>
  <c r="AF38" i="2"/>
  <c r="AF12" i="2" s="1"/>
  <c r="AE38" i="2"/>
  <c r="AE12" i="2" s="1"/>
  <c r="AD38" i="2"/>
  <c r="AC38" i="2"/>
  <c r="AB38" i="2"/>
  <c r="AB12" i="2" s="1"/>
  <c r="AA38" i="2"/>
  <c r="AA12" i="2" s="1"/>
  <c r="Z38" i="2"/>
  <c r="Y38" i="2"/>
  <c r="X38" i="2"/>
  <c r="X12" i="2" s="1"/>
  <c r="W38" i="2"/>
  <c r="W12" i="2" s="1"/>
  <c r="V38" i="2"/>
  <c r="U38" i="2"/>
  <c r="T38" i="2"/>
  <c r="T12" i="2" s="1"/>
  <c r="S38" i="2"/>
  <c r="R38" i="2"/>
  <c r="Q38" i="2"/>
  <c r="P38" i="2"/>
  <c r="P12" i="2" s="1"/>
  <c r="O38" i="2"/>
  <c r="O12" i="2" s="1"/>
  <c r="N38" i="2"/>
  <c r="M38" i="2"/>
  <c r="L38" i="2"/>
  <c r="L12" i="2" s="1"/>
  <c r="K38" i="2"/>
  <c r="K12" i="2" s="1"/>
  <c r="J38" i="2"/>
  <c r="I38" i="2"/>
  <c r="H38" i="2"/>
  <c r="H12" i="2" s="1"/>
  <c r="G38" i="2"/>
  <c r="G12" i="2" s="1"/>
  <c r="F38" i="2"/>
  <c r="E38" i="2"/>
  <c r="D38" i="2"/>
  <c r="D12" i="2" s="1"/>
  <c r="C38" i="2"/>
  <c r="AF37" i="2"/>
  <c r="AE37" i="2"/>
  <c r="AD37" i="2"/>
  <c r="AC37" i="2"/>
  <c r="AC13" i="2" s="1"/>
  <c r="AB37" i="2"/>
  <c r="AA37" i="2"/>
  <c r="Z37" i="2"/>
  <c r="Y37" i="2"/>
  <c r="Y13" i="2" s="1"/>
  <c r="X37" i="2"/>
  <c r="W37" i="2"/>
  <c r="V37" i="2"/>
  <c r="V13" i="2" s="1"/>
  <c r="U37" i="2"/>
  <c r="U13" i="2" s="1"/>
  <c r="AF35" i="2"/>
  <c r="AE35" i="2"/>
  <c r="AE14" i="2" s="1"/>
  <c r="AD35" i="2"/>
  <c r="AC35" i="2"/>
  <c r="AB35" i="2"/>
  <c r="AA35" i="2"/>
  <c r="AA14" i="2" s="1"/>
  <c r="Z35" i="2"/>
  <c r="Y35" i="2"/>
  <c r="X35" i="2"/>
  <c r="X14" i="2" s="1"/>
  <c r="W35" i="2"/>
  <c r="W14" i="2" s="1"/>
  <c r="V35" i="2"/>
  <c r="U35" i="2"/>
  <c r="T35" i="2"/>
  <c r="T14" i="2" s="1"/>
  <c r="S35" i="2"/>
  <c r="S14" i="2" s="1"/>
  <c r="R35" i="2"/>
  <c r="Q35" i="2"/>
  <c r="P35" i="2"/>
  <c r="O35" i="2"/>
  <c r="O14" i="2" s="1"/>
  <c r="N35" i="2"/>
  <c r="M35" i="2"/>
  <c r="L35" i="2"/>
  <c r="K35" i="2"/>
  <c r="K14" i="2" s="1"/>
  <c r="J35" i="2"/>
  <c r="I35" i="2"/>
  <c r="H35" i="2"/>
  <c r="H14" i="2" s="1"/>
  <c r="G35" i="2"/>
  <c r="G14" i="2" s="1"/>
  <c r="F35" i="2"/>
  <c r="E35" i="2"/>
  <c r="D35" i="2"/>
  <c r="D14" i="2" s="1"/>
  <c r="C35" i="2"/>
  <c r="C14" i="2" s="1"/>
  <c r="AF34" i="2"/>
  <c r="AE34" i="2"/>
  <c r="AD34" i="2"/>
  <c r="AD11" i="2" s="1"/>
  <c r="AC34" i="2"/>
  <c r="AC11" i="2" s="1"/>
  <c r="AB34" i="2"/>
  <c r="AA34" i="2"/>
  <c r="Z34" i="2"/>
  <c r="Z11" i="2" s="1"/>
  <c r="Y34" i="2"/>
  <c r="Y11" i="2" s="1"/>
  <c r="Y17" i="2" s="1"/>
  <c r="X34" i="2"/>
  <c r="W34" i="2"/>
  <c r="V34" i="2"/>
  <c r="V11" i="2" s="1"/>
  <c r="U34" i="2"/>
  <c r="U11" i="2" s="1"/>
  <c r="T34" i="2"/>
  <c r="S34" i="2"/>
  <c r="R34" i="2"/>
  <c r="R11" i="2" s="1"/>
  <c r="Q34" i="2"/>
  <c r="P34" i="2"/>
  <c r="O34" i="2"/>
  <c r="N34" i="2"/>
  <c r="N11" i="2" s="1"/>
  <c r="M34" i="2"/>
  <c r="M11" i="2" s="1"/>
  <c r="L34" i="2"/>
  <c r="K34" i="2"/>
  <c r="J34" i="2"/>
  <c r="J11" i="2" s="1"/>
  <c r="I34" i="2"/>
  <c r="I11" i="2" s="1"/>
  <c r="I17" i="2" s="1"/>
  <c r="J21" i="2" s="1"/>
  <c r="J24" i="2" s="1"/>
  <c r="J25" i="2" s="1"/>
  <c r="H34" i="2"/>
  <c r="G34" i="2"/>
  <c r="F34" i="2"/>
  <c r="F11" i="2" s="1"/>
  <c r="E34" i="2"/>
  <c r="E11" i="2" s="1"/>
  <c r="D34" i="2"/>
  <c r="C34" i="2"/>
  <c r="AF33" i="2"/>
  <c r="AF36" i="2" s="1"/>
  <c r="AF39" i="2" s="1"/>
  <c r="AE33" i="2"/>
  <c r="AE36" i="2" s="1"/>
  <c r="AE39" i="2" s="1"/>
  <c r="X33" i="2"/>
  <c r="X36" i="2" s="1"/>
  <c r="X39" i="2" s="1"/>
  <c r="W33" i="2"/>
  <c r="W36" i="2" s="1"/>
  <c r="W39" i="2" s="1"/>
  <c r="P33" i="2"/>
  <c r="P36" i="2" s="1"/>
  <c r="P39" i="2" s="1"/>
  <c r="O33" i="2"/>
  <c r="O36" i="2" s="1"/>
  <c r="O39" i="2" s="1"/>
  <c r="H33" i="2"/>
  <c r="H36" i="2" s="1"/>
  <c r="H39" i="2" s="1"/>
  <c r="G33" i="2"/>
  <c r="G36" i="2" s="1"/>
  <c r="G39" i="2" s="1"/>
  <c r="AF32" i="2"/>
  <c r="AE32" i="2"/>
  <c r="AD32" i="2"/>
  <c r="AC32" i="2"/>
  <c r="AC10" i="2" s="1"/>
  <c r="AB32" i="2"/>
  <c r="AA32" i="2"/>
  <c r="Z32" i="2"/>
  <c r="Y32" i="2"/>
  <c r="Y10" i="2" s="1"/>
  <c r="X32" i="2"/>
  <c r="W32" i="2"/>
  <c r="V32" i="2"/>
  <c r="U32" i="2"/>
  <c r="U10" i="2" s="1"/>
  <c r="T32" i="2"/>
  <c r="S32" i="2"/>
  <c r="R32" i="2"/>
  <c r="Q32" i="2"/>
  <c r="Q10" i="2" s="1"/>
  <c r="P32" i="2"/>
  <c r="O32" i="2"/>
  <c r="N32" i="2"/>
  <c r="M32" i="2"/>
  <c r="M10" i="2" s="1"/>
  <c r="L32" i="2"/>
  <c r="K32" i="2"/>
  <c r="J32" i="2"/>
  <c r="I32" i="2"/>
  <c r="I10" i="2" s="1"/>
  <c r="H32" i="2"/>
  <c r="G32" i="2"/>
  <c r="F32" i="2"/>
  <c r="E32" i="2"/>
  <c r="E10" i="2" s="1"/>
  <c r="D32" i="2"/>
  <c r="C32" i="2"/>
  <c r="AF30" i="2"/>
  <c r="AF8" i="2" s="1"/>
  <c r="AE30" i="2"/>
  <c r="AE8" i="2" s="1"/>
  <c r="AE17" i="2" s="1"/>
  <c r="AF21" i="2" s="1"/>
  <c r="AF24" i="2" s="1"/>
  <c r="AD30" i="2"/>
  <c r="AD33" i="2" s="1"/>
  <c r="AD36" i="2" s="1"/>
  <c r="AD39" i="2" s="1"/>
  <c r="AC30" i="2"/>
  <c r="AC33" i="2" s="1"/>
  <c r="AC36" i="2" s="1"/>
  <c r="AC39" i="2" s="1"/>
  <c r="AB30" i="2"/>
  <c r="AB8" i="2" s="1"/>
  <c r="AA30" i="2"/>
  <c r="AA33" i="2" s="1"/>
  <c r="AA36" i="2" s="1"/>
  <c r="AA39" i="2" s="1"/>
  <c r="Z30" i="2"/>
  <c r="Z33" i="2" s="1"/>
  <c r="Z36" i="2" s="1"/>
  <c r="Z39" i="2" s="1"/>
  <c r="Y30" i="2"/>
  <c r="Y33" i="2" s="1"/>
  <c r="Y36" i="2" s="1"/>
  <c r="Y39" i="2" s="1"/>
  <c r="X30" i="2"/>
  <c r="X8" i="2" s="1"/>
  <c r="W30" i="2"/>
  <c r="V30" i="2"/>
  <c r="V33" i="2" s="1"/>
  <c r="V36" i="2" s="1"/>
  <c r="V39" i="2" s="1"/>
  <c r="U30" i="2"/>
  <c r="U33" i="2" s="1"/>
  <c r="U36" i="2" s="1"/>
  <c r="U39" i="2" s="1"/>
  <c r="T30" i="2"/>
  <c r="T8" i="2" s="1"/>
  <c r="S30" i="2"/>
  <c r="S33" i="2" s="1"/>
  <c r="S36" i="2" s="1"/>
  <c r="S39" i="2" s="1"/>
  <c r="R30" i="2"/>
  <c r="R33" i="2" s="1"/>
  <c r="R36" i="2" s="1"/>
  <c r="R39" i="2" s="1"/>
  <c r="Q30" i="2"/>
  <c r="Q33" i="2" s="1"/>
  <c r="Q36" i="2" s="1"/>
  <c r="Q39" i="2" s="1"/>
  <c r="P30" i="2"/>
  <c r="P8" i="2" s="1"/>
  <c r="O30" i="2"/>
  <c r="O8" i="2" s="1"/>
  <c r="O17" i="2" s="1"/>
  <c r="N30" i="2"/>
  <c r="N33" i="2" s="1"/>
  <c r="N36" i="2" s="1"/>
  <c r="N39" i="2" s="1"/>
  <c r="M30" i="2"/>
  <c r="M33" i="2" s="1"/>
  <c r="M36" i="2" s="1"/>
  <c r="M39" i="2" s="1"/>
  <c r="L30" i="2"/>
  <c r="L8" i="2" s="1"/>
  <c r="K30" i="2"/>
  <c r="K33" i="2" s="1"/>
  <c r="K36" i="2" s="1"/>
  <c r="K39" i="2" s="1"/>
  <c r="J30" i="2"/>
  <c r="J33" i="2" s="1"/>
  <c r="J36" i="2" s="1"/>
  <c r="J39" i="2" s="1"/>
  <c r="I30" i="2"/>
  <c r="I33" i="2" s="1"/>
  <c r="I36" i="2" s="1"/>
  <c r="I39" i="2" s="1"/>
  <c r="H30" i="2"/>
  <c r="G30" i="2"/>
  <c r="F30" i="2"/>
  <c r="F33" i="2" s="1"/>
  <c r="F36" i="2" s="1"/>
  <c r="F39" i="2" s="1"/>
  <c r="E30" i="2"/>
  <c r="E33" i="2" s="1"/>
  <c r="E36" i="2" s="1"/>
  <c r="E39" i="2" s="1"/>
  <c r="D30" i="2"/>
  <c r="D33" i="2" s="1"/>
  <c r="D36" i="2" s="1"/>
  <c r="D39" i="2" s="1"/>
  <c r="C30" i="2"/>
  <c r="C33" i="2" s="1"/>
  <c r="C36" i="2" s="1"/>
  <c r="C39" i="2" s="1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AF14" i="2"/>
  <c r="AD14" i="2"/>
  <c r="AC14" i="2"/>
  <c r="AB14" i="2"/>
  <c r="Z14" i="2"/>
  <c r="Y14" i="2"/>
  <c r="V14" i="2"/>
  <c r="U14" i="2"/>
  <c r="R14" i="2"/>
  <c r="Q14" i="2"/>
  <c r="P14" i="2"/>
  <c r="N14" i="2"/>
  <c r="M14" i="2"/>
  <c r="L14" i="2"/>
  <c r="J14" i="2"/>
  <c r="I14" i="2"/>
  <c r="F14" i="2"/>
  <c r="E14" i="2"/>
  <c r="AF13" i="2"/>
  <c r="AE13" i="2"/>
  <c r="AD13" i="2"/>
  <c r="AB13" i="2"/>
  <c r="AA13" i="2"/>
  <c r="Z13" i="2"/>
  <c r="X13" i="2"/>
  <c r="W13" i="2"/>
  <c r="AD12" i="2"/>
  <c r="AC12" i="2"/>
  <c r="Z12" i="2"/>
  <c r="Z17" i="2" s="1"/>
  <c r="Y12" i="2"/>
  <c r="V12" i="2"/>
  <c r="U12" i="2"/>
  <c r="S12" i="2"/>
  <c r="R12" i="2"/>
  <c r="Q12" i="2"/>
  <c r="N12" i="2"/>
  <c r="M12" i="2"/>
  <c r="J12" i="2"/>
  <c r="J17" i="2" s="1"/>
  <c r="K21" i="2" s="1"/>
  <c r="K24" i="2" s="1"/>
  <c r="I12" i="2"/>
  <c r="F12" i="2"/>
  <c r="E12" i="2"/>
  <c r="C12" i="2"/>
  <c r="AF11" i="2"/>
  <c r="AE11" i="2"/>
  <c r="AB11" i="2"/>
  <c r="AA11" i="2"/>
  <c r="X11" i="2"/>
  <c r="W11" i="2"/>
  <c r="T11" i="2"/>
  <c r="S11" i="2"/>
  <c r="Q11" i="2"/>
  <c r="Q17" i="2" s="1"/>
  <c r="P11" i="2"/>
  <c r="O11" i="2"/>
  <c r="L11" i="2"/>
  <c r="K11" i="2"/>
  <c r="H11" i="2"/>
  <c r="G11" i="2"/>
  <c r="D11" i="2"/>
  <c r="C11" i="2"/>
  <c r="AF10" i="2"/>
  <c r="AE10" i="2"/>
  <c r="AD10" i="2"/>
  <c r="AB10" i="2"/>
  <c r="AA10" i="2"/>
  <c r="Z10" i="2"/>
  <c r="X10" i="2"/>
  <c r="W10" i="2"/>
  <c r="V10" i="2"/>
  <c r="T10" i="2"/>
  <c r="S10" i="2"/>
  <c r="R10" i="2"/>
  <c r="P10" i="2"/>
  <c r="O10" i="2"/>
  <c r="N10" i="2"/>
  <c r="L10" i="2"/>
  <c r="K10" i="2"/>
  <c r="J10" i="2"/>
  <c r="H10" i="2"/>
  <c r="G10" i="2"/>
  <c r="F10" i="2"/>
  <c r="D10" i="2"/>
  <c r="C10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AD8" i="2"/>
  <c r="AD17" i="2" s="1"/>
  <c r="AE21" i="2" s="1"/>
  <c r="AE24" i="2" s="1"/>
  <c r="AE25" i="2" s="1"/>
  <c r="AC8" i="2"/>
  <c r="AA8" i="2"/>
  <c r="Z8" i="2"/>
  <c r="Y8" i="2"/>
  <c r="W8" i="2"/>
  <c r="V8" i="2"/>
  <c r="V17" i="2" s="1"/>
  <c r="U8" i="2"/>
  <c r="S8" i="2"/>
  <c r="R8" i="2"/>
  <c r="R17" i="2" s="1"/>
  <c r="Q8" i="2"/>
  <c r="N8" i="2"/>
  <c r="N17" i="2" s="1"/>
  <c r="O21" i="2" s="1"/>
  <c r="O24" i="2" s="1"/>
  <c r="O25" i="2" s="1"/>
  <c r="M8" i="2"/>
  <c r="K8" i="2"/>
  <c r="J8" i="2"/>
  <c r="I8" i="2"/>
  <c r="H8" i="2"/>
  <c r="G8" i="2"/>
  <c r="F8" i="2"/>
  <c r="F17" i="2" s="1"/>
  <c r="G21" i="2" s="1"/>
  <c r="G24" i="2" s="1"/>
  <c r="E8" i="2"/>
  <c r="D8" i="2"/>
  <c r="C8" i="2"/>
  <c r="C17" i="2" s="1"/>
  <c r="Z19" i="2" l="1"/>
  <c r="AA21" i="2"/>
  <c r="AA24" i="2" s="1"/>
  <c r="Y19" i="2"/>
  <c r="Z21" i="2"/>
  <c r="Z24" i="2" s="1"/>
  <c r="Z25" i="2" s="1"/>
  <c r="V19" i="2"/>
  <c r="W21" i="2"/>
  <c r="W24" i="2" s="1"/>
  <c r="W25" i="2" s="1"/>
  <c r="Q19" i="2"/>
  <c r="R21" i="2"/>
  <c r="R24" i="2" s="1"/>
  <c r="R25" i="2" s="1"/>
  <c r="P21" i="2"/>
  <c r="P24" i="2" s="1"/>
  <c r="O19" i="2"/>
  <c r="R19" i="2"/>
  <c r="S21" i="2"/>
  <c r="S24" i="2" s="1"/>
  <c r="E17" i="2"/>
  <c r="M17" i="2"/>
  <c r="N21" i="2" s="1"/>
  <c r="N24" i="2" s="1"/>
  <c r="N25" i="2" s="1"/>
  <c r="U17" i="2"/>
  <c r="AC17" i="2"/>
  <c r="AD21" i="2" s="1"/>
  <c r="AD24" i="2" s="1"/>
  <c r="AD25" i="2" s="1"/>
  <c r="K17" i="2"/>
  <c r="L21" i="2" s="1"/>
  <c r="L24" i="2" s="1"/>
  <c r="L25" i="2" s="1"/>
  <c r="H17" i="2"/>
  <c r="I21" i="2" s="1"/>
  <c r="I24" i="2" s="1"/>
  <c r="I25" i="2" s="1"/>
  <c r="G17" i="2"/>
  <c r="H21" i="2" s="1"/>
  <c r="H24" i="2" s="1"/>
  <c r="H25" i="2" s="1"/>
  <c r="AA17" i="2"/>
  <c r="D17" i="2"/>
  <c r="W17" i="2"/>
  <c r="S17" i="2"/>
  <c r="L17" i="2"/>
  <c r="M21" i="2" s="1"/>
  <c r="M24" i="2" s="1"/>
  <c r="P17" i="2"/>
  <c r="T17" i="2"/>
  <c r="X17" i="2"/>
  <c r="AB17" i="2"/>
  <c r="AF17" i="2"/>
  <c r="AF25" i="2" s="1"/>
  <c r="L33" i="2"/>
  <c r="L36" i="2" s="1"/>
  <c r="L39" i="2" s="1"/>
  <c r="T33" i="2"/>
  <c r="T36" i="2" s="1"/>
  <c r="T39" i="2" s="1"/>
  <c r="AB33" i="2"/>
  <c r="AB36" i="2" s="1"/>
  <c r="AB39" i="2" s="1"/>
  <c r="P19" i="2" l="1"/>
  <c r="Q21" i="2"/>
  <c r="Q24" i="2" s="1"/>
  <c r="Q25" i="2" s="1"/>
  <c r="AB19" i="2"/>
  <c r="AC21" i="2"/>
  <c r="AC24" i="2" s="1"/>
  <c r="AC25" i="2" s="1"/>
  <c r="M25" i="2"/>
  <c r="AB21" i="2"/>
  <c r="AB24" i="2" s="1"/>
  <c r="AB25" i="2" s="1"/>
  <c r="AA19" i="2"/>
  <c r="K25" i="2"/>
  <c r="X19" i="2"/>
  <c r="Y21" i="2"/>
  <c r="Y24" i="2" s="1"/>
  <c r="Y25" i="2" s="1"/>
  <c r="T21" i="2"/>
  <c r="T24" i="2" s="1"/>
  <c r="T25" i="2" s="1"/>
  <c r="S19" i="2"/>
  <c r="S25" i="2"/>
  <c r="P25" i="2"/>
  <c r="AA25" i="2"/>
  <c r="T19" i="2"/>
  <c r="U21" i="2"/>
  <c r="U24" i="2" s="1"/>
  <c r="U25" i="2" s="1"/>
  <c r="X21" i="2"/>
  <c r="X24" i="2" s="1"/>
  <c r="X25" i="2" s="1"/>
  <c r="W19" i="2"/>
  <c r="U19" i="2"/>
  <c r="V21" i="2"/>
  <c r="V24" i="2" s="1"/>
  <c r="V25" i="2" s="1"/>
  <c r="G25" i="2"/>
  <c r="O19" i="1" l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N19" i="1"/>
</calcChain>
</file>

<file path=xl/sharedStrings.xml><?xml version="1.0" encoding="utf-8"?>
<sst xmlns="http://schemas.openxmlformats.org/spreadsheetml/2006/main" count="105" uniqueCount="75">
  <si>
    <t>Fiscal year</t>
  </si>
  <si>
    <t>2013-14</t>
  </si>
  <si>
    <t>2014-15</t>
  </si>
  <si>
    <t>2015-16</t>
  </si>
  <si>
    <t>2016-17</t>
  </si>
  <si>
    <t>2017-18</t>
  </si>
  <si>
    <t>2018-19</t>
  </si>
  <si>
    <t>2019-20</t>
  </si>
  <si>
    <t>Calendar Year</t>
  </si>
  <si>
    <t>Source</t>
  </si>
  <si>
    <t>Province</t>
  </si>
  <si>
    <t xml:space="preserve">  return on investment </t>
  </si>
  <si>
    <t>letter to pension board</t>
  </si>
  <si>
    <t xml:space="preserve">  salary escalation</t>
  </si>
  <si>
    <t xml:space="preserve">  inflation</t>
  </si>
  <si>
    <t>formula</t>
  </si>
  <si>
    <t>n/a</t>
  </si>
  <si>
    <t>Inflation rate</t>
  </si>
  <si>
    <t>salary escalation rate</t>
  </si>
  <si>
    <t>Accrued Benefit Surplus (Deficit) 100% OTPP Financial Statements</t>
  </si>
  <si>
    <t>OTPP stop smoothing</t>
  </si>
  <si>
    <t>OTPP Assumptions (Accounting)</t>
  </si>
  <si>
    <t>Province's Best Estimate Economic Assumptions</t>
  </si>
  <si>
    <t xml:space="preserve">  long tern expected return on investment (Province's Discount Rate)</t>
  </si>
  <si>
    <t xml:space="preserve">@ 50% Accrued Benefit net Asset (Liability) </t>
  </si>
  <si>
    <t>Province's Accrued Benefit Asset (Liability) at 50% (excluding RCA)</t>
  </si>
  <si>
    <t xml:space="preserve">Ontario Teachers' Pension Plan - PSAB Calculations </t>
  </si>
  <si>
    <t>Pension Liability</t>
  </si>
  <si>
    <t>50% Pension Liability Reflecing Accounting Policy for Joint Plans</t>
  </si>
  <si>
    <t>Accrued benefit obligation, closing balance</t>
  </si>
  <si>
    <t>formula - 50% of below</t>
  </si>
  <si>
    <t>Reclassification</t>
  </si>
  <si>
    <t>Less: pension fund assets, closing balance</t>
  </si>
  <si>
    <t>Unamortized experience gains</t>
  </si>
  <si>
    <t>Adjustment for different year ends</t>
  </si>
  <si>
    <t>Adjustment for special payments - foregone CPI</t>
  </si>
  <si>
    <t>Adjustment for OTPP receivable from Proivnce</t>
  </si>
  <si>
    <t>Unamortized initial unfunded liability</t>
  </si>
  <si>
    <t>"initial ufl" sheet</t>
  </si>
  <si>
    <t>Unamortized difference in contributions</t>
  </si>
  <si>
    <t>"contributions" sheet</t>
  </si>
  <si>
    <t xml:space="preserve">  Pension liability at March 31</t>
  </si>
  <si>
    <t xml:space="preserve">formula </t>
  </si>
  <si>
    <t>Unrounded</t>
  </si>
  <si>
    <t>Continuity</t>
  </si>
  <si>
    <t>Opening pension liability - March 31</t>
  </si>
  <si>
    <t>above</t>
  </si>
  <si>
    <t>Pension expenditure</t>
  </si>
  <si>
    <t>"expense" sheet</t>
  </si>
  <si>
    <t>Less: Employer contribution - fiscal year</t>
  </si>
  <si>
    <t>Data Input</t>
  </si>
  <si>
    <t>Closing pension liability - March 31</t>
  </si>
  <si>
    <t xml:space="preserve">  checking</t>
  </si>
  <si>
    <t>100% Pension Liability</t>
  </si>
  <si>
    <t>Data input</t>
  </si>
  <si>
    <t xml:space="preserve">  Pension liability (surplus)</t>
  </si>
  <si>
    <t>"experience g(l)" sheet</t>
  </si>
  <si>
    <t xml:space="preserve">  Pension liability at December 31</t>
  </si>
  <si>
    <t>"CPI Special Payments" sheet</t>
  </si>
  <si>
    <t>"year end" sheet</t>
  </si>
  <si>
    <t>Ontario Teachers' Pension Plan</t>
  </si>
  <si>
    <t>($ millions)</t>
  </si>
  <si>
    <t>Discount rate (OTPP) - based on market rates, bonds issued by the Province</t>
  </si>
  <si>
    <t>OTTP Funding Surplus (100%)</t>
  </si>
  <si>
    <t>OTTP Funding Surplus (50%)</t>
  </si>
  <si>
    <t>Excess of asset on province's books over 50% of ceiling</t>
  </si>
  <si>
    <t>Accounting</t>
  </si>
  <si>
    <t>2015 opening accumulated deficit</t>
  </si>
  <si>
    <t>Dr. accumulated deficit --</t>
  </si>
  <si>
    <t>Cr. Valuation allowance</t>
  </si>
  <si>
    <t>Dr. income statement</t>
  </si>
  <si>
    <t>2016 adjustment</t>
  </si>
  <si>
    <t>2015 in-year  adjustment</t>
  </si>
  <si>
    <t>Dr. valuation allowance</t>
  </si>
  <si>
    <t>Cr.  Income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</si>
</sst>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164" formatCode="0.000%"/>
    <numFmt numFmtId="165" formatCode="_(* #,##0.00_);_(* \(#,##0.00\);_(* &quot;-&quot;??_);_(@_)"/>
    <numFmt numFmtId="166" formatCode="_(* #,##0_);_(* \(#,##0\);_(* &quot;-&quot;??_);_(@_)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color theme="6" tint="-0.499984740745262"/>
      <name val="Arial"/>
      <family val="2"/>
    </font>
    <font>
      <sz val="8"/>
      <color theme="6" tint="-0.499984740745262"/>
      <name val="Arial"/>
      <family val="2"/>
    </font>
    <font>
      <b/>
      <sz val="10"/>
      <color indexed="12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65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0" fontId="1" fillId="2" borderId="1" applyNumberFormat="0" applyFont="0" applyAlignment="0" applyProtection="0"/>
  </cellStyleXfs>
  <cellXfs count="118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0" xfId="0" applyFill="1"/>
    <xf numFmtId="0" fontId="3" fillId="0" borderId="0" xfId="0" applyFont="1" applyFill="1"/>
    <xf numFmtId="0" fontId="0" fillId="0" borderId="0" xfId="0" applyFill="1" applyBorder="1"/>
    <xf numFmtId="0" fontId="6" fillId="0" borderId="0" xfId="0" applyFont="1"/>
    <xf numFmtId="0" fontId="7" fillId="0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5" fillId="0" borderId="0" xfId="0" applyFont="1" applyFill="1" applyBorder="1"/>
    <xf numFmtId="164" fontId="3" fillId="0" borderId="0" xfId="3" applyNumberFormat="1" applyFont="1"/>
    <xf numFmtId="164" fontId="0" fillId="0" borderId="0" xfId="3" applyNumberFormat="1" applyFont="1"/>
    <xf numFmtId="164" fontId="0" fillId="0" borderId="3" xfId="3" applyNumberFormat="1" applyFont="1" applyBorder="1"/>
    <xf numFmtId="164" fontId="0" fillId="0" borderId="3" xfId="3" applyNumberFormat="1" applyFont="1" applyFill="1" applyBorder="1"/>
    <xf numFmtId="164" fontId="3" fillId="0" borderId="3" xfId="3" applyNumberFormat="1" applyFont="1" applyFill="1" applyBorder="1"/>
    <xf numFmtId="164" fontId="10" fillId="0" borderId="4" xfId="3" applyNumberFormat="1" applyFont="1" applyFill="1" applyBorder="1"/>
    <xf numFmtId="164" fontId="0" fillId="0" borderId="0" xfId="3" applyNumberFormat="1" applyFont="1" applyFill="1" applyBorder="1"/>
    <xf numFmtId="0" fontId="10" fillId="0" borderId="0" xfId="0" applyFont="1" applyFill="1"/>
    <xf numFmtId="166" fontId="0" fillId="0" borderId="0" xfId="1" applyNumberFormat="1" applyFont="1"/>
    <xf numFmtId="166" fontId="11" fillId="0" borderId="0" xfId="1" applyNumberFormat="1" applyFont="1"/>
    <xf numFmtId="166" fontId="11" fillId="0" borderId="0" xfId="1" applyNumberFormat="1" applyFont="1" applyFill="1"/>
    <xf numFmtId="166" fontId="11" fillId="3" borderId="0" xfId="1" applyNumberFormat="1" applyFont="1" applyFill="1"/>
    <xf numFmtId="166" fontId="11" fillId="4" borderId="0" xfId="1" applyNumberFormat="1" applyFont="1" applyFill="1"/>
    <xf numFmtId="166" fontId="3" fillId="0" borderId="0" xfId="1" applyNumberFormat="1" applyFont="1"/>
    <xf numFmtId="166" fontId="3" fillId="0" borderId="0" xfId="1" applyNumberFormat="1" applyFont="1" applyFill="1"/>
    <xf numFmtId="166" fontId="0" fillId="0" borderId="0" xfId="1" applyNumberFormat="1" applyFont="1" applyFill="1"/>
    <xf numFmtId="166" fontId="11" fillId="5" borderId="0" xfId="1" applyNumberFormat="1" applyFont="1" applyFill="1"/>
    <xf numFmtId="166" fontId="3" fillId="3" borderId="0" xfId="1" applyNumberFormat="1" applyFont="1" applyFill="1"/>
    <xf numFmtId="166" fontId="3" fillId="4" borderId="0" xfId="1" applyNumberFormat="1" applyFont="1" applyFill="1"/>
    <xf numFmtId="166" fontId="5" fillId="0" borderId="0" xfId="1" applyNumberFormat="1" applyFont="1"/>
    <xf numFmtId="0" fontId="0" fillId="3" borderId="0" xfId="0" applyFill="1"/>
    <xf numFmtId="0" fontId="0" fillId="4" borderId="0" xfId="0" applyFill="1"/>
    <xf numFmtId="164" fontId="5" fillId="0" borderId="0" xfId="3" applyNumberFormat="1" applyFont="1"/>
    <xf numFmtId="10" fontId="0" fillId="0" borderId="0" xfId="3" applyNumberFormat="1" applyFont="1"/>
    <xf numFmtId="0" fontId="12" fillId="0" borderId="0" xfId="0" applyFont="1" applyFill="1" applyAlignment="1">
      <alignment wrapText="1"/>
    </xf>
    <xf numFmtId="0" fontId="9" fillId="0" borderId="0" xfId="0" applyFont="1" applyFill="1"/>
    <xf numFmtId="164" fontId="3" fillId="0" borderId="4" xfId="3" applyNumberFormat="1" applyFont="1" applyFill="1" applyBorder="1"/>
    <xf numFmtId="10" fontId="0" fillId="0" borderId="0" xfId="3" applyNumberFormat="1" applyFont="1" applyFill="1"/>
    <xf numFmtId="164" fontId="5" fillId="6" borderId="0" xfId="3" applyNumberFormat="1" applyFont="1" applyFill="1"/>
    <xf numFmtId="0" fontId="0" fillId="6" borderId="0" xfId="0" applyFill="1"/>
    <xf numFmtId="10" fontId="0" fillId="6" borderId="0" xfId="3" applyNumberFormat="1" applyFont="1" applyFill="1"/>
    <xf numFmtId="0" fontId="0" fillId="7" borderId="0" xfId="0" applyFill="1"/>
    <xf numFmtId="0" fontId="7" fillId="7" borderId="0" xfId="0" applyFont="1" applyFill="1" applyAlignment="1">
      <alignment horizontal="center"/>
    </xf>
    <xf numFmtId="0" fontId="5" fillId="7" borderId="2" xfId="0" applyFont="1" applyFill="1" applyBorder="1" applyAlignment="1">
      <alignment horizontal="center"/>
    </xf>
    <xf numFmtId="166" fontId="0" fillId="7" borderId="0" xfId="1" applyNumberFormat="1" applyFont="1" applyFill="1"/>
    <xf numFmtId="166" fontId="0" fillId="3" borderId="0" xfId="1" applyNumberFormat="1" applyFont="1" applyFill="1"/>
    <xf numFmtId="166" fontId="0" fillId="4" borderId="0" xfId="1" applyNumberFormat="1" applyFont="1" applyFill="1"/>
    <xf numFmtId="165" fontId="0" fillId="0" borderId="0" xfId="1" applyNumberFormat="1" applyFont="1" applyFill="1"/>
    <xf numFmtId="166" fontId="13" fillId="5" borderId="0" xfId="1" applyNumberFormat="1" applyFont="1" applyFill="1"/>
    <xf numFmtId="166" fontId="0" fillId="5" borderId="0" xfId="1" applyNumberFormat="1" applyFont="1" applyFill="1"/>
    <xf numFmtId="165" fontId="0" fillId="5" borderId="0" xfId="1" applyNumberFormat="1" applyFont="1" applyFill="1"/>
    <xf numFmtId="166" fontId="0" fillId="0" borderId="0" xfId="1" applyNumberFormat="1" applyFont="1" applyBorder="1" applyAlignment="1">
      <alignment horizontal="right"/>
    </xf>
    <xf numFmtId="166" fontId="0" fillId="0" borderId="0" xfId="1" applyNumberFormat="1" applyFont="1" applyFill="1" applyBorder="1" applyAlignment="1">
      <alignment horizontal="right"/>
    </xf>
    <xf numFmtId="165" fontId="0" fillId="0" borderId="0" xfId="1" applyNumberFormat="1" applyFont="1" applyFill="1" applyBorder="1" applyAlignment="1">
      <alignment horizontal="right"/>
    </xf>
    <xf numFmtId="166" fontId="0" fillId="7" borderId="0" xfId="1" applyNumberFormat="1" applyFont="1" applyFill="1" applyBorder="1" applyAlignment="1">
      <alignment horizontal="right"/>
    </xf>
    <xf numFmtId="166" fontId="0" fillId="3" borderId="0" xfId="1" applyNumberFormat="1" applyFont="1" applyFill="1" applyBorder="1" applyAlignment="1">
      <alignment horizontal="right"/>
    </xf>
    <xf numFmtId="166" fontId="0" fillId="4" borderId="0" xfId="1" applyNumberFormat="1" applyFont="1" applyFill="1" applyBorder="1" applyAlignment="1">
      <alignment horizontal="right"/>
    </xf>
    <xf numFmtId="166" fontId="0" fillId="0" borderId="5" xfId="1" applyNumberFormat="1" applyFont="1" applyBorder="1" applyAlignment="1">
      <alignment horizontal="right"/>
    </xf>
    <xf numFmtId="166" fontId="0" fillId="0" borderId="5" xfId="1" applyNumberFormat="1" applyFont="1" applyFill="1" applyBorder="1" applyAlignment="1">
      <alignment horizontal="right"/>
    </xf>
    <xf numFmtId="165" fontId="0" fillId="0" borderId="5" xfId="1" applyNumberFormat="1" applyFont="1" applyFill="1" applyBorder="1" applyAlignment="1">
      <alignment horizontal="right"/>
    </xf>
    <xf numFmtId="166" fontId="0" fillId="7" borderId="5" xfId="1" applyNumberFormat="1" applyFont="1" applyFill="1" applyBorder="1" applyAlignment="1">
      <alignment horizontal="right"/>
    </xf>
    <xf numFmtId="166" fontId="0" fillId="3" borderId="5" xfId="1" applyNumberFormat="1" applyFont="1" applyFill="1" applyBorder="1" applyAlignment="1">
      <alignment horizontal="right"/>
    </xf>
    <xf numFmtId="166" fontId="0" fillId="4" borderId="5" xfId="1" applyNumberFormat="1" applyFont="1" applyFill="1" applyBorder="1" applyAlignment="1">
      <alignment horizontal="right"/>
    </xf>
    <xf numFmtId="166" fontId="14" fillId="0" borderId="0" xfId="1" applyNumberFormat="1" applyFont="1"/>
    <xf numFmtId="166" fontId="4" fillId="0" borderId="6" xfId="1" applyNumberFormat="1" applyFont="1" applyBorder="1"/>
    <xf numFmtId="166" fontId="4" fillId="0" borderId="6" xfId="1" applyNumberFormat="1" applyFont="1" applyFill="1" applyBorder="1"/>
    <xf numFmtId="165" fontId="4" fillId="0" borderId="6" xfId="1" applyNumberFormat="1" applyFont="1" applyFill="1" applyBorder="1"/>
    <xf numFmtId="166" fontId="4" fillId="7" borderId="6" xfId="1" applyNumberFormat="1" applyFont="1" applyFill="1" applyBorder="1"/>
    <xf numFmtId="166" fontId="4" fillId="3" borderId="6" xfId="1" applyNumberFormat="1" applyFont="1" applyFill="1" applyBorder="1"/>
    <xf numFmtId="166" fontId="4" fillId="4" borderId="6" xfId="1" applyNumberFormat="1" applyFont="1" applyFill="1" applyBorder="1"/>
    <xf numFmtId="166" fontId="4" fillId="0" borderId="0" xfId="1" applyNumberFormat="1" applyFont="1"/>
    <xf numFmtId="166" fontId="3" fillId="7" borderId="0" xfId="1" applyNumberFormat="1" applyFont="1" applyFill="1"/>
    <xf numFmtId="3" fontId="3" fillId="0" borderId="0" xfId="1" applyNumberFormat="1" applyFont="1"/>
    <xf numFmtId="3" fontId="3" fillId="0" borderId="0" xfId="1" applyNumberFormat="1" applyFont="1" applyFill="1"/>
    <xf numFmtId="3" fontId="3" fillId="3" borderId="0" xfId="1" applyNumberFormat="1" applyFont="1" applyFill="1"/>
    <xf numFmtId="3" fontId="3" fillId="4" borderId="0" xfId="1" applyNumberFormat="1" applyFont="1" applyFill="1"/>
    <xf numFmtId="166" fontId="3" fillId="0" borderId="5" xfId="1" applyNumberFormat="1" applyFont="1" applyBorder="1"/>
    <xf numFmtId="166" fontId="3" fillId="0" borderId="5" xfId="1" applyNumberFormat="1" applyFont="1" applyFill="1" applyBorder="1"/>
    <xf numFmtId="166" fontId="3" fillId="7" borderId="5" xfId="1" applyNumberFormat="1" applyFont="1" applyFill="1" applyBorder="1"/>
    <xf numFmtId="166" fontId="3" fillId="3" borderId="5" xfId="1" applyNumberFormat="1" applyFont="1" applyFill="1" applyBorder="1"/>
    <xf numFmtId="166" fontId="3" fillId="4" borderId="5" xfId="1" applyNumberFormat="1" applyFont="1" applyFill="1" applyBorder="1"/>
    <xf numFmtId="166" fontId="11" fillId="0" borderId="6" xfId="1" applyNumberFormat="1" applyFont="1" applyBorder="1"/>
    <xf numFmtId="166" fontId="11" fillId="0" borderId="6" xfId="1" applyNumberFormat="1" applyFont="1" applyFill="1" applyBorder="1"/>
    <xf numFmtId="166" fontId="11" fillId="7" borderId="6" xfId="1" applyNumberFormat="1" applyFont="1" applyFill="1" applyBorder="1"/>
    <xf numFmtId="166" fontId="11" fillId="3" borderId="6" xfId="1" applyNumberFormat="1" applyFont="1" applyFill="1" applyBorder="1"/>
    <xf numFmtId="166" fontId="11" fillId="4" borderId="6" xfId="1" applyNumberFormat="1" applyFont="1" applyFill="1" applyBorder="1"/>
    <xf numFmtId="0" fontId="5" fillId="0" borderId="0" xfId="0" quotePrefix="1" applyFont="1"/>
    <xf numFmtId="166" fontId="0" fillId="0" borderId="5" xfId="1" applyNumberFormat="1" applyFont="1" applyBorder="1"/>
    <xf numFmtId="166" fontId="0" fillId="0" borderId="5" xfId="1" applyNumberFormat="1" applyFont="1" applyFill="1" applyBorder="1"/>
    <xf numFmtId="166" fontId="0" fillId="7" borderId="5" xfId="1" applyNumberFormat="1" applyFont="1" applyFill="1" applyBorder="1"/>
    <xf numFmtId="166" fontId="0" fillId="3" borderId="5" xfId="1" applyNumberFormat="1" applyFont="1" applyFill="1" applyBorder="1"/>
    <xf numFmtId="166" fontId="0" fillId="4" borderId="5" xfId="1" applyNumberFormat="1" applyFont="1" applyFill="1" applyBorder="1"/>
    <xf numFmtId="166" fontId="11" fillId="7" borderId="0" xfId="1" applyNumberFormat="1" applyFont="1" applyFill="1"/>
    <xf numFmtId="166" fontId="3" fillId="5" borderId="0" xfId="1" applyNumberFormat="1" applyFont="1" applyFill="1"/>
    <xf numFmtId="166" fontId="0" fillId="0" borderId="7" xfId="1" applyNumberFormat="1" applyFont="1" applyBorder="1"/>
    <xf numFmtId="166" fontId="0" fillId="0" borderId="7" xfId="1" applyNumberFormat="1" applyFont="1" applyFill="1" applyBorder="1"/>
    <xf numFmtId="166" fontId="0" fillId="7" borderId="7" xfId="1" applyNumberFormat="1" applyFont="1" applyFill="1" applyBorder="1"/>
    <xf numFmtId="166" fontId="0" fillId="3" borderId="7" xfId="1" applyNumberFormat="1" applyFont="1" applyFill="1" applyBorder="1"/>
    <xf numFmtId="166" fontId="0" fillId="4" borderId="7" xfId="1" applyNumberFormat="1" applyFont="1" applyFill="1" applyBorder="1"/>
    <xf numFmtId="164" fontId="5" fillId="8" borderId="0" xfId="3" applyNumberFormat="1" applyFont="1" applyFill="1"/>
    <xf numFmtId="0" fontId="0" fillId="8" borderId="0" xfId="0" applyFill="1"/>
    <xf numFmtId="166" fontId="0" fillId="8" borderId="0" xfId="2" applyNumberFormat="1" applyFont="1" applyFill="1"/>
    <xf numFmtId="164" fontId="0" fillId="8" borderId="0" xfId="3" applyNumberFormat="1" applyFont="1" applyFill="1"/>
    <xf numFmtId="164" fontId="0" fillId="8" borderId="3" xfId="3" applyNumberFormat="1" applyFont="1" applyFill="1" applyBorder="1"/>
    <xf numFmtId="164" fontId="5" fillId="8" borderId="3" xfId="3" applyNumberFormat="1" applyFont="1" applyFill="1" applyBorder="1"/>
    <xf numFmtId="164" fontId="5" fillId="8" borderId="4" xfId="3" applyNumberFormat="1" applyFont="1" applyFill="1" applyBorder="1"/>
    <xf numFmtId="0" fontId="15" fillId="0" borderId="0" xfId="0" applyFont="1"/>
    <xf numFmtId="164" fontId="0" fillId="9" borderId="0" xfId="3" applyNumberFormat="1" applyFont="1" applyFill="1"/>
    <xf numFmtId="0" fontId="0" fillId="9" borderId="0" xfId="0" applyFill="1"/>
    <xf numFmtId="166" fontId="0" fillId="9" borderId="0" xfId="2" applyNumberFormat="1" applyFont="1" applyFill="1"/>
    <xf numFmtId="164" fontId="0" fillId="9" borderId="0" xfId="3" quotePrefix="1" applyNumberFormat="1" applyFont="1" applyFill="1"/>
    <xf numFmtId="166" fontId="0" fillId="9" borderId="0" xfId="0" applyNumberFormat="1" applyFill="1"/>
  </cellXfs>
  <cellStyles count="7">
    <cellStyle name="Comma" xfId="1" builtinId="3"/>
    <cellStyle name="Currency" xfId="2" builtinId="4"/>
    <cellStyle name="Normal" xfId="0" builtinId="0"/>
    <cellStyle name="Normal 2" xfId="4"/>
    <cellStyle name="Normal 3" xfId="5"/>
    <cellStyle name="Note 2" xfId="6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einotci/AppData/Local/Microsoft/Windows/Temporary%20Internet%20Files/Content.Outlook/BF5SG0FR/OTPP%20(incl%20RCA)%20Calculations%202015-16%20PAv3%20(Basis%2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RCA data"/>
      <sheetName val="Interest"/>
      <sheetName val="RCA interest"/>
      <sheetName val="experience g(l)"/>
      <sheetName val="RCA exp g(l)"/>
      <sheetName val="amendment"/>
      <sheetName val="RCA amend"/>
      <sheetName val="initial ufl"/>
      <sheetName val="contributions"/>
      <sheetName val="year end"/>
      <sheetName val="CPI Special Payments"/>
      <sheetName val="expense"/>
      <sheetName val="RCA exp"/>
      <sheetName val="liability"/>
      <sheetName val="RCA liab"/>
      <sheetName val="Summary"/>
      <sheetName val="OTTP PA Variance"/>
      <sheetName val="Smoothing"/>
      <sheetName val="Gain avai. for smoothing 2015"/>
    </sheetNames>
    <sheetDataSet>
      <sheetData sheetId="0">
        <row r="12">
          <cell r="D12">
            <v>24391</v>
          </cell>
          <cell r="E12">
            <v>27479</v>
          </cell>
          <cell r="F12">
            <v>30781</v>
          </cell>
          <cell r="G12">
            <v>33998</v>
          </cell>
          <cell r="H12">
            <v>36848</v>
          </cell>
          <cell r="I12">
            <v>39007</v>
          </cell>
          <cell r="J12">
            <v>41833</v>
          </cell>
          <cell r="K12">
            <v>46470</v>
          </cell>
          <cell r="L12">
            <v>48635</v>
          </cell>
          <cell r="M12">
            <v>50346</v>
          </cell>
          <cell r="N12">
            <v>55087</v>
          </cell>
          <cell r="O12">
            <v>64369</v>
          </cell>
          <cell r="P12">
            <v>67319</v>
          </cell>
          <cell r="Q12">
            <v>71009</v>
          </cell>
          <cell r="R12">
            <v>74089</v>
          </cell>
          <cell r="S12">
            <v>80371</v>
          </cell>
          <cell r="T12">
            <v>83120</v>
          </cell>
          <cell r="U12">
            <v>88356</v>
          </cell>
          <cell r="V12">
            <v>92022</v>
          </cell>
          <cell r="W12">
            <v>96608</v>
          </cell>
          <cell r="X12">
            <v>99117</v>
          </cell>
          <cell r="Y12">
            <v>103693</v>
          </cell>
          <cell r="Z12">
            <v>105954</v>
          </cell>
          <cell r="AA12">
            <v>109524</v>
          </cell>
          <cell r="AB12">
            <v>113801</v>
          </cell>
          <cell r="AC12">
            <v>116367</v>
          </cell>
          <cell r="AD12">
            <v>120891.15773981952</v>
          </cell>
          <cell r="AE12">
            <v>125674.54587496544</v>
          </cell>
          <cell r="AF12">
            <v>130724.77615093655</v>
          </cell>
          <cell r="AG12">
            <v>136066.48289917331</v>
          </cell>
        </row>
        <row r="28">
          <cell r="D28">
            <v>20124</v>
          </cell>
          <cell r="E28">
            <v>24697</v>
          </cell>
          <cell r="F28">
            <v>27773</v>
          </cell>
          <cell r="G28">
            <v>33711</v>
          </cell>
          <cell r="H28">
            <v>34242</v>
          </cell>
          <cell r="I28">
            <v>38092</v>
          </cell>
          <cell r="J28">
            <v>43013</v>
          </cell>
          <cell r="K28">
            <v>48901</v>
          </cell>
          <cell r="L28">
            <v>54382</v>
          </cell>
          <cell r="M28">
            <v>61039</v>
          </cell>
          <cell r="N28">
            <v>68780</v>
          </cell>
          <cell r="O28">
            <v>72429</v>
          </cell>
          <cell r="P28">
            <v>75857</v>
          </cell>
          <cell r="Q28">
            <v>79157</v>
          </cell>
          <cell r="R28">
            <v>82791</v>
          </cell>
          <cell r="S28">
            <v>88694</v>
          </cell>
          <cell r="T28">
            <v>94850</v>
          </cell>
          <cell r="U28">
            <v>104917</v>
          </cell>
          <cell r="V28">
            <v>106957</v>
          </cell>
          <cell r="W28">
            <v>109112</v>
          </cell>
          <cell r="X28">
            <v>114246</v>
          </cell>
          <cell r="Y28">
            <v>115685</v>
          </cell>
          <cell r="Z28">
            <v>119864</v>
          </cell>
          <cell r="AA28">
            <v>130867</v>
          </cell>
          <cell r="AB28">
            <v>143076</v>
          </cell>
          <cell r="AC28">
            <v>156998</v>
          </cell>
          <cell r="AD28">
            <v>170805.87488462828</v>
          </cell>
          <cell r="AE28">
            <v>183733.14824921408</v>
          </cell>
          <cell r="AF28">
            <v>196139.25039928145</v>
          </cell>
          <cell r="AG28">
            <v>207697.4054389525</v>
          </cell>
        </row>
        <row r="29">
          <cell r="D29" t="str">
            <v>n/a</v>
          </cell>
          <cell r="E29" t="str">
            <v>n/a</v>
          </cell>
          <cell r="F29" t="str">
            <v>n/a</v>
          </cell>
          <cell r="G29" t="str">
            <v>n/a</v>
          </cell>
          <cell r="H29">
            <v>70</v>
          </cell>
          <cell r="I29">
            <v>79</v>
          </cell>
          <cell r="J29">
            <v>61</v>
          </cell>
          <cell r="K29">
            <v>68</v>
          </cell>
          <cell r="L29">
            <v>53</v>
          </cell>
          <cell r="M29">
            <v>44</v>
          </cell>
          <cell r="N29">
            <v>41</v>
          </cell>
          <cell r="O29">
            <v>44</v>
          </cell>
          <cell r="P29">
            <v>54</v>
          </cell>
          <cell r="Q29">
            <v>43</v>
          </cell>
          <cell r="R29">
            <v>40</v>
          </cell>
          <cell r="S29">
            <v>36</v>
          </cell>
          <cell r="T29">
            <v>34</v>
          </cell>
          <cell r="U29">
            <v>31</v>
          </cell>
          <cell r="V29">
            <v>47</v>
          </cell>
          <cell r="W29">
            <v>57.981786999999997</v>
          </cell>
          <cell r="X29">
            <v>58.585501000000001</v>
          </cell>
          <cell r="Y29">
            <v>39.720883999999998</v>
          </cell>
          <cell r="Z29">
            <v>39.268236999999999</v>
          </cell>
          <cell r="AA29">
            <v>37.903300000000002</v>
          </cell>
          <cell r="AB29">
            <v>36.734502999999997</v>
          </cell>
          <cell r="AC29">
            <v>38</v>
          </cell>
          <cell r="AD29">
            <v>43.364365411764709</v>
          </cell>
          <cell r="AE29">
            <v>43.364365411764709</v>
          </cell>
          <cell r="AF29">
            <v>43.364365411764709</v>
          </cell>
          <cell r="AG29">
            <v>43.364365411764709</v>
          </cell>
        </row>
        <row r="46">
          <cell r="H46">
            <v>566</v>
          </cell>
          <cell r="I46">
            <v>686</v>
          </cell>
          <cell r="J46">
            <v>926</v>
          </cell>
          <cell r="K46">
            <v>1132</v>
          </cell>
          <cell r="L46">
            <v>1109</v>
          </cell>
          <cell r="M46">
            <v>667</v>
          </cell>
          <cell r="N46">
            <v>635</v>
          </cell>
          <cell r="O46">
            <v>645.03436999999997</v>
          </cell>
          <cell r="P46">
            <v>676.24282600000004</v>
          </cell>
          <cell r="Q46">
            <v>682.943175</v>
          </cell>
          <cell r="R46">
            <v>708.14363400000002</v>
          </cell>
          <cell r="S46">
            <v>740.20953299999996</v>
          </cell>
          <cell r="T46">
            <v>795.11688900000001</v>
          </cell>
          <cell r="U46">
            <v>808.21466899999996</v>
          </cell>
          <cell r="V46">
            <v>1070</v>
          </cell>
          <cell r="W46">
            <v>1244.570158</v>
          </cell>
          <cell r="X46">
            <v>1316.2618660000001</v>
          </cell>
          <cell r="Y46">
            <v>1343.8129570000001</v>
          </cell>
          <cell r="Z46">
            <v>1393.0569660000001</v>
          </cell>
          <cell r="AA46">
            <v>1460.7559490000001</v>
          </cell>
          <cell r="AB46">
            <v>1525.800671</v>
          </cell>
          <cell r="AC46">
            <v>1598.2380873</v>
          </cell>
          <cell r="AD46">
            <v>1664.1763250155739</v>
          </cell>
          <cell r="AE46">
            <v>1732.632443033782</v>
          </cell>
          <cell r="AF46">
            <v>1794.1547928826822</v>
          </cell>
          <cell r="AG46">
            <v>1857.8091145237856</v>
          </cell>
        </row>
      </sheetData>
      <sheetData sheetId="1" refreshError="1"/>
      <sheetData sheetId="2" refreshError="1"/>
      <sheetData sheetId="3" refreshError="1"/>
      <sheetData sheetId="4">
        <row r="95">
          <cell r="C95">
            <v>1443.4300000000003</v>
          </cell>
          <cell r="D95">
            <v>686.42250000000058</v>
          </cell>
          <cell r="E95">
            <v>3172.5162499999969</v>
          </cell>
          <cell r="F95">
            <v>1493.3037499999955</v>
          </cell>
          <cell r="G95">
            <v>3236.6912499999999</v>
          </cell>
          <cell r="H95">
            <v>4504.3662500000028</v>
          </cell>
          <cell r="I95">
            <v>5352.8549999999996</v>
          </cell>
          <cell r="J95">
            <v>7454.9975000000013</v>
          </cell>
          <cell r="K95">
            <v>10951.279999999995</v>
          </cell>
          <cell r="L95">
            <v>12131.434999999994</v>
          </cell>
          <cell r="M95">
            <v>5502.7149999999929</v>
          </cell>
          <cell r="N95">
            <v>5291.434999999994</v>
          </cell>
          <cell r="O95">
            <v>4224.2749999999905</v>
          </cell>
          <cell r="P95">
            <v>4055.0499999999847</v>
          </cell>
          <cell r="Q95">
            <v>2985.5999999999876</v>
          </cell>
          <cell r="R95">
            <v>5775.1499999999905</v>
          </cell>
          <cell r="S95">
            <v>9120.8012499999859</v>
          </cell>
          <cell r="T95">
            <v>5234.9762499999888</v>
          </cell>
          <cell r="U95">
            <v>553.67999999998938</v>
          </cell>
          <cell r="V95">
            <v>1544.9353534285583</v>
          </cell>
          <cell r="W95">
            <v>-3295.8878955714499</v>
          </cell>
          <cell r="X95">
            <v>-2473.0586665491319</v>
          </cell>
          <cell r="Y95">
            <v>3702.3120704508583</v>
          </cell>
          <cell r="Z95">
            <v>9631.1466204508724</v>
          </cell>
          <cell r="AA95">
            <v>18002.558623450896</v>
          </cell>
          <cell r="AB95">
            <v>23017.298907988137</v>
          </cell>
          <cell r="AC95">
            <v>26027.794516604292</v>
          </cell>
          <cell r="AD95">
            <v>27548.756768374515</v>
          </cell>
          <cell r="AE95">
            <v>27321.493050398989</v>
          </cell>
        </row>
      </sheetData>
      <sheetData sheetId="5" refreshError="1"/>
      <sheetData sheetId="6" refreshError="1"/>
      <sheetData sheetId="7" refreshError="1"/>
      <sheetData sheetId="8">
        <row r="12">
          <cell r="F12">
            <v>2264</v>
          </cell>
          <cell r="G12">
            <v>2090</v>
          </cell>
          <cell r="H12">
            <v>1916</v>
          </cell>
          <cell r="I12">
            <v>1742</v>
          </cell>
          <cell r="J12">
            <v>1568</v>
          </cell>
          <cell r="K12">
            <v>1394</v>
          </cell>
          <cell r="L12">
            <v>1220</v>
          </cell>
          <cell r="M12">
            <v>1046</v>
          </cell>
          <cell r="N12">
            <v>872</v>
          </cell>
          <cell r="O12">
            <v>698</v>
          </cell>
          <cell r="P12">
            <v>524</v>
          </cell>
          <cell r="Q12">
            <v>350</v>
          </cell>
          <cell r="R12">
            <v>176</v>
          </cell>
          <cell r="S12">
            <v>0</v>
          </cell>
        </row>
      </sheetData>
      <sheetData sheetId="9">
        <row r="52">
          <cell r="C52">
            <v>-118.5</v>
          </cell>
          <cell r="D52">
            <v>-179</v>
          </cell>
          <cell r="E52">
            <v>-136</v>
          </cell>
          <cell r="F52">
            <v>18.5</v>
          </cell>
          <cell r="G52">
            <v>271.5</v>
          </cell>
          <cell r="H52">
            <v>479.5</v>
          </cell>
          <cell r="I52">
            <v>459.5</v>
          </cell>
          <cell r="J52">
            <v>425</v>
          </cell>
          <cell r="K52">
            <v>385.51718499999993</v>
          </cell>
          <cell r="L52">
            <v>342.138598</v>
          </cell>
          <cell r="M52">
            <v>289.1101855</v>
          </cell>
          <cell r="N52">
            <v>234.68200250000001</v>
          </cell>
          <cell r="O52">
            <v>173.78676899999999</v>
          </cell>
          <cell r="P52">
            <v>130.8452135</v>
          </cell>
          <cell r="Q52">
            <v>-38.547452000000021</v>
          </cell>
          <cell r="R52">
            <v>-112.54745200000002</v>
          </cell>
          <cell r="S52">
            <v>-177.26237300000003</v>
          </cell>
          <cell r="T52">
            <v>-190.22886857142856</v>
          </cell>
          <cell r="U52">
            <v>-201.82239007142852</v>
          </cell>
          <cell r="V52">
            <v>-222.15202314285705</v>
          </cell>
          <cell r="W52">
            <v>-238.274048642857</v>
          </cell>
          <cell r="X52">
            <v>-255.87371314285701</v>
          </cell>
          <cell r="Y52">
            <v>-254.25466949285703</v>
          </cell>
          <cell r="Z52">
            <v>-247.6068075315182</v>
          </cell>
          <cell r="AA52">
            <v>-241.74880494170486</v>
          </cell>
          <cell r="AB52">
            <v>-234.62797737593644</v>
          </cell>
          <cell r="AC52">
            <v>-227.2356006387343</v>
          </cell>
        </row>
      </sheetData>
      <sheetData sheetId="10">
        <row r="22">
          <cell r="C22">
            <v>893</v>
          </cell>
          <cell r="D22">
            <v>944.63500000000022</v>
          </cell>
          <cell r="E22">
            <v>1180.6350000000002</v>
          </cell>
          <cell r="F22">
            <v>1442.6350000000002</v>
          </cell>
          <cell r="G22">
            <v>809.63500000000386</v>
          </cell>
          <cell r="H22">
            <v>802.63500000000568</v>
          </cell>
          <cell r="I22">
            <v>702.63500000000113</v>
          </cell>
          <cell r="J22">
            <v>676.63499999999885</v>
          </cell>
          <cell r="K22">
            <v>703.63500000000204</v>
          </cell>
          <cell r="L22">
            <v>820.63500000000022</v>
          </cell>
          <cell r="M22">
            <v>842.63500000000613</v>
          </cell>
          <cell r="N22">
            <v>871.60063000000764</v>
          </cell>
          <cell r="O22">
            <v>898.3578040000084</v>
          </cell>
          <cell r="P22">
            <v>944.41462900000761</v>
          </cell>
          <cell r="Q22">
            <v>994.27099500001032</v>
          </cell>
          <cell r="R22">
            <v>1045.061462000016</v>
          </cell>
          <cell r="S22">
            <v>1069.9445730000125</v>
          </cell>
          <cell r="T22">
            <v>1321.7299040000098</v>
          </cell>
          <cell r="U22">
            <v>1407.7299040000144</v>
          </cell>
          <cell r="V22">
            <v>1571.1597460000103</v>
          </cell>
          <cell r="W22">
            <v>1602.8978800000095</v>
          </cell>
          <cell r="X22">
            <v>1665.0849230000113</v>
          </cell>
          <cell r="Y22">
            <v>1729.0279570000184</v>
          </cell>
          <cell r="Z22">
            <v>1794.2720080000236</v>
          </cell>
          <cell r="AA22">
            <v>1862.4713370000281</v>
          </cell>
          <cell r="AB22">
            <v>1901.233249700017</v>
          </cell>
          <cell r="AC22">
            <v>1941.080968400267</v>
          </cell>
          <cell r="AD22">
            <v>1979.6335220877991</v>
          </cell>
          <cell r="AE22">
            <v>2017.0220951504525</v>
          </cell>
          <cell r="AF22">
            <v>2053.2063514524416</v>
          </cell>
        </row>
        <row r="30">
          <cell r="S30">
            <v>-11.029411764705882</v>
          </cell>
          <cell r="T30">
            <v>-22.058823529411764</v>
          </cell>
          <cell r="U30">
            <v>-33.088235294117645</v>
          </cell>
          <cell r="V30">
            <v>-44.117647058823529</v>
          </cell>
          <cell r="W30">
            <v>-55.147058823529413</v>
          </cell>
          <cell r="X30">
            <v>-66.17647058823529</v>
          </cell>
          <cell r="Y30">
            <v>-77.205882352941174</v>
          </cell>
          <cell r="Z30">
            <v>-88.235294117647058</v>
          </cell>
          <cell r="AA30">
            <v>-99.264705882352942</v>
          </cell>
          <cell r="AB30">
            <v>-110.29411764705883</v>
          </cell>
          <cell r="AC30">
            <v>-120.32352941176471</v>
          </cell>
          <cell r="AD30">
            <v>-130.35294117647058</v>
          </cell>
          <cell r="AE30">
            <v>-140.38235294117646</v>
          </cell>
          <cell r="AF30">
            <v>-150.41176470588235</v>
          </cell>
        </row>
      </sheetData>
      <sheetData sheetId="11"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  <cell r="I13">
            <v>2</v>
          </cell>
          <cell r="J13">
            <v>3</v>
          </cell>
          <cell r="K13">
            <v>3</v>
          </cell>
          <cell r="L13">
            <v>3</v>
          </cell>
          <cell r="M13">
            <v>3</v>
          </cell>
          <cell r="N13">
            <v>3</v>
          </cell>
        </row>
      </sheetData>
      <sheetData sheetId="12">
        <row r="19">
          <cell r="G19">
            <v>490.89374999999995</v>
          </cell>
          <cell r="H19">
            <v>496.19374999999991</v>
          </cell>
          <cell r="I19">
            <v>374.83750000000009</v>
          </cell>
          <cell r="J19">
            <v>244.24437499999999</v>
          </cell>
          <cell r="K19">
            <v>126.07124999999996</v>
          </cell>
          <cell r="L19">
            <v>-157.8587500000001</v>
          </cell>
          <cell r="M19">
            <v>-404.9224999999999</v>
          </cell>
          <cell r="N19">
            <v>29.139999999999873</v>
          </cell>
          <cell r="O19">
            <v>221.36000000000013</v>
          </cell>
          <cell r="P19">
            <v>241.41999999999962</v>
          </cell>
          <cell r="Q19">
            <v>250.38749999999982</v>
          </cell>
          <cell r="R19">
            <v>305.27499999999964</v>
          </cell>
          <cell r="S19">
            <v>359.26029411764716</v>
          </cell>
          <cell r="T19">
            <v>353.81091911764702</v>
          </cell>
          <cell r="U19">
            <v>59.572794117647149</v>
          </cell>
          <cell r="V19">
            <v>265.82806261764733</v>
          </cell>
          <cell r="W19">
            <v>523.01225640336088</v>
          </cell>
          <cell r="X19">
            <v>519.14136111764719</v>
          </cell>
          <cell r="Y19">
            <v>892.03170120023663</v>
          </cell>
          <cell r="Z19">
            <v>874.98819411764703</v>
          </cell>
          <cell r="AA19">
            <v>568.81817061764684</v>
          </cell>
          <cell r="AB19">
            <v>118.32404411764651</v>
          </cell>
          <cell r="AC19">
            <v>-459.36863090785755</v>
          </cell>
          <cell r="AD19">
            <v>-825.65879900649043</v>
          </cell>
          <cell r="AE19">
            <v>-1116.7412651971297</v>
          </cell>
          <cell r="AF19">
            <v>-1358.3618446496812</v>
          </cell>
        </row>
      </sheetData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38"/>
  <sheetViews>
    <sheetView tabSelected="1" zoomScale="120" zoomScaleNormal="120" workbookViewId="0">
      <pane xSplit="2" ySplit="3" topLeftCell="C24" activePane="bottomRight" state="frozen"/>
      <selection activeCell="AD1" sqref="AD1"/>
      <selection pane="topRight" activeCell="AD1" sqref="AD1"/>
      <selection pane="bottomLeft" activeCell="AD1" sqref="AD1"/>
      <selection pane="bottomRight" activeCell="A40" sqref="A40"/>
    </sheetView>
  </sheetViews>
  <sheetFormatPr defaultRowHeight="12.75" outlineLevelCol="1" x14ac:dyDescent="0.2"/>
  <cols>
    <col min="1" max="1" width="68.85546875" customWidth="1"/>
    <col min="2" max="2" width="20.28515625" customWidth="1"/>
    <col min="3" max="3" width="10.5703125" hidden="1" customWidth="1"/>
    <col min="4" max="7" width="10.42578125" hidden="1" customWidth="1"/>
    <col min="8" max="13" width="10.42578125" hidden="1" customWidth="1" outlineLevel="1"/>
    <col min="14" max="14" width="13.42578125" customWidth="1" collapsed="1"/>
    <col min="15" max="15" width="10.42578125" customWidth="1"/>
    <col min="16" max="16" width="10.28515625" customWidth="1"/>
    <col min="17" max="17" width="9.140625" customWidth="1"/>
    <col min="18" max="21" width="9.140625" style="3" customWidth="1"/>
    <col min="22" max="22" width="9.140625" style="3"/>
    <col min="23" max="23" width="10.28515625" style="3" bestFit="1" customWidth="1"/>
    <col min="24" max="24" width="9.140625" style="3"/>
    <col min="25" max="25" width="10.7109375" style="3" customWidth="1"/>
    <col min="26" max="27" width="9.140625" style="3"/>
    <col min="28" max="29" width="9.140625" style="3" customWidth="1"/>
    <col min="30" max="76" width="9.140625" style="5"/>
  </cols>
  <sheetData>
    <row r="1" spans="1:76" ht="23.25" x14ac:dyDescent="0.35">
      <c r="A1" s="112" t="s">
        <v>60</v>
      </c>
      <c r="B1" s="2"/>
      <c r="C1" s="2"/>
      <c r="D1" s="2"/>
      <c r="V1" s="4"/>
      <c r="W1" s="4"/>
      <c r="X1" s="4"/>
      <c r="Y1" s="4"/>
      <c r="Z1" s="4"/>
      <c r="AA1" s="4"/>
      <c r="AB1" s="4"/>
      <c r="AC1" s="4"/>
    </row>
    <row r="2" spans="1:76" x14ac:dyDescent="0.2">
      <c r="A2" s="6" t="s">
        <v>0</v>
      </c>
      <c r="V2" s="4"/>
      <c r="W2" s="4"/>
      <c r="X2" s="4"/>
      <c r="Y2" s="4"/>
      <c r="Z2" s="4"/>
      <c r="AA2" s="7" t="s">
        <v>1</v>
      </c>
      <c r="AB2" s="7" t="s">
        <v>2</v>
      </c>
      <c r="AC2" s="7" t="s">
        <v>3</v>
      </c>
    </row>
    <row r="3" spans="1:76" s="2" customFormat="1" ht="13.5" thickBot="1" x14ac:dyDescent="0.25">
      <c r="A3" s="10" t="s">
        <v>8</v>
      </c>
      <c r="B3" s="11" t="s">
        <v>9</v>
      </c>
      <c r="C3" s="11">
        <v>1989</v>
      </c>
      <c r="D3" s="11">
        <v>1990</v>
      </c>
      <c r="E3" s="11">
        <v>1991</v>
      </c>
      <c r="F3" s="11">
        <v>1992</v>
      </c>
      <c r="G3" s="11">
        <v>1993</v>
      </c>
      <c r="H3" s="11">
        <v>1994</v>
      </c>
      <c r="I3" s="11">
        <v>1995</v>
      </c>
      <c r="J3" s="11">
        <v>1996</v>
      </c>
      <c r="K3" s="11">
        <v>1997</v>
      </c>
      <c r="L3" s="11">
        <v>1998</v>
      </c>
      <c r="M3" s="11">
        <v>1999</v>
      </c>
      <c r="N3" s="11">
        <v>2000</v>
      </c>
      <c r="O3" s="11">
        <v>2001</v>
      </c>
      <c r="P3" s="11">
        <v>2002</v>
      </c>
      <c r="Q3" s="11">
        <v>2003</v>
      </c>
      <c r="R3" s="12">
        <v>2004</v>
      </c>
      <c r="S3" s="12">
        <v>2005</v>
      </c>
      <c r="T3" s="12">
        <v>2006</v>
      </c>
      <c r="U3" s="12">
        <v>2007</v>
      </c>
      <c r="V3" s="12">
        <v>2008</v>
      </c>
      <c r="W3" s="12">
        <v>2009</v>
      </c>
      <c r="X3" s="12">
        <v>2010</v>
      </c>
      <c r="Y3" s="12">
        <v>2011</v>
      </c>
      <c r="Z3" s="12">
        <v>2012</v>
      </c>
      <c r="AA3" s="12">
        <v>2013</v>
      </c>
      <c r="AB3" s="12">
        <v>2014</v>
      </c>
      <c r="AC3" s="12">
        <v>2015</v>
      </c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</row>
    <row r="4" spans="1:76" x14ac:dyDescent="0.2">
      <c r="V4" s="4"/>
      <c r="W4" s="4"/>
      <c r="X4" s="4"/>
      <c r="Y4" s="4"/>
      <c r="Z4" s="4"/>
      <c r="AA4" s="4"/>
      <c r="AB4" s="4"/>
      <c r="AC4" s="4"/>
    </row>
    <row r="5" spans="1:76" x14ac:dyDescent="0.2">
      <c r="A5" s="2" t="s">
        <v>22</v>
      </c>
      <c r="B5" s="2" t="s">
        <v>10</v>
      </c>
      <c r="C5" s="2"/>
      <c r="D5" s="2"/>
      <c r="V5" s="4"/>
      <c r="W5" s="4"/>
      <c r="X5" s="4"/>
      <c r="Y5" s="4"/>
      <c r="Z5" s="4"/>
      <c r="AA5" s="4"/>
      <c r="AB5" s="4"/>
      <c r="AC5" s="41"/>
    </row>
    <row r="6" spans="1:76" s="17" customFormat="1" hidden="1" x14ac:dyDescent="0.2">
      <c r="A6" s="16" t="s">
        <v>11</v>
      </c>
      <c r="B6" s="17" t="s">
        <v>12</v>
      </c>
      <c r="D6" s="18">
        <v>0.105</v>
      </c>
      <c r="E6" s="18">
        <v>0.10249999999999999</v>
      </c>
      <c r="F6" s="18">
        <v>9.5000000000000001E-2</v>
      </c>
      <c r="G6" s="18">
        <v>8.7499999999999994E-2</v>
      </c>
      <c r="H6" s="18">
        <v>8.7499999999999994E-2</v>
      </c>
      <c r="I6" s="18">
        <v>8.2500000000000004E-2</v>
      </c>
      <c r="J6" s="18">
        <v>8.2500000000000004E-2</v>
      </c>
      <c r="K6" s="18">
        <v>7.7499999999999999E-2</v>
      </c>
      <c r="L6" s="18">
        <v>7.2499999999999995E-2</v>
      </c>
      <c r="M6" s="18">
        <v>7.2499999999999995E-2</v>
      </c>
      <c r="N6" s="18">
        <v>7.0000000000000007E-2</v>
      </c>
      <c r="O6" s="18">
        <v>7.0000000000000007E-2</v>
      </c>
      <c r="P6" s="18">
        <v>7.0000000000000007E-2</v>
      </c>
      <c r="Q6" s="18">
        <v>7.0000000000000007E-2</v>
      </c>
      <c r="R6" s="19">
        <v>7.0000000000000007E-2</v>
      </c>
      <c r="S6" s="19">
        <v>7.0000000000000007E-2</v>
      </c>
      <c r="T6" s="19">
        <v>6.7500000000000004E-2</v>
      </c>
      <c r="U6" s="19">
        <v>6.7500000000000004E-2</v>
      </c>
      <c r="V6" s="20">
        <v>6.7500000000000004E-2</v>
      </c>
      <c r="W6" s="20">
        <v>6.7500000000000004E-2</v>
      </c>
      <c r="X6" s="20">
        <v>6.7500000000000004E-2</v>
      </c>
      <c r="Y6" s="20">
        <v>6.7500000000000004E-2</v>
      </c>
      <c r="Z6" s="20">
        <v>6.7500000000000004E-2</v>
      </c>
      <c r="AA6" s="20">
        <v>6.7500000000000004E-2</v>
      </c>
      <c r="AB6" s="21">
        <v>6.7500000000000004E-2</v>
      </c>
      <c r="AC6" s="42">
        <v>6.5000000000000002E-2</v>
      </c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</row>
    <row r="7" spans="1:76" s="17" customFormat="1" x14ac:dyDescent="0.2">
      <c r="A7" s="105" t="s">
        <v>23</v>
      </c>
      <c r="B7" s="108" t="s">
        <v>12</v>
      </c>
      <c r="C7" s="108"/>
      <c r="D7" s="109">
        <v>9.2499999999999999E-2</v>
      </c>
      <c r="E7" s="109">
        <v>9.2499999999999999E-2</v>
      </c>
      <c r="F7" s="109">
        <v>0.09</v>
      </c>
      <c r="G7" s="109">
        <v>8.7499999999999994E-2</v>
      </c>
      <c r="H7" s="109">
        <v>8.7499999999999994E-2</v>
      </c>
      <c r="I7" s="109">
        <v>8.2500000000000004E-2</v>
      </c>
      <c r="J7" s="109">
        <v>8.2500000000000004E-2</v>
      </c>
      <c r="K7" s="109">
        <v>7.7499999999999999E-2</v>
      </c>
      <c r="L7" s="109">
        <v>7.2499999999999995E-2</v>
      </c>
      <c r="M7" s="109">
        <v>7.2499999999999995E-2</v>
      </c>
      <c r="N7" s="110">
        <v>7.0000000000000007E-2</v>
      </c>
      <c r="O7" s="110">
        <v>7.0000000000000007E-2</v>
      </c>
      <c r="P7" s="110">
        <v>7.0000000000000007E-2</v>
      </c>
      <c r="Q7" s="110">
        <v>7.0000000000000007E-2</v>
      </c>
      <c r="R7" s="110">
        <v>7.0000000000000007E-2</v>
      </c>
      <c r="S7" s="110">
        <v>7.0000000000000007E-2</v>
      </c>
      <c r="T7" s="110">
        <v>6.7500000000000004E-2</v>
      </c>
      <c r="U7" s="110">
        <v>6.7500000000000004E-2</v>
      </c>
      <c r="V7" s="110">
        <v>6.7500000000000004E-2</v>
      </c>
      <c r="W7" s="110">
        <v>6.7500000000000004E-2</v>
      </c>
      <c r="X7" s="110">
        <v>6.7500000000000004E-2</v>
      </c>
      <c r="Y7" s="110">
        <v>6.7500000000000004E-2</v>
      </c>
      <c r="Z7" s="110">
        <v>6.7500000000000004E-2</v>
      </c>
      <c r="AA7" s="110">
        <v>6.7500000000000004E-2</v>
      </c>
      <c r="AB7" s="111">
        <v>6.5000000000000002E-2</v>
      </c>
      <c r="AC7" s="111">
        <v>6.25E-2</v>
      </c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</row>
    <row r="8" spans="1:76" s="17" customFormat="1" x14ac:dyDescent="0.2">
      <c r="A8" s="17" t="s">
        <v>13</v>
      </c>
      <c r="B8" s="17" t="s">
        <v>12</v>
      </c>
      <c r="D8" s="18">
        <v>0.06</v>
      </c>
      <c r="E8" s="18">
        <v>5.7500000000000002E-2</v>
      </c>
      <c r="F8" s="18">
        <v>5.2499999999999998E-2</v>
      </c>
      <c r="G8" s="18">
        <v>0.05</v>
      </c>
      <c r="H8" s="18">
        <v>0.05</v>
      </c>
      <c r="I8" s="18">
        <v>4.4999999999999998E-2</v>
      </c>
      <c r="J8" s="18">
        <v>4.4999999999999998E-2</v>
      </c>
      <c r="K8" s="18">
        <v>0.04</v>
      </c>
      <c r="L8" s="18">
        <v>3.5000000000000003E-2</v>
      </c>
      <c r="M8" s="18">
        <v>3.5000000000000003E-2</v>
      </c>
      <c r="N8" s="18">
        <v>3.5000000000000003E-2</v>
      </c>
      <c r="O8" s="18">
        <v>3.5000000000000003E-2</v>
      </c>
      <c r="P8" s="18">
        <v>3.5000000000000003E-2</v>
      </c>
      <c r="Q8" s="18">
        <v>3.5000000000000003E-2</v>
      </c>
      <c r="R8" s="19">
        <v>3.5000000000000003E-2</v>
      </c>
      <c r="S8" s="19">
        <v>3.5000000000000003E-2</v>
      </c>
      <c r="T8" s="19">
        <v>3.5000000000000003E-2</v>
      </c>
      <c r="U8" s="19">
        <v>3.5000000000000003E-2</v>
      </c>
      <c r="V8" s="20">
        <v>3.5000000000000003E-2</v>
      </c>
      <c r="W8" s="20">
        <v>3.5000000000000003E-2</v>
      </c>
      <c r="X8" s="20">
        <v>3.5000000000000003E-2</v>
      </c>
      <c r="Y8" s="20">
        <v>3.5000000000000003E-2</v>
      </c>
      <c r="Z8" s="20">
        <v>3.5000000000000003E-2</v>
      </c>
      <c r="AA8" s="20">
        <v>3.5000000000000003E-2</v>
      </c>
      <c r="AB8" s="42">
        <v>3.2500000000000001E-2</v>
      </c>
      <c r="AC8" s="42">
        <v>0.03</v>
      </c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</row>
    <row r="9" spans="1:76" s="17" customFormat="1" x14ac:dyDescent="0.2">
      <c r="A9" s="17" t="s">
        <v>14</v>
      </c>
      <c r="B9" s="17" t="s">
        <v>12</v>
      </c>
      <c r="D9" s="18">
        <v>4.4999999999999998E-2</v>
      </c>
      <c r="E9" s="18">
        <v>4.4999999999999998E-2</v>
      </c>
      <c r="F9" s="18">
        <v>4.2500000000000003E-2</v>
      </c>
      <c r="G9" s="18">
        <v>0.04</v>
      </c>
      <c r="H9" s="18">
        <v>0.04</v>
      </c>
      <c r="I9" s="18">
        <v>3.5000000000000003E-2</v>
      </c>
      <c r="J9" s="18">
        <v>3.5000000000000003E-2</v>
      </c>
      <c r="K9" s="18">
        <v>0.03</v>
      </c>
      <c r="L9" s="18">
        <v>2.5000000000000001E-2</v>
      </c>
      <c r="M9" s="18">
        <v>2.5000000000000001E-2</v>
      </c>
      <c r="N9" s="18">
        <v>2.5000000000000001E-2</v>
      </c>
      <c r="O9" s="18">
        <v>2.5000000000000001E-2</v>
      </c>
      <c r="P9" s="18">
        <v>2.5000000000000001E-2</v>
      </c>
      <c r="Q9" s="18">
        <v>2.5000000000000001E-2</v>
      </c>
      <c r="R9" s="19">
        <v>2.5000000000000001E-2</v>
      </c>
      <c r="S9" s="19">
        <v>2.5000000000000001E-2</v>
      </c>
      <c r="T9" s="19">
        <v>2.5000000000000001E-2</v>
      </c>
      <c r="U9" s="19">
        <v>2.5000000000000001E-2</v>
      </c>
      <c r="V9" s="20">
        <v>2.5000000000000001E-2</v>
      </c>
      <c r="W9" s="20">
        <v>2.5000000000000001E-2</v>
      </c>
      <c r="X9" s="20">
        <v>2.5000000000000001E-2</v>
      </c>
      <c r="Y9" s="20">
        <v>2.5000000000000001E-2</v>
      </c>
      <c r="Z9" s="20">
        <v>2.5000000000000001E-2</v>
      </c>
      <c r="AA9" s="20">
        <v>2.5000000000000001E-2</v>
      </c>
      <c r="AB9" s="42">
        <v>2.2500000000000003E-2</v>
      </c>
      <c r="AC9" s="42">
        <v>0.02</v>
      </c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</row>
    <row r="10" spans="1:76" x14ac:dyDescent="0.2">
      <c r="V10" s="4"/>
      <c r="W10" s="4"/>
      <c r="X10" s="4"/>
      <c r="Y10" s="4"/>
      <c r="Z10" s="4"/>
      <c r="AA10" s="4"/>
      <c r="AB10" s="23"/>
      <c r="AC10" s="4"/>
    </row>
    <row r="11" spans="1:76" x14ac:dyDescent="0.2">
      <c r="A11" s="105" t="s">
        <v>25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7">
        <f>-'Province''s Net Asset'!M17</f>
        <v>-282.03500000000008</v>
      </c>
      <c r="O11" s="107">
        <f>-'Province''s Net Asset'!N17</f>
        <v>336.35936999999967</v>
      </c>
      <c r="P11" s="107">
        <f>-'Province''s Net Asset'!O17</f>
        <v>791.24219599999878</v>
      </c>
      <c r="Q11" s="107">
        <f>-'Province''s Net Asset'!P17</f>
        <v>1233.2653710000009</v>
      </c>
      <c r="R11" s="107">
        <f>-'Province''s Net Asset'!Q17</f>
        <v>1691.0215050000024</v>
      </c>
      <c r="S11" s="107">
        <f>-'Province''s Net Asset'!R17</f>
        <v>2125.956037999998</v>
      </c>
      <c r="T11" s="107">
        <f>-'Province''s Net Asset'!S17</f>
        <v>2561.812632882351</v>
      </c>
      <c r="U11" s="107">
        <f>-'Province''s Net Asset'!T17</f>
        <v>3016.2163827647082</v>
      </c>
      <c r="V11" s="107">
        <f>-'Province''s Net Asset'!U17</f>
        <v>4026.6435886470572</v>
      </c>
      <c r="W11" s="107">
        <f>-'Province''s Net Asset'!V17</f>
        <v>5005.385684029412</v>
      </c>
      <c r="X11" s="107">
        <f>-'Province''s Net Asset'!W17</f>
        <v>5798.6352936260528</v>
      </c>
      <c r="Y11" s="107">
        <f>-'Province''s Net Asset'!X17</f>
        <v>6622.8068895084089</v>
      </c>
      <c r="Z11" s="107">
        <f>-'Province''s Net Asset'!Y17</f>
        <v>7123.8321543081702</v>
      </c>
      <c r="AA11" s="107">
        <f>-'Province''s Net Asset'!Z17</f>
        <v>7710.5999091905251</v>
      </c>
      <c r="AB11" s="107">
        <f>-'Province''s Net Asset'!AA17</f>
        <v>8667.0824095728694</v>
      </c>
      <c r="AC11" s="107">
        <f>-'Province''s Net Asset'!AB17</f>
        <v>10146.996452755217</v>
      </c>
    </row>
    <row r="13" spans="1:76" x14ac:dyDescent="0.2">
      <c r="A13" s="38" t="s">
        <v>21</v>
      </c>
    </row>
    <row r="14" spans="1:76" x14ac:dyDescent="0.2">
      <c r="A14" s="44" t="s">
        <v>62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6">
        <v>6.25E-2</v>
      </c>
      <c r="O14" s="46">
        <v>6.3E-2</v>
      </c>
      <c r="P14" s="46">
        <v>5.8999999999999997E-2</v>
      </c>
      <c r="Q14" s="46">
        <v>5.7000000000000002E-2</v>
      </c>
      <c r="R14" s="46">
        <v>5.3499999999999999E-2</v>
      </c>
      <c r="S14" s="46">
        <v>4.5999999999999999E-2</v>
      </c>
      <c r="T14" s="46">
        <v>4.7E-2</v>
      </c>
      <c r="U14" s="46">
        <v>4.65E-2</v>
      </c>
      <c r="V14" s="46">
        <v>0.04</v>
      </c>
      <c r="W14" s="46">
        <v>4.5999999999999999E-2</v>
      </c>
      <c r="X14" s="46">
        <v>4.0500000000000001E-2</v>
      </c>
      <c r="Y14" s="46">
        <v>3.4000000000000002E-2</v>
      </c>
      <c r="Z14" s="46">
        <v>3.4000000000000002E-2</v>
      </c>
      <c r="AA14" s="46">
        <v>4.2000000000000003E-2</v>
      </c>
      <c r="AB14" s="46">
        <v>3.3500000000000002E-2</v>
      </c>
      <c r="AC14" s="46">
        <v>3.2500000000000001E-2</v>
      </c>
    </row>
    <row r="15" spans="1:76" x14ac:dyDescent="0.2">
      <c r="A15" s="17" t="s">
        <v>18</v>
      </c>
      <c r="N15" s="39">
        <v>3.2000000000000001E-2</v>
      </c>
      <c r="O15" s="39">
        <v>2.9000000000000001E-2</v>
      </c>
      <c r="P15" s="39">
        <v>3.0499999999999999E-2</v>
      </c>
      <c r="Q15" s="39">
        <v>3.3500000000000002E-2</v>
      </c>
      <c r="R15" s="39">
        <v>3.7499999999999999E-2</v>
      </c>
      <c r="S15" s="39">
        <v>3.5999999999999997E-2</v>
      </c>
      <c r="T15" s="39">
        <v>3.4000000000000002E-2</v>
      </c>
      <c r="U15" s="39">
        <v>3.2000000000000001E-2</v>
      </c>
      <c r="V15" s="39">
        <v>2.35E-2</v>
      </c>
      <c r="W15" s="39">
        <v>3.5499999999999997E-2</v>
      </c>
      <c r="X15" s="39">
        <v>3.4000000000000002E-2</v>
      </c>
      <c r="Y15" s="39">
        <v>3.0499999999999999E-2</v>
      </c>
      <c r="Z15" s="39">
        <v>0.03</v>
      </c>
      <c r="AA15" s="39">
        <v>0.03</v>
      </c>
      <c r="AB15" s="43">
        <v>2.7E-2</v>
      </c>
      <c r="AC15" s="43">
        <v>2.5000000000000001E-2</v>
      </c>
    </row>
    <row r="16" spans="1:76" x14ac:dyDescent="0.2">
      <c r="A16" s="17" t="s">
        <v>17</v>
      </c>
      <c r="N16" s="39">
        <v>2.1999999999999999E-2</v>
      </c>
      <c r="O16" s="39">
        <v>1.9E-2</v>
      </c>
      <c r="P16" s="39">
        <v>2.0500000000000001E-2</v>
      </c>
      <c r="Q16" s="39">
        <v>2.35E-2</v>
      </c>
      <c r="R16" s="39">
        <v>2.7529999999999999E-2</v>
      </c>
      <c r="S16" s="39">
        <v>2.5999999999999999E-2</v>
      </c>
      <c r="T16" s="39">
        <v>2.4E-2</v>
      </c>
      <c r="U16" s="39">
        <v>2.1999999999999999E-2</v>
      </c>
      <c r="V16" s="39">
        <v>1.35E-2</v>
      </c>
      <c r="W16" s="39">
        <v>2.5499999999999998E-2</v>
      </c>
      <c r="X16" s="39">
        <v>2.4E-2</v>
      </c>
      <c r="Y16" s="39">
        <v>2.0500000000000001E-2</v>
      </c>
      <c r="Z16" s="39">
        <v>0.02</v>
      </c>
      <c r="AA16" s="39">
        <v>0.02</v>
      </c>
      <c r="AB16" s="43">
        <v>1.7000000000000001E-2</v>
      </c>
      <c r="AC16" s="43">
        <v>1.4999999999999999E-2</v>
      </c>
    </row>
    <row r="17" spans="1:29" ht="22.5" x14ac:dyDescent="0.2">
      <c r="Y17" s="40" t="s">
        <v>20</v>
      </c>
    </row>
    <row r="18" spans="1:29" x14ac:dyDescent="0.2">
      <c r="A18" s="113" t="s">
        <v>19</v>
      </c>
      <c r="B18" s="114" t="s">
        <v>61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5">
        <v>10224</v>
      </c>
      <c r="O18" s="115">
        <v>6998</v>
      </c>
      <c r="P18" s="115">
        <v>2192</v>
      </c>
      <c r="Q18" s="115">
        <v>-3966</v>
      </c>
      <c r="R18" s="115">
        <v>-13937</v>
      </c>
      <c r="S18" s="115">
        <v>-21836</v>
      </c>
      <c r="T18" s="115">
        <v>-15646</v>
      </c>
      <c r="U18" s="115">
        <v>-10542</v>
      </c>
      <c r="V18" s="115">
        <v>-11184</v>
      </c>
      <c r="W18" s="115">
        <v>-22752</v>
      </c>
      <c r="X18" s="115">
        <v>-32703</v>
      </c>
      <c r="Y18" s="115">
        <v>-45490</v>
      </c>
      <c r="Z18" s="115">
        <v>-36485</v>
      </c>
      <c r="AA18" s="115">
        <v>-7807</v>
      </c>
      <c r="AB18" s="115">
        <v>-18249</v>
      </c>
      <c r="AC18" s="115">
        <v>-1826</v>
      </c>
    </row>
    <row r="19" spans="1:29" x14ac:dyDescent="0.2">
      <c r="A19" s="116" t="s">
        <v>24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7">
        <f>N18/2</f>
        <v>5112</v>
      </c>
      <c r="O19" s="117">
        <f t="shared" ref="O19:AC19" si="0">O18/2</f>
        <v>3499</v>
      </c>
      <c r="P19" s="117">
        <f t="shared" si="0"/>
        <v>1096</v>
      </c>
      <c r="Q19" s="117">
        <f t="shared" si="0"/>
        <v>-1983</v>
      </c>
      <c r="R19" s="117">
        <f t="shared" si="0"/>
        <v>-6968.5</v>
      </c>
      <c r="S19" s="117">
        <f t="shared" si="0"/>
        <v>-10918</v>
      </c>
      <c r="T19" s="117">
        <f t="shared" si="0"/>
        <v>-7823</v>
      </c>
      <c r="U19" s="117">
        <f t="shared" si="0"/>
        <v>-5271</v>
      </c>
      <c r="V19" s="117">
        <f t="shared" si="0"/>
        <v>-5592</v>
      </c>
      <c r="W19" s="117">
        <f t="shared" si="0"/>
        <v>-11376</v>
      </c>
      <c r="X19" s="117">
        <f t="shared" si="0"/>
        <v>-16351.5</v>
      </c>
      <c r="Y19" s="117">
        <f t="shared" si="0"/>
        <v>-22745</v>
      </c>
      <c r="Z19" s="117">
        <f t="shared" si="0"/>
        <v>-18242.5</v>
      </c>
      <c r="AA19" s="117">
        <f t="shared" si="0"/>
        <v>-3903.5</v>
      </c>
      <c r="AB19" s="117">
        <f t="shared" si="0"/>
        <v>-9124.5</v>
      </c>
      <c r="AC19" s="117">
        <f t="shared" si="0"/>
        <v>-913</v>
      </c>
    </row>
    <row r="20" spans="1:29" x14ac:dyDescent="0.2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</row>
    <row r="21" spans="1:29" x14ac:dyDescent="0.2">
      <c r="A21" s="114" t="s">
        <v>63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>
        <v>5100</v>
      </c>
      <c r="AB21" s="114">
        <v>6800</v>
      </c>
      <c r="AC21" s="114">
        <v>13200</v>
      </c>
    </row>
    <row r="22" spans="1:29" x14ac:dyDescent="0.2">
      <c r="A22" s="114" t="s">
        <v>64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>
        <f>AA21/2</f>
        <v>2550</v>
      </c>
      <c r="AB22" s="114">
        <f t="shared" ref="AB22:AC22" si="1">AB21/2</f>
        <v>3400</v>
      </c>
      <c r="AC22" s="114">
        <f t="shared" si="1"/>
        <v>6600</v>
      </c>
    </row>
    <row r="23" spans="1:29" x14ac:dyDescent="0.2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</row>
    <row r="24" spans="1:29" x14ac:dyDescent="0.2">
      <c r="A24" s="114" t="s">
        <v>65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7">
        <f>AA11-AA22</f>
        <v>5160.5999091905251</v>
      </c>
      <c r="AB24" s="117">
        <f t="shared" ref="AB24:AC24" si="2">AB11-AB22</f>
        <v>5267.0824095728694</v>
      </c>
      <c r="AC24" s="117">
        <f t="shared" si="2"/>
        <v>3546.9964527552165</v>
      </c>
    </row>
    <row r="25" spans="1:29" x14ac:dyDescent="0.2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</row>
    <row r="26" spans="1:29" x14ac:dyDescent="0.2">
      <c r="A26" s="114" t="s">
        <v>66</v>
      </c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</row>
    <row r="27" spans="1:29" x14ac:dyDescent="0.2">
      <c r="A27" s="114" t="s">
        <v>67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</row>
    <row r="28" spans="1:29" x14ac:dyDescent="0.2">
      <c r="A28" s="114" t="s">
        <v>68</v>
      </c>
      <c r="B28" s="117">
        <f>AA24</f>
        <v>5160.5999091905251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</row>
    <row r="29" spans="1:29" x14ac:dyDescent="0.2">
      <c r="A29" s="114" t="s">
        <v>69</v>
      </c>
      <c r="B29" s="117">
        <f>B28</f>
        <v>5160.5999091905251</v>
      </c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</row>
    <row r="30" spans="1:29" x14ac:dyDescent="0.2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</row>
    <row r="31" spans="1:29" x14ac:dyDescent="0.2">
      <c r="A31" s="114" t="s">
        <v>72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</row>
    <row r="32" spans="1:29" x14ac:dyDescent="0.2">
      <c r="A32" s="114" t="s">
        <v>70</v>
      </c>
      <c r="B32" s="117">
        <f>AB24-AA24</f>
        <v>106.48250038234437</v>
      </c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</row>
    <row r="33" spans="1:29" x14ac:dyDescent="0.2">
      <c r="A33" s="114" t="s">
        <v>69</v>
      </c>
      <c r="B33" s="117">
        <f>B32</f>
        <v>106.48250038234437</v>
      </c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</row>
    <row r="34" spans="1:29" x14ac:dyDescent="0.2">
      <c r="A34" s="114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</row>
    <row r="35" spans="1:29" x14ac:dyDescent="0.2">
      <c r="A35" s="114" t="s">
        <v>71</v>
      </c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</row>
    <row r="36" spans="1:29" x14ac:dyDescent="0.2">
      <c r="A36" s="114" t="s">
        <v>73</v>
      </c>
      <c r="B36" s="117">
        <f>-(AC24-AB24)</f>
        <v>1720.0859568176529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</row>
    <row r="37" spans="1:29" x14ac:dyDescent="0.2">
      <c r="A37" s="114" t="s">
        <v>74</v>
      </c>
      <c r="B37" s="117">
        <f>B36</f>
        <v>1720.0859568176529</v>
      </c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</row>
    <row r="38" spans="1:29" x14ac:dyDescent="0.2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</row>
  </sheetData>
  <pageMargins left="0.5" right="0.5" top="0.75" bottom="0.75" header="0.5" footer="0.5"/>
  <pageSetup paperSize="5" scale="56" orientation="landscape" r:id="rId1"/>
  <headerFooter alignWithMargins="0">
    <oddFooter>&amp;L&amp;"Arial,Bold"&amp;F&amp;C&amp;A&amp;R&amp;D 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1"/>
  <sheetViews>
    <sheetView topLeftCell="O1" workbookViewId="0">
      <selection activeCell="AL25" sqref="AL25"/>
    </sheetView>
  </sheetViews>
  <sheetFormatPr defaultRowHeight="12.75" outlineLevelCol="1" x14ac:dyDescent="0.2"/>
  <cols>
    <col min="1" max="1" width="41.140625" customWidth="1"/>
    <col min="2" max="2" width="26.7109375" customWidth="1"/>
    <col min="3" max="4" width="0" hidden="1" customWidth="1"/>
    <col min="5" max="5" width="8.85546875" hidden="1" customWidth="1"/>
    <col min="6" max="6" width="11.5703125" hidden="1" customWidth="1"/>
    <col min="7" max="13" width="11.5703125" customWidth="1" outlineLevel="1"/>
    <col min="14" max="14" width="11" customWidth="1" outlineLevel="1"/>
    <col min="15" max="15" width="12" customWidth="1" outlineLevel="1"/>
    <col min="16" max="16" width="13.42578125" customWidth="1" outlineLevel="1"/>
    <col min="17" max="17" width="13.42578125" style="3" customWidth="1" outlineLevel="1"/>
    <col min="18" max="18" width="15" style="3" customWidth="1" outlineLevel="1"/>
    <col min="19" max="19" width="14.42578125" style="3" customWidth="1" outlineLevel="1"/>
    <col min="20" max="20" width="13.140625" style="3" customWidth="1" outlineLevel="1"/>
    <col min="21" max="25" width="13.42578125" style="3" bestFit="1" customWidth="1"/>
    <col min="26" max="26" width="15.140625" style="3" customWidth="1"/>
    <col min="27" max="27" width="14.5703125" style="3" bestFit="1" customWidth="1"/>
    <col min="28" max="28" width="15.5703125" style="47" bestFit="1" customWidth="1"/>
    <col min="29" max="31" width="10.42578125" style="36" hidden="1" customWidth="1" outlineLevel="1"/>
    <col min="32" max="32" width="10.42578125" style="37" hidden="1" customWidth="1" outlineLevel="1"/>
    <col min="33" max="33" width="9.140625" collapsed="1"/>
  </cols>
  <sheetData>
    <row r="1" spans="1:32" ht="15.75" x14ac:dyDescent="0.25">
      <c r="A1" s="1" t="s">
        <v>26</v>
      </c>
    </row>
    <row r="2" spans="1:32" x14ac:dyDescent="0.2">
      <c r="A2" s="2" t="s">
        <v>27</v>
      </c>
    </row>
    <row r="3" spans="1:32" x14ac:dyDescent="0.2">
      <c r="Z3" s="7" t="s">
        <v>1</v>
      </c>
      <c r="AA3" s="7" t="s">
        <v>2</v>
      </c>
      <c r="AB3" s="48" t="s">
        <v>3</v>
      </c>
      <c r="AC3" s="8" t="s">
        <v>4</v>
      </c>
      <c r="AD3" s="8" t="s">
        <v>5</v>
      </c>
      <c r="AE3" s="8" t="s">
        <v>6</v>
      </c>
      <c r="AF3" s="9" t="s">
        <v>7</v>
      </c>
    </row>
    <row r="4" spans="1:32" s="2" customFormat="1" ht="13.5" thickBot="1" x14ac:dyDescent="0.25">
      <c r="A4" s="10" t="s">
        <v>8</v>
      </c>
      <c r="B4" s="11" t="s">
        <v>9</v>
      </c>
      <c r="C4" s="11">
        <v>1990</v>
      </c>
      <c r="D4" s="11">
        <v>1991</v>
      </c>
      <c r="E4" s="11">
        <v>1992</v>
      </c>
      <c r="F4" s="11">
        <v>1993</v>
      </c>
      <c r="G4" s="11">
        <v>1994</v>
      </c>
      <c r="H4" s="11">
        <v>1995</v>
      </c>
      <c r="I4" s="11">
        <v>1996</v>
      </c>
      <c r="J4" s="11">
        <v>1997</v>
      </c>
      <c r="K4" s="11">
        <v>1998</v>
      </c>
      <c r="L4" s="11">
        <v>1999</v>
      </c>
      <c r="M4" s="11">
        <v>2000</v>
      </c>
      <c r="N4" s="11">
        <v>2001</v>
      </c>
      <c r="O4" s="11">
        <v>2002</v>
      </c>
      <c r="P4" s="11">
        <v>2003</v>
      </c>
      <c r="Q4" s="12">
        <v>2004</v>
      </c>
      <c r="R4" s="12">
        <v>2005</v>
      </c>
      <c r="S4" s="12">
        <v>2006</v>
      </c>
      <c r="T4" s="12">
        <v>2007</v>
      </c>
      <c r="U4" s="12">
        <v>2008</v>
      </c>
      <c r="V4" s="12">
        <v>2009</v>
      </c>
      <c r="W4" s="12">
        <v>2010</v>
      </c>
      <c r="X4" s="12">
        <v>2011</v>
      </c>
      <c r="Y4" s="12">
        <v>2012</v>
      </c>
      <c r="Z4" s="12">
        <v>2013</v>
      </c>
      <c r="AA4" s="12">
        <v>2014</v>
      </c>
      <c r="AB4" s="49">
        <v>2015</v>
      </c>
      <c r="AC4" s="13">
        <v>2016</v>
      </c>
      <c r="AD4" s="13">
        <v>2017</v>
      </c>
      <c r="AE4" s="13">
        <v>2018</v>
      </c>
      <c r="AF4" s="14">
        <v>2019</v>
      </c>
    </row>
    <row r="6" spans="1:32" s="24" customFormat="1" x14ac:dyDescent="0.2">
      <c r="A6" s="35" t="s">
        <v>28</v>
      </c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50"/>
      <c r="AC6" s="51"/>
      <c r="AD6" s="51"/>
      <c r="AE6" s="51"/>
      <c r="AF6" s="52"/>
    </row>
    <row r="7" spans="1:32" s="24" customFormat="1" x14ac:dyDescent="0.2"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50"/>
      <c r="AC7" s="51"/>
      <c r="AD7" s="51"/>
      <c r="AE7" s="51"/>
      <c r="AF7" s="52"/>
    </row>
    <row r="8" spans="1:32" s="24" customFormat="1" x14ac:dyDescent="0.2">
      <c r="A8" s="24" t="s">
        <v>29</v>
      </c>
      <c r="B8" s="24" t="s">
        <v>30</v>
      </c>
      <c r="C8" s="24">
        <f>C30/2</f>
        <v>12195.5</v>
      </c>
      <c r="D8" s="24">
        <f>D30/2</f>
        <v>13739.5</v>
      </c>
      <c r="E8" s="24">
        <f>E30/2</f>
        <v>15390.5</v>
      </c>
      <c r="F8" s="24">
        <f>F30/2</f>
        <v>16999</v>
      </c>
      <c r="G8" s="24">
        <f t="shared" ref="G8:AF10" si="0">G30/2</f>
        <v>18424</v>
      </c>
      <c r="H8" s="24">
        <f t="shared" si="0"/>
        <v>19503.5</v>
      </c>
      <c r="I8" s="24">
        <f t="shared" si="0"/>
        <v>20916.5</v>
      </c>
      <c r="J8" s="24">
        <f t="shared" si="0"/>
        <v>23235</v>
      </c>
      <c r="K8" s="24">
        <f t="shared" si="0"/>
        <v>24317.5</v>
      </c>
      <c r="L8" s="24">
        <f t="shared" si="0"/>
        <v>25173</v>
      </c>
      <c r="M8" s="24">
        <f t="shared" si="0"/>
        <v>27543.5</v>
      </c>
      <c r="N8" s="24">
        <f t="shared" si="0"/>
        <v>32184.5</v>
      </c>
      <c r="O8" s="24">
        <f t="shared" si="0"/>
        <v>33659.5</v>
      </c>
      <c r="P8" s="24">
        <f t="shared" si="0"/>
        <v>35504.5</v>
      </c>
      <c r="Q8" s="31">
        <f t="shared" si="0"/>
        <v>37044.5</v>
      </c>
      <c r="R8" s="31">
        <f t="shared" si="0"/>
        <v>40185.5</v>
      </c>
      <c r="S8" s="31">
        <f t="shared" si="0"/>
        <v>41560</v>
      </c>
      <c r="T8" s="31">
        <f t="shared" si="0"/>
        <v>44178</v>
      </c>
      <c r="U8" s="31">
        <f t="shared" si="0"/>
        <v>46011</v>
      </c>
      <c r="V8" s="53">
        <f t="shared" si="0"/>
        <v>48304</v>
      </c>
      <c r="W8" s="31">
        <f t="shared" si="0"/>
        <v>49558.5</v>
      </c>
      <c r="X8" s="31">
        <f t="shared" si="0"/>
        <v>51846.5</v>
      </c>
      <c r="Y8" s="31">
        <f t="shared" si="0"/>
        <v>52977</v>
      </c>
      <c r="Z8" s="31">
        <f t="shared" si="0"/>
        <v>54762</v>
      </c>
      <c r="AA8" s="31">
        <f t="shared" si="0"/>
        <v>56900.5</v>
      </c>
      <c r="AB8" s="50">
        <f t="shared" si="0"/>
        <v>58183.5</v>
      </c>
      <c r="AC8" s="51">
        <f t="shared" si="0"/>
        <v>60445.578869909761</v>
      </c>
      <c r="AD8" s="51">
        <f t="shared" si="0"/>
        <v>62837.272937482718</v>
      </c>
      <c r="AE8" s="51">
        <f t="shared" si="0"/>
        <v>65362.388075468276</v>
      </c>
      <c r="AF8" s="52">
        <f t="shared" si="0"/>
        <v>68033.241449586654</v>
      </c>
    </row>
    <row r="9" spans="1:32" s="24" customFormat="1" x14ac:dyDescent="0.2">
      <c r="A9" s="24" t="s">
        <v>31</v>
      </c>
      <c r="B9" s="24" t="s">
        <v>30</v>
      </c>
      <c r="C9" s="24">
        <f t="shared" ref="C9:F10" si="1">C31/2</f>
        <v>0</v>
      </c>
      <c r="D9" s="24">
        <f t="shared" si="1"/>
        <v>0</v>
      </c>
      <c r="E9" s="24">
        <f t="shared" si="1"/>
        <v>0</v>
      </c>
      <c r="F9" s="24">
        <f t="shared" si="1"/>
        <v>0</v>
      </c>
      <c r="G9" s="24">
        <f t="shared" si="0"/>
        <v>0</v>
      </c>
      <c r="H9" s="24">
        <f t="shared" si="0"/>
        <v>0</v>
      </c>
      <c r="I9" s="24">
        <f t="shared" si="0"/>
        <v>250</v>
      </c>
      <c r="J9" s="24">
        <f t="shared" si="0"/>
        <v>0</v>
      </c>
      <c r="K9" s="24">
        <f t="shared" si="0"/>
        <v>0</v>
      </c>
      <c r="L9" s="24">
        <f t="shared" si="0"/>
        <v>0</v>
      </c>
      <c r="M9" s="24">
        <f t="shared" si="0"/>
        <v>0</v>
      </c>
      <c r="N9" s="24">
        <f t="shared" si="0"/>
        <v>0</v>
      </c>
      <c r="O9" s="24">
        <f t="shared" si="0"/>
        <v>0</v>
      </c>
      <c r="P9" s="24">
        <f t="shared" si="0"/>
        <v>0</v>
      </c>
      <c r="Q9" s="31">
        <f t="shared" si="0"/>
        <v>0</v>
      </c>
      <c r="R9" s="31">
        <f t="shared" si="0"/>
        <v>0</v>
      </c>
      <c r="S9" s="31">
        <f t="shared" si="0"/>
        <v>0</v>
      </c>
      <c r="T9" s="31">
        <f t="shared" si="0"/>
        <v>0</v>
      </c>
      <c r="U9" s="31">
        <f t="shared" si="0"/>
        <v>0</v>
      </c>
      <c r="V9" s="53">
        <f t="shared" si="0"/>
        <v>0</v>
      </c>
      <c r="W9" s="31">
        <f t="shared" si="0"/>
        <v>0</v>
      </c>
      <c r="X9" s="31">
        <f t="shared" si="0"/>
        <v>0</v>
      </c>
      <c r="Y9" s="31">
        <f t="shared" si="0"/>
        <v>0</v>
      </c>
      <c r="Z9" s="31">
        <f t="shared" si="0"/>
        <v>0</v>
      </c>
      <c r="AA9" s="31">
        <f t="shared" si="0"/>
        <v>0</v>
      </c>
      <c r="AB9" s="50">
        <f t="shared" si="0"/>
        <v>0</v>
      </c>
      <c r="AC9" s="51">
        <f t="shared" si="0"/>
        <v>0</v>
      </c>
      <c r="AD9" s="51">
        <f t="shared" si="0"/>
        <v>0</v>
      </c>
      <c r="AE9" s="51">
        <f t="shared" si="0"/>
        <v>0</v>
      </c>
      <c r="AF9" s="52">
        <f t="shared" si="0"/>
        <v>0</v>
      </c>
    </row>
    <row r="10" spans="1:32" s="24" customFormat="1" x14ac:dyDescent="0.2">
      <c r="A10" s="24" t="s">
        <v>32</v>
      </c>
      <c r="B10" s="24" t="s">
        <v>30</v>
      </c>
      <c r="C10" s="24">
        <f t="shared" si="1"/>
        <v>-10062</v>
      </c>
      <c r="D10" s="24">
        <f t="shared" si="1"/>
        <v>-12348.5</v>
      </c>
      <c r="E10" s="24">
        <f t="shared" si="1"/>
        <v>-13886.5</v>
      </c>
      <c r="F10" s="24">
        <f t="shared" si="1"/>
        <v>-16855.5</v>
      </c>
      <c r="G10" s="24">
        <f t="shared" si="0"/>
        <v>-17121</v>
      </c>
      <c r="H10" s="24">
        <f t="shared" si="0"/>
        <v>-19046</v>
      </c>
      <c r="I10" s="24">
        <f t="shared" si="0"/>
        <v>-21506.5</v>
      </c>
      <c r="J10" s="24">
        <f t="shared" si="0"/>
        <v>-24450.5</v>
      </c>
      <c r="K10" s="24">
        <f t="shared" si="0"/>
        <v>-27191</v>
      </c>
      <c r="L10" s="24">
        <f t="shared" si="0"/>
        <v>-30519.5</v>
      </c>
      <c r="M10" s="24">
        <f t="shared" si="0"/>
        <v>-34390</v>
      </c>
      <c r="N10" s="24">
        <f t="shared" si="0"/>
        <v>-36214.5</v>
      </c>
      <c r="O10" s="24">
        <f t="shared" si="0"/>
        <v>-37928.5</v>
      </c>
      <c r="P10" s="24">
        <f t="shared" si="0"/>
        <v>-39578.5</v>
      </c>
      <c r="Q10" s="31">
        <f t="shared" si="0"/>
        <v>-41395.5</v>
      </c>
      <c r="R10" s="31">
        <f t="shared" si="0"/>
        <v>-44347</v>
      </c>
      <c r="S10" s="31">
        <f t="shared" si="0"/>
        <v>-47425</v>
      </c>
      <c r="T10" s="31">
        <f t="shared" si="0"/>
        <v>-52458.5</v>
      </c>
      <c r="U10" s="31">
        <f t="shared" si="0"/>
        <v>-53478.5</v>
      </c>
      <c r="V10" s="53">
        <f t="shared" si="0"/>
        <v>-54556</v>
      </c>
      <c r="W10" s="31">
        <f t="shared" si="0"/>
        <v>-57123</v>
      </c>
      <c r="X10" s="31">
        <f t="shared" si="0"/>
        <v>-57842.5</v>
      </c>
      <c r="Y10" s="31">
        <f t="shared" si="0"/>
        <v>-59932</v>
      </c>
      <c r="Z10" s="31">
        <f t="shared" si="0"/>
        <v>-65433.5</v>
      </c>
      <c r="AA10" s="31">
        <f t="shared" si="0"/>
        <v>-71538</v>
      </c>
      <c r="AB10" s="50">
        <f t="shared" si="0"/>
        <v>-78499</v>
      </c>
      <c r="AC10" s="51">
        <f t="shared" si="0"/>
        <v>-85402.937442314142</v>
      </c>
      <c r="AD10" s="51">
        <f t="shared" si="0"/>
        <v>-91866.574124607039</v>
      </c>
      <c r="AE10" s="51">
        <f t="shared" si="0"/>
        <v>-98069.625199640723</v>
      </c>
      <c r="AF10" s="52">
        <f t="shared" si="0"/>
        <v>-103848.70271947625</v>
      </c>
    </row>
    <row r="11" spans="1:32" s="24" customFormat="1" x14ac:dyDescent="0.2">
      <c r="A11" s="24" t="s">
        <v>33</v>
      </c>
      <c r="B11" s="24" t="s">
        <v>30</v>
      </c>
      <c r="C11" s="24">
        <f>C34/2</f>
        <v>0</v>
      </c>
      <c r="D11" s="24">
        <f>D34/2</f>
        <v>721.71500000000015</v>
      </c>
      <c r="E11" s="24">
        <f>E34/2</f>
        <v>343.21125000000029</v>
      </c>
      <c r="F11" s="24">
        <f>F34/2</f>
        <v>1586.2581249999985</v>
      </c>
      <c r="G11" s="24">
        <f t="shared" ref="G11:M11" si="2">G34/2</f>
        <v>746.65187499999774</v>
      </c>
      <c r="H11" s="24">
        <f t="shared" si="2"/>
        <v>1618.3456249999999</v>
      </c>
      <c r="I11" s="24">
        <f t="shared" si="2"/>
        <v>2252.1831250000014</v>
      </c>
      <c r="J11" s="24">
        <f t="shared" si="2"/>
        <v>2676.4274999999998</v>
      </c>
      <c r="K11" s="24">
        <f t="shared" si="2"/>
        <v>3727.4987500000007</v>
      </c>
      <c r="L11" s="24">
        <f t="shared" si="2"/>
        <v>5475.6399999999976</v>
      </c>
      <c r="M11" s="24">
        <f t="shared" si="2"/>
        <v>6065.717499999997</v>
      </c>
      <c r="N11" s="24">
        <f>(N34/2)-1</f>
        <v>2750.3574999999964</v>
      </c>
      <c r="O11" s="24">
        <f t="shared" ref="O11:AA11" si="3">O34/2</f>
        <v>2645.717499999997</v>
      </c>
      <c r="P11" s="24">
        <f t="shared" si="3"/>
        <v>2112.1374999999953</v>
      </c>
      <c r="Q11" s="31">
        <f t="shared" si="3"/>
        <v>2027.5249999999924</v>
      </c>
      <c r="R11" s="31">
        <f t="shared" si="3"/>
        <v>1492.7999999999938</v>
      </c>
      <c r="S11" s="31">
        <f t="shared" si="3"/>
        <v>2887.5749999999953</v>
      </c>
      <c r="T11" s="31">
        <f t="shared" si="3"/>
        <v>4560.4006249999929</v>
      </c>
      <c r="U11" s="31">
        <f t="shared" si="3"/>
        <v>2617.4881249999944</v>
      </c>
      <c r="V11" s="53">
        <f t="shared" si="3"/>
        <v>276.83999999999469</v>
      </c>
      <c r="W11" s="31">
        <f t="shared" si="3"/>
        <v>772.46767671427915</v>
      </c>
      <c r="X11" s="31">
        <f t="shared" si="3"/>
        <v>-1647.943947785725</v>
      </c>
      <c r="Y11" s="31">
        <f>Y34/2</f>
        <v>-1236.5293332745659</v>
      </c>
      <c r="Z11" s="31">
        <f t="shared" si="3"/>
        <v>1851.1560352254292</v>
      </c>
      <c r="AA11" s="31">
        <f t="shared" si="3"/>
        <v>4815.5733102254362</v>
      </c>
      <c r="AB11" s="50">
        <f>AB34/2</f>
        <v>9001.2793117254478</v>
      </c>
      <c r="AC11" s="51">
        <f>AC34/2</f>
        <v>11508.649453994069</v>
      </c>
      <c r="AD11" s="51">
        <f>AD34/2</f>
        <v>13013.897258302146</v>
      </c>
      <c r="AE11" s="51">
        <f>AE34/2</f>
        <v>13774.378384187257</v>
      </c>
      <c r="AF11" s="52">
        <f>AF34/2</f>
        <v>13660.746525199494</v>
      </c>
    </row>
    <row r="12" spans="1:32" s="24" customFormat="1" x14ac:dyDescent="0.2">
      <c r="A12" s="24" t="s">
        <v>34</v>
      </c>
      <c r="B12" s="24" t="s">
        <v>30</v>
      </c>
      <c r="C12" s="24">
        <f>C38/2</f>
        <v>446.5</v>
      </c>
      <c r="D12" s="24">
        <f>D38/2</f>
        <v>472.31750000000011</v>
      </c>
      <c r="E12" s="24">
        <f>E38/2</f>
        <v>590.31750000000011</v>
      </c>
      <c r="F12" s="24">
        <f>F38/2</f>
        <v>721.31750000000011</v>
      </c>
      <c r="G12" s="24">
        <f t="shared" ref="G12:AF12" si="4">G38/2</f>
        <v>404.81750000000193</v>
      </c>
      <c r="H12" s="24">
        <f t="shared" si="4"/>
        <v>401.31750000000284</v>
      </c>
      <c r="I12" s="24">
        <f t="shared" si="4"/>
        <v>351.31750000000056</v>
      </c>
      <c r="J12" s="24">
        <f t="shared" si="4"/>
        <v>338.31749999999943</v>
      </c>
      <c r="K12" s="24">
        <f t="shared" si="4"/>
        <v>351.81750000000102</v>
      </c>
      <c r="L12" s="24">
        <f t="shared" si="4"/>
        <v>410.31750000000011</v>
      </c>
      <c r="M12" s="24">
        <f t="shared" si="4"/>
        <v>421.31750000000306</v>
      </c>
      <c r="N12" s="24">
        <f t="shared" si="4"/>
        <v>435.80031500000382</v>
      </c>
      <c r="O12" s="24">
        <f t="shared" si="4"/>
        <v>449.1789020000042</v>
      </c>
      <c r="P12" s="24">
        <f t="shared" si="4"/>
        <v>472.2073145000038</v>
      </c>
      <c r="Q12" s="31">
        <f t="shared" si="4"/>
        <v>497.13549750000516</v>
      </c>
      <c r="R12" s="31">
        <f t="shared" si="4"/>
        <v>522.53073100000802</v>
      </c>
      <c r="S12" s="31">
        <f t="shared" si="4"/>
        <v>529.45758061765332</v>
      </c>
      <c r="T12" s="31">
        <f t="shared" si="4"/>
        <v>649.83554023529905</v>
      </c>
      <c r="U12" s="31">
        <f t="shared" si="4"/>
        <v>687.3208343529484</v>
      </c>
      <c r="V12" s="53">
        <f t="shared" si="4"/>
        <v>763.52104947059343</v>
      </c>
      <c r="W12" s="31">
        <f t="shared" si="4"/>
        <v>773.87541058824002</v>
      </c>
      <c r="X12" s="31">
        <f t="shared" si="4"/>
        <v>799.45422620588795</v>
      </c>
      <c r="Y12" s="31">
        <f t="shared" si="4"/>
        <v>825.91103732353861</v>
      </c>
      <c r="Z12" s="31">
        <f t="shared" si="4"/>
        <v>853.01835694118824</v>
      </c>
      <c r="AA12" s="31">
        <f t="shared" si="4"/>
        <v>881.60331555883761</v>
      </c>
      <c r="AB12" s="50">
        <f t="shared" si="4"/>
        <v>895.46956602647913</v>
      </c>
      <c r="AC12" s="51">
        <f t="shared" si="4"/>
        <v>910.37871949425119</v>
      </c>
      <c r="AD12" s="51">
        <f t="shared" si="4"/>
        <v>924.64029045566429</v>
      </c>
      <c r="AE12" s="51">
        <f t="shared" si="4"/>
        <v>938.31987110463797</v>
      </c>
      <c r="AF12" s="52">
        <f t="shared" si="4"/>
        <v>951.39729337327958</v>
      </c>
    </row>
    <row r="13" spans="1:32" s="55" customFormat="1" x14ac:dyDescent="0.2">
      <c r="A13" s="54" t="s">
        <v>35</v>
      </c>
      <c r="B13" s="55" t="s">
        <v>30</v>
      </c>
      <c r="U13" s="55">
        <f>U37/2</f>
        <v>0</v>
      </c>
      <c r="V13" s="56">
        <f t="shared" ref="V13:AF13" si="5">V37/2</f>
        <v>0</v>
      </c>
      <c r="W13" s="55">
        <f t="shared" si="5"/>
        <v>0</v>
      </c>
      <c r="X13" s="55">
        <f t="shared" si="5"/>
        <v>0</v>
      </c>
      <c r="Y13" s="55">
        <f t="shared" si="5"/>
        <v>0</v>
      </c>
      <c r="Z13" s="55">
        <f t="shared" si="5"/>
        <v>-0.5</v>
      </c>
      <c r="AA13" s="31">
        <f t="shared" si="5"/>
        <v>-1</v>
      </c>
      <c r="AB13" s="55">
        <f t="shared" si="5"/>
        <v>-1.5</v>
      </c>
      <c r="AC13" s="55">
        <f t="shared" si="5"/>
        <v>-1.5</v>
      </c>
      <c r="AD13" s="55">
        <f t="shared" si="5"/>
        <v>-1.5</v>
      </c>
      <c r="AE13" s="55">
        <f t="shared" si="5"/>
        <v>-1.5</v>
      </c>
      <c r="AF13" s="55">
        <f t="shared" si="5"/>
        <v>-1.5</v>
      </c>
    </row>
    <row r="14" spans="1:32" s="24" customFormat="1" x14ac:dyDescent="0.2">
      <c r="A14" s="24" t="s">
        <v>36</v>
      </c>
      <c r="B14" s="24" t="s">
        <v>30</v>
      </c>
      <c r="C14" s="57" t="str">
        <f>+C35</f>
        <v>n/a</v>
      </c>
      <c r="D14" s="57" t="str">
        <f>+D35</f>
        <v>n/a</v>
      </c>
      <c r="E14" s="57" t="str">
        <f>+E35</f>
        <v>n/a</v>
      </c>
      <c r="F14" s="57" t="str">
        <f>+F35</f>
        <v>n/a</v>
      </c>
      <c r="G14" s="57">
        <f>+G35/2</f>
        <v>35</v>
      </c>
      <c r="H14" s="57">
        <f t="shared" ref="H14:AA14" si="6">+H35/2</f>
        <v>39.5</v>
      </c>
      <c r="I14" s="57">
        <f t="shared" si="6"/>
        <v>30.5</v>
      </c>
      <c r="J14" s="57">
        <f t="shared" si="6"/>
        <v>34</v>
      </c>
      <c r="K14" s="57">
        <f t="shared" si="6"/>
        <v>26.5</v>
      </c>
      <c r="L14" s="57">
        <f t="shared" si="6"/>
        <v>22</v>
      </c>
      <c r="M14" s="57">
        <f t="shared" si="6"/>
        <v>20.5</v>
      </c>
      <c r="N14" s="57">
        <f t="shared" si="6"/>
        <v>22</v>
      </c>
      <c r="O14" s="57">
        <f t="shared" si="6"/>
        <v>27</v>
      </c>
      <c r="P14" s="57">
        <f t="shared" si="6"/>
        <v>21.5</v>
      </c>
      <c r="Q14" s="58">
        <f t="shared" si="6"/>
        <v>20</v>
      </c>
      <c r="R14" s="58">
        <f t="shared" si="6"/>
        <v>18</v>
      </c>
      <c r="S14" s="58">
        <f t="shared" si="6"/>
        <v>17</v>
      </c>
      <c r="T14" s="58">
        <f t="shared" si="6"/>
        <v>15.5</v>
      </c>
      <c r="U14" s="58">
        <f t="shared" si="6"/>
        <v>23.5</v>
      </c>
      <c r="V14" s="59">
        <f t="shared" si="6"/>
        <v>28.990893499999999</v>
      </c>
      <c r="W14" s="58">
        <f t="shared" si="6"/>
        <v>29.2927505</v>
      </c>
      <c r="X14" s="58">
        <f t="shared" si="6"/>
        <v>19.860441999999999</v>
      </c>
      <c r="Y14" s="58">
        <f>+Y35/2</f>
        <v>19.6341185</v>
      </c>
      <c r="Z14" s="58">
        <f t="shared" si="6"/>
        <v>18.951650000000001</v>
      </c>
      <c r="AA14" s="58">
        <f t="shared" si="6"/>
        <v>18.367251499999998</v>
      </c>
      <c r="AB14" s="60">
        <f>+AB35/2</f>
        <v>19</v>
      </c>
      <c r="AC14" s="61">
        <f>+AC35/2</f>
        <v>21.682182705882354</v>
      </c>
      <c r="AD14" s="61">
        <f>+AD35/2</f>
        <v>21.682182705882354</v>
      </c>
      <c r="AE14" s="61">
        <f>+AE35/2</f>
        <v>21.682182705882354</v>
      </c>
      <c r="AF14" s="62">
        <f>+AF35/2</f>
        <v>21.682182705882354</v>
      </c>
    </row>
    <row r="15" spans="1:32" s="24" customFormat="1" x14ac:dyDescent="0.2">
      <c r="A15" s="24" t="s">
        <v>37</v>
      </c>
      <c r="B15" s="24" t="s">
        <v>38</v>
      </c>
      <c r="C15" s="24">
        <f>'[1]initial ufl'!C12</f>
        <v>0</v>
      </c>
      <c r="D15" s="24">
        <f>'[1]initial ufl'!D12</f>
        <v>0</v>
      </c>
      <c r="E15" s="24">
        <f>'[1]initial ufl'!E12</f>
        <v>0</v>
      </c>
      <c r="F15" s="24">
        <f>'[1]initial ufl'!F12</f>
        <v>2264</v>
      </c>
      <c r="G15" s="24">
        <f>'[1]initial ufl'!G12</f>
        <v>2090</v>
      </c>
      <c r="H15" s="24">
        <f>'[1]initial ufl'!H12</f>
        <v>1916</v>
      </c>
      <c r="I15" s="24">
        <f>'[1]initial ufl'!I12</f>
        <v>1742</v>
      </c>
      <c r="J15" s="24">
        <f>'[1]initial ufl'!J12</f>
        <v>1568</v>
      </c>
      <c r="K15" s="24">
        <f>'[1]initial ufl'!K12</f>
        <v>1394</v>
      </c>
      <c r="L15" s="24">
        <f>'[1]initial ufl'!L12</f>
        <v>1220</v>
      </c>
      <c r="M15" s="24">
        <f>'[1]initial ufl'!M12</f>
        <v>1046</v>
      </c>
      <c r="N15" s="24">
        <f>'[1]initial ufl'!N12-1</f>
        <v>871</v>
      </c>
      <c r="O15" s="24">
        <f>'[1]initial ufl'!O12</f>
        <v>698</v>
      </c>
      <c r="P15" s="24">
        <f>'[1]initial ufl'!P12</f>
        <v>524</v>
      </c>
      <c r="Q15" s="31">
        <f>'[1]initial ufl'!Q12</f>
        <v>350</v>
      </c>
      <c r="R15" s="31">
        <f>'[1]initial ufl'!R12</f>
        <v>176</v>
      </c>
      <c r="S15" s="31">
        <f>'[1]initial ufl'!S12</f>
        <v>0</v>
      </c>
      <c r="T15" s="31">
        <f>'[1]initial ufl'!T12</f>
        <v>0</v>
      </c>
      <c r="U15" s="31">
        <f>'[1]initial ufl'!U12</f>
        <v>0</v>
      </c>
      <c r="V15" s="53">
        <f>'[1]initial ufl'!V12</f>
        <v>0</v>
      </c>
      <c r="W15" s="31">
        <f>'[1]initial ufl'!W12</f>
        <v>0</v>
      </c>
      <c r="X15" s="31">
        <f>'[1]initial ufl'!X12</f>
        <v>0</v>
      </c>
      <c r="Y15" s="31">
        <f>'[1]initial ufl'!Y12</f>
        <v>0</v>
      </c>
      <c r="Z15" s="31">
        <f>'[1]initial ufl'!Z12</f>
        <v>0</v>
      </c>
      <c r="AA15" s="31">
        <f>'[1]initial ufl'!AA12</f>
        <v>0</v>
      </c>
      <c r="AB15" s="50">
        <f>'[1]initial ufl'!AB12</f>
        <v>0</v>
      </c>
      <c r="AC15" s="51">
        <f>'[1]initial ufl'!AC12</f>
        <v>0</v>
      </c>
      <c r="AD15" s="51">
        <f>'[1]initial ufl'!AD12</f>
        <v>0</v>
      </c>
      <c r="AE15" s="51">
        <f>'[1]initial ufl'!AE12</f>
        <v>0</v>
      </c>
      <c r="AF15" s="52">
        <f>'[1]initial ufl'!AF12</f>
        <v>0</v>
      </c>
    </row>
    <row r="16" spans="1:32" s="24" customFormat="1" x14ac:dyDescent="0.2">
      <c r="A16" s="24" t="s">
        <v>39</v>
      </c>
      <c r="B16" s="24" t="s">
        <v>40</v>
      </c>
      <c r="C16" s="63" t="s">
        <v>16</v>
      </c>
      <c r="D16" s="63" t="s">
        <v>16</v>
      </c>
      <c r="E16" s="63" t="s">
        <v>16</v>
      </c>
      <c r="F16" s="63">
        <f>[1]contributions!C52*-1</f>
        <v>118.5</v>
      </c>
      <c r="G16" s="63">
        <f>[1]contributions!D52*-1</f>
        <v>179</v>
      </c>
      <c r="H16" s="63">
        <f>[1]contributions!E52*-1</f>
        <v>136</v>
      </c>
      <c r="I16" s="63">
        <f>[1]contributions!F52*-1</f>
        <v>-18.5</v>
      </c>
      <c r="J16" s="63">
        <f>[1]contributions!G52*-1</f>
        <v>-271.5</v>
      </c>
      <c r="K16" s="63">
        <f>[1]contributions!H52*-1</f>
        <v>-479.5</v>
      </c>
      <c r="L16" s="63">
        <f>[1]contributions!I52*-1</f>
        <v>-459.5</v>
      </c>
      <c r="M16" s="63">
        <f>[1]contributions!J52*-1</f>
        <v>-425</v>
      </c>
      <c r="N16" s="63">
        <f>[1]contributions!K52*-1</f>
        <v>-385.51718499999993</v>
      </c>
      <c r="O16" s="63">
        <f>[1]contributions!L52*-1</f>
        <v>-342.138598</v>
      </c>
      <c r="P16" s="63">
        <f>[1]contributions!M52*-1</f>
        <v>-289.1101855</v>
      </c>
      <c r="Q16" s="64">
        <f>[1]contributions!N52*-1</f>
        <v>-234.68200250000001</v>
      </c>
      <c r="R16" s="64">
        <f>[1]contributions!O52*-1</f>
        <v>-173.78676899999999</v>
      </c>
      <c r="S16" s="64">
        <f>[1]contributions!P52*-1</f>
        <v>-130.8452135</v>
      </c>
      <c r="T16" s="64">
        <f>[1]contributions!Q52*-1</f>
        <v>38.547452000000021</v>
      </c>
      <c r="U16" s="64">
        <f>[1]contributions!R52*-1</f>
        <v>112.54745200000002</v>
      </c>
      <c r="V16" s="65">
        <f>[1]contributions!S52*-1</f>
        <v>177.26237300000003</v>
      </c>
      <c r="W16" s="64">
        <f>[1]contributions!T52*-1</f>
        <v>190.22886857142856</v>
      </c>
      <c r="X16" s="64">
        <f>[1]contributions!U52*-1</f>
        <v>201.82239007142852</v>
      </c>
      <c r="Y16" s="64">
        <f>[1]contributions!V52*-1</f>
        <v>222.15202314285705</v>
      </c>
      <c r="Z16" s="64">
        <f>[1]contributions!W52*-1</f>
        <v>238.274048642857</v>
      </c>
      <c r="AA16" s="64">
        <f>[1]contributions!X52*-1</f>
        <v>255.87371314285701</v>
      </c>
      <c r="AB16" s="66">
        <f>[1]contributions!Y52*-1</f>
        <v>254.25466949285703</v>
      </c>
      <c r="AC16" s="67">
        <f>[1]contributions!Z52*-1</f>
        <v>247.6068075315182</v>
      </c>
      <c r="AD16" s="67">
        <f>[1]contributions!AA52*-1</f>
        <v>241.74880494170486</v>
      </c>
      <c r="AE16" s="67">
        <f>[1]contributions!AB52*-1</f>
        <v>234.62797737593644</v>
      </c>
      <c r="AF16" s="68">
        <f>[1]contributions!AC52*-1</f>
        <v>227.2356006387343</v>
      </c>
    </row>
    <row r="17" spans="1:32" s="76" customFormat="1" ht="15.75" x14ac:dyDescent="0.25">
      <c r="A17" s="69" t="s">
        <v>41</v>
      </c>
      <c r="B17" s="29" t="s">
        <v>42</v>
      </c>
      <c r="C17" s="70">
        <f t="shared" ref="C17:Q17" si="7">SUM(C8:C16)</f>
        <v>2580</v>
      </c>
      <c r="D17" s="70">
        <f t="shared" si="7"/>
        <v>2585.0325000000003</v>
      </c>
      <c r="E17" s="70">
        <f t="shared" si="7"/>
        <v>2437.5287500000004</v>
      </c>
      <c r="F17" s="70">
        <f t="shared" si="7"/>
        <v>4833.5756249999986</v>
      </c>
      <c r="G17" s="70">
        <f t="shared" si="7"/>
        <v>4758.4693749999997</v>
      </c>
      <c r="H17" s="70">
        <f t="shared" si="7"/>
        <v>4568.6631250000028</v>
      </c>
      <c r="I17" s="70">
        <f t="shared" si="7"/>
        <v>4017.5006250000019</v>
      </c>
      <c r="J17" s="70">
        <f t="shared" si="7"/>
        <v>3129.744999999999</v>
      </c>
      <c r="K17" s="70">
        <f t="shared" si="7"/>
        <v>2146.8162500000017</v>
      </c>
      <c r="L17" s="70">
        <f t="shared" si="7"/>
        <v>1321.9574999999977</v>
      </c>
      <c r="M17" s="70">
        <f t="shared" si="7"/>
        <v>282.03500000000008</v>
      </c>
      <c r="N17" s="70">
        <f t="shared" si="7"/>
        <v>-336.35936999999967</v>
      </c>
      <c r="O17" s="70">
        <f t="shared" si="7"/>
        <v>-791.24219599999878</v>
      </c>
      <c r="P17" s="70">
        <f t="shared" si="7"/>
        <v>-1233.2653710000009</v>
      </c>
      <c r="Q17" s="70">
        <f t="shared" si="7"/>
        <v>-1691.0215050000024</v>
      </c>
      <c r="R17" s="71">
        <f t="shared" ref="R17:AA17" si="8">SUM(R8:R16)</f>
        <v>-2125.956037999998</v>
      </c>
      <c r="S17" s="71">
        <f t="shared" si="8"/>
        <v>-2561.812632882351</v>
      </c>
      <c r="T17" s="71">
        <f t="shared" si="8"/>
        <v>-3016.2163827647082</v>
      </c>
      <c r="U17" s="71">
        <f t="shared" si="8"/>
        <v>-4026.6435886470572</v>
      </c>
      <c r="V17" s="72">
        <f t="shared" si="8"/>
        <v>-5005.385684029412</v>
      </c>
      <c r="W17" s="71">
        <f t="shared" si="8"/>
        <v>-5798.6352936260528</v>
      </c>
      <c r="X17" s="71">
        <f t="shared" si="8"/>
        <v>-6622.8068895084089</v>
      </c>
      <c r="Y17" s="71">
        <f t="shared" si="8"/>
        <v>-7123.8321543081702</v>
      </c>
      <c r="Z17" s="71">
        <f t="shared" si="8"/>
        <v>-7710.5999091905251</v>
      </c>
      <c r="AA17" s="71">
        <f t="shared" si="8"/>
        <v>-8667.0824095728694</v>
      </c>
      <c r="AB17" s="73">
        <f>SUM(AB8:AB16)</f>
        <v>-10146.996452755217</v>
      </c>
      <c r="AC17" s="74">
        <f>SUM(AC8:AC16)</f>
        <v>-12270.54140867866</v>
      </c>
      <c r="AD17" s="74">
        <f>SUM(AD8:AD16)</f>
        <v>-14828.832650718925</v>
      </c>
      <c r="AE17" s="74">
        <f>SUM(AE8:AE16)</f>
        <v>-17739.728708798732</v>
      </c>
      <c r="AF17" s="75">
        <f>SUM(AF8:AF16)</f>
        <v>-20955.899667972204</v>
      </c>
    </row>
    <row r="18" spans="1:32" s="29" customFormat="1" x14ac:dyDescent="0.2"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77"/>
      <c r="AC18" s="33"/>
      <c r="AD18" s="33"/>
      <c r="AE18" s="33"/>
      <c r="AF18" s="34"/>
    </row>
    <row r="19" spans="1:32" s="29" customFormat="1" x14ac:dyDescent="0.2">
      <c r="N19" s="29" t="s">
        <v>43</v>
      </c>
      <c r="O19" s="78">
        <f t="shared" ref="O19:AB19" si="9">O17*1000000</f>
        <v>-791242195.99999881</v>
      </c>
      <c r="P19" s="78">
        <f t="shared" si="9"/>
        <v>-1233265371.000001</v>
      </c>
      <c r="Q19" s="78">
        <f t="shared" si="9"/>
        <v>-1691021505.0000024</v>
      </c>
      <c r="R19" s="78">
        <f t="shared" si="9"/>
        <v>-2125956037.9999981</v>
      </c>
      <c r="S19" s="78">
        <f t="shared" si="9"/>
        <v>-2561812632.8823509</v>
      </c>
      <c r="T19" s="78">
        <f t="shared" si="9"/>
        <v>-3016216382.764708</v>
      </c>
      <c r="U19" s="79">
        <f t="shared" si="9"/>
        <v>-4026643588.6470571</v>
      </c>
      <c r="V19" s="79">
        <f t="shared" si="9"/>
        <v>-5005385684.0294123</v>
      </c>
      <c r="W19" s="79">
        <f t="shared" si="9"/>
        <v>-5798635293.6260529</v>
      </c>
      <c r="X19" s="79">
        <f t="shared" si="9"/>
        <v>-6622806889.5084085</v>
      </c>
      <c r="Y19" s="79">
        <f t="shared" si="9"/>
        <v>-7123832154.3081703</v>
      </c>
      <c r="Z19" s="30">
        <f t="shared" si="9"/>
        <v>-7710599909.1905251</v>
      </c>
      <c r="AA19" s="30">
        <f t="shared" si="9"/>
        <v>-8667082409.5728703</v>
      </c>
      <c r="AB19" s="30">
        <f t="shared" si="9"/>
        <v>-10146996452.755217</v>
      </c>
      <c r="AC19" s="80"/>
      <c r="AD19" s="80"/>
      <c r="AE19" s="80"/>
      <c r="AF19" s="81"/>
    </row>
    <row r="20" spans="1:32" s="29" customFormat="1" x14ac:dyDescent="0.2">
      <c r="A20" s="35" t="s">
        <v>44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77"/>
      <c r="AC20" s="33"/>
      <c r="AD20" s="33"/>
      <c r="AE20" s="33"/>
      <c r="AF20" s="34"/>
    </row>
    <row r="21" spans="1:32" s="29" customFormat="1" x14ac:dyDescent="0.2">
      <c r="A21" s="29" t="s">
        <v>45</v>
      </c>
      <c r="B21" s="29" t="s">
        <v>46</v>
      </c>
      <c r="G21" s="29">
        <f>+F17</f>
        <v>4833.5756249999986</v>
      </c>
      <c r="H21" s="29">
        <f t="shared" ref="H21:N21" si="10">+G17</f>
        <v>4758.4693749999997</v>
      </c>
      <c r="I21" s="29">
        <f t="shared" si="10"/>
        <v>4568.6631250000028</v>
      </c>
      <c r="J21" s="29">
        <f t="shared" si="10"/>
        <v>4017.5006250000019</v>
      </c>
      <c r="K21" s="29">
        <f t="shared" si="10"/>
        <v>3129.744999999999</v>
      </c>
      <c r="L21" s="29">
        <f t="shared" si="10"/>
        <v>2146.8162500000017</v>
      </c>
      <c r="M21" s="29">
        <f t="shared" si="10"/>
        <v>1321.9574999999977</v>
      </c>
      <c r="N21" s="29">
        <f t="shared" si="10"/>
        <v>282.03500000000008</v>
      </c>
      <c r="O21" s="29">
        <f t="shared" ref="O21:AF21" si="11">N17</f>
        <v>-336.35936999999967</v>
      </c>
      <c r="P21" s="29">
        <f t="shared" si="11"/>
        <v>-791.24219599999878</v>
      </c>
      <c r="Q21" s="30">
        <f t="shared" si="11"/>
        <v>-1233.2653710000009</v>
      </c>
      <c r="R21" s="30">
        <f t="shared" si="11"/>
        <v>-1691.0215050000024</v>
      </c>
      <c r="S21" s="30">
        <f t="shared" si="11"/>
        <v>-2125.956037999998</v>
      </c>
      <c r="T21" s="30">
        <f t="shared" si="11"/>
        <v>-2561.812632882351</v>
      </c>
      <c r="U21" s="30">
        <f t="shared" si="11"/>
        <v>-3016.2163827647082</v>
      </c>
      <c r="V21" s="30">
        <f t="shared" si="11"/>
        <v>-4026.6435886470572</v>
      </c>
      <c r="W21" s="30">
        <f t="shared" si="11"/>
        <v>-5005.385684029412</v>
      </c>
      <c r="X21" s="30">
        <f t="shared" si="11"/>
        <v>-5798.6352936260528</v>
      </c>
      <c r="Y21" s="30">
        <f t="shared" si="11"/>
        <v>-6622.8068895084089</v>
      </c>
      <c r="Z21" s="30">
        <f t="shared" si="11"/>
        <v>-7123.8321543081702</v>
      </c>
      <c r="AA21" s="30">
        <f t="shared" si="11"/>
        <v>-7710.5999091905251</v>
      </c>
      <c r="AB21" s="77">
        <f t="shared" si="11"/>
        <v>-8667.0824095728694</v>
      </c>
      <c r="AC21" s="33">
        <f t="shared" si="11"/>
        <v>-10146.996452755217</v>
      </c>
      <c r="AD21" s="33">
        <f t="shared" si="11"/>
        <v>-12270.54140867866</v>
      </c>
      <c r="AE21" s="33">
        <f t="shared" si="11"/>
        <v>-14828.832650718925</v>
      </c>
      <c r="AF21" s="34">
        <f t="shared" si="11"/>
        <v>-17739.728708798732</v>
      </c>
    </row>
    <row r="22" spans="1:32" s="29" customFormat="1" x14ac:dyDescent="0.2">
      <c r="A22" s="29" t="s">
        <v>47</v>
      </c>
      <c r="B22" s="29" t="s">
        <v>48</v>
      </c>
      <c r="G22" s="29">
        <f>[1]expense!G19</f>
        <v>490.89374999999995</v>
      </c>
      <c r="H22" s="29">
        <f>[1]expense!H19</f>
        <v>496.19374999999991</v>
      </c>
      <c r="I22" s="29">
        <f>[1]expense!I19</f>
        <v>374.83750000000009</v>
      </c>
      <c r="J22" s="29">
        <f>[1]expense!J19</f>
        <v>244.24437499999999</v>
      </c>
      <c r="K22" s="29">
        <f>[1]expense!K19</f>
        <v>126.07124999999996</v>
      </c>
      <c r="L22" s="29">
        <f>[1]expense!L19</f>
        <v>-157.8587500000001</v>
      </c>
      <c r="M22" s="29">
        <f>[1]expense!M19</f>
        <v>-404.9224999999999</v>
      </c>
      <c r="N22" s="29">
        <f>[1]expense!N19</f>
        <v>29.139999999999873</v>
      </c>
      <c r="O22" s="29">
        <f>[1]expense!O19</f>
        <v>221.36000000000013</v>
      </c>
      <c r="P22" s="29">
        <f>[1]expense!P19</f>
        <v>241.41999999999962</v>
      </c>
      <c r="Q22" s="30">
        <f>[1]expense!Q19</f>
        <v>250.38749999999982</v>
      </c>
      <c r="R22" s="30">
        <f>[1]expense!R19</f>
        <v>305.27499999999964</v>
      </c>
      <c r="S22" s="30">
        <f>[1]expense!S19</f>
        <v>359.26029411764716</v>
      </c>
      <c r="T22" s="30">
        <f>[1]expense!T19</f>
        <v>353.81091911764702</v>
      </c>
      <c r="U22" s="30">
        <f>[1]expense!U19</f>
        <v>59.572794117647149</v>
      </c>
      <c r="V22" s="30">
        <f>[1]expense!V19</f>
        <v>265.82806261764733</v>
      </c>
      <c r="W22" s="30">
        <f>[1]expense!W19</f>
        <v>523.01225640336088</v>
      </c>
      <c r="X22" s="30">
        <f>[1]expense!X19</f>
        <v>519.14136111764719</v>
      </c>
      <c r="Y22" s="30">
        <f>[1]expense!Y19</f>
        <v>892.03170120023663</v>
      </c>
      <c r="Z22" s="30">
        <f>[1]expense!Z19</f>
        <v>874.98819411764703</v>
      </c>
      <c r="AA22" s="30">
        <f>[1]expense!AA19</f>
        <v>568.81817061764684</v>
      </c>
      <c r="AB22" s="77">
        <f>[1]expense!AB19</f>
        <v>118.32404411764651</v>
      </c>
      <c r="AC22" s="33">
        <f>[1]expense!AC19</f>
        <v>-459.36863090785755</v>
      </c>
      <c r="AD22" s="33">
        <f>[1]expense!AD19</f>
        <v>-825.65879900649043</v>
      </c>
      <c r="AE22" s="33">
        <f>[1]expense!AE19</f>
        <v>-1116.7412651971297</v>
      </c>
      <c r="AF22" s="34">
        <f>[1]expense!AF19</f>
        <v>-1358.3618446496812</v>
      </c>
    </row>
    <row r="23" spans="1:32" s="29" customFormat="1" x14ac:dyDescent="0.2">
      <c r="A23" s="29" t="s">
        <v>49</v>
      </c>
      <c r="B23" s="29" t="s">
        <v>50</v>
      </c>
      <c r="G23" s="82">
        <f>'[1]Data Input'!H46*-1</f>
        <v>-566</v>
      </c>
      <c r="H23" s="82">
        <f>'[1]Data Input'!I46*-1</f>
        <v>-686</v>
      </c>
      <c r="I23" s="82">
        <f>'[1]Data Input'!J46*-1</f>
        <v>-926</v>
      </c>
      <c r="J23" s="82">
        <f>'[1]Data Input'!K46*-1</f>
        <v>-1132</v>
      </c>
      <c r="K23" s="82">
        <f>'[1]Data Input'!L46*-1</f>
        <v>-1109</v>
      </c>
      <c r="L23" s="82">
        <f>'[1]Data Input'!M46*-1</f>
        <v>-667</v>
      </c>
      <c r="M23" s="82">
        <f>'[1]Data Input'!N46*-1</f>
        <v>-635</v>
      </c>
      <c r="N23" s="82">
        <f>'[1]Data Input'!O46*-1</f>
        <v>-645.03436999999997</v>
      </c>
      <c r="O23" s="82">
        <f>'[1]Data Input'!P46*-1</f>
        <v>-676.24282600000004</v>
      </c>
      <c r="P23" s="82">
        <f>'[1]Data Input'!Q46*-1</f>
        <v>-682.943175</v>
      </c>
      <c r="Q23" s="83">
        <f>'[1]Data Input'!R46*-1</f>
        <v>-708.14363400000002</v>
      </c>
      <c r="R23" s="83">
        <f>'[1]Data Input'!S46*-1</f>
        <v>-740.20953299999996</v>
      </c>
      <c r="S23" s="83">
        <f>'[1]Data Input'!T46*-1</f>
        <v>-795.11688900000001</v>
      </c>
      <c r="T23" s="83">
        <f>'[1]Data Input'!U46*-1</f>
        <v>-808.21466899999996</v>
      </c>
      <c r="U23" s="83">
        <f>'[1]Data Input'!V46*-1</f>
        <v>-1070</v>
      </c>
      <c r="V23" s="83">
        <f>'[1]Data Input'!W46*-1</f>
        <v>-1244.570158</v>
      </c>
      <c r="W23" s="83">
        <f>'[1]Data Input'!X46*-1</f>
        <v>-1316.2618660000001</v>
      </c>
      <c r="X23" s="83">
        <f>'[1]Data Input'!Y46*-1</f>
        <v>-1343.8129570000001</v>
      </c>
      <c r="Y23" s="83">
        <f>'[1]Data Input'!Z46*-1</f>
        <v>-1393.0569660000001</v>
      </c>
      <c r="Z23" s="83">
        <f>'[1]Data Input'!AA46*-1</f>
        <v>-1460.7559490000001</v>
      </c>
      <c r="AA23" s="83">
        <f>'[1]Data Input'!AB46*-1</f>
        <v>-1525.800671</v>
      </c>
      <c r="AB23" s="84">
        <f>'[1]Data Input'!AC46*-1</f>
        <v>-1598.2380873</v>
      </c>
      <c r="AC23" s="85">
        <f>'[1]Data Input'!AD46*-1</f>
        <v>-1664.1763250155739</v>
      </c>
      <c r="AD23" s="85">
        <f>'[1]Data Input'!AE46*-1</f>
        <v>-1732.632443033782</v>
      </c>
      <c r="AE23" s="85">
        <f>'[1]Data Input'!AF46*-1</f>
        <v>-1794.1547928826822</v>
      </c>
      <c r="AF23" s="86">
        <f>'[1]Data Input'!AG46*-1</f>
        <v>-1857.8091145237856</v>
      </c>
    </row>
    <row r="24" spans="1:32" s="25" customFormat="1" x14ac:dyDescent="0.2">
      <c r="A24" s="25" t="s">
        <v>51</v>
      </c>
      <c r="B24" s="25" t="s">
        <v>15</v>
      </c>
      <c r="G24" s="87">
        <f>SUM(G21:G23)</f>
        <v>4758.4693749999988</v>
      </c>
      <c r="H24" s="87">
        <f t="shared" ref="H24:AF24" si="12">SUM(H21:H23)</f>
        <v>4568.6631249999991</v>
      </c>
      <c r="I24" s="87">
        <f t="shared" si="12"/>
        <v>4017.5006250000024</v>
      </c>
      <c r="J24" s="87">
        <f t="shared" si="12"/>
        <v>3129.7450000000017</v>
      </c>
      <c r="K24" s="87">
        <f t="shared" si="12"/>
        <v>2146.8162499999989</v>
      </c>
      <c r="L24" s="87">
        <f t="shared" si="12"/>
        <v>1321.9575000000016</v>
      </c>
      <c r="M24" s="87">
        <f t="shared" si="12"/>
        <v>282.03499999999781</v>
      </c>
      <c r="N24" s="87">
        <f t="shared" si="12"/>
        <v>-333.85937000000001</v>
      </c>
      <c r="O24" s="87">
        <f t="shared" si="12"/>
        <v>-791.24219599999958</v>
      </c>
      <c r="P24" s="87">
        <f t="shared" si="12"/>
        <v>-1232.765370999999</v>
      </c>
      <c r="Q24" s="88">
        <f t="shared" si="12"/>
        <v>-1691.0215050000011</v>
      </c>
      <c r="R24" s="88">
        <f t="shared" si="12"/>
        <v>-2125.956038000003</v>
      </c>
      <c r="S24" s="88">
        <f t="shared" si="12"/>
        <v>-2561.812632882351</v>
      </c>
      <c r="T24" s="88">
        <f t="shared" si="12"/>
        <v>-3016.2163827647037</v>
      </c>
      <c r="U24" s="88">
        <f t="shared" si="12"/>
        <v>-4026.6435886470613</v>
      </c>
      <c r="V24" s="88">
        <f t="shared" si="12"/>
        <v>-5005.3856840294102</v>
      </c>
      <c r="W24" s="88">
        <f t="shared" si="12"/>
        <v>-5798.635293626051</v>
      </c>
      <c r="X24" s="88">
        <f t="shared" si="12"/>
        <v>-6623.3068895084052</v>
      </c>
      <c r="Y24" s="88">
        <f t="shared" si="12"/>
        <v>-7123.832154308172</v>
      </c>
      <c r="Z24" s="88">
        <f t="shared" si="12"/>
        <v>-7709.5999091905232</v>
      </c>
      <c r="AA24" s="88">
        <f t="shared" si="12"/>
        <v>-8667.5824095728785</v>
      </c>
      <c r="AB24" s="89">
        <f t="shared" si="12"/>
        <v>-10146.996452755224</v>
      </c>
      <c r="AC24" s="90">
        <f t="shared" si="12"/>
        <v>-12270.541408678648</v>
      </c>
      <c r="AD24" s="90">
        <f t="shared" si="12"/>
        <v>-14828.832650718934</v>
      </c>
      <c r="AE24" s="90">
        <f t="shared" si="12"/>
        <v>-17739.728708798735</v>
      </c>
      <c r="AF24" s="91">
        <f t="shared" si="12"/>
        <v>-20955.899667972197</v>
      </c>
    </row>
    <row r="25" spans="1:32" s="29" customFormat="1" x14ac:dyDescent="0.2">
      <c r="A25" s="29" t="s">
        <v>52</v>
      </c>
      <c r="G25" s="29">
        <f>G24-G17</f>
        <v>0</v>
      </c>
      <c r="H25" s="29">
        <f t="shared" ref="H25:AF25" si="13">H24-H17</f>
        <v>0</v>
      </c>
      <c r="I25" s="29">
        <f t="shared" si="13"/>
        <v>0</v>
      </c>
      <c r="J25" s="29">
        <f t="shared" si="13"/>
        <v>0</v>
      </c>
      <c r="K25" s="29">
        <f t="shared" si="13"/>
        <v>0</v>
      </c>
      <c r="L25" s="29">
        <f t="shared" si="13"/>
        <v>3.865352482534945E-12</v>
      </c>
      <c r="M25" s="29">
        <f t="shared" si="13"/>
        <v>-2.2737367544323206E-12</v>
      </c>
      <c r="N25" s="29">
        <f>ROUNDDOWN(N24-N17,0)</f>
        <v>2</v>
      </c>
      <c r="O25" s="29">
        <f t="shared" si="13"/>
        <v>0</v>
      </c>
      <c r="P25" s="29">
        <f t="shared" si="13"/>
        <v>0.50000000000181899</v>
      </c>
      <c r="Q25" s="30">
        <f t="shared" si="13"/>
        <v>0</v>
      </c>
      <c r="R25" s="30">
        <f t="shared" si="13"/>
        <v>-5.0022208597511053E-12</v>
      </c>
      <c r="S25" s="30">
        <f t="shared" si="13"/>
        <v>0</v>
      </c>
      <c r="T25" s="30">
        <f t="shared" si="13"/>
        <v>4.5474735088646412E-12</v>
      </c>
      <c r="U25" s="30">
        <f t="shared" si="13"/>
        <v>-4.0927261579781771E-12</v>
      </c>
      <c r="V25" s="30">
        <f t="shared" si="13"/>
        <v>0</v>
      </c>
      <c r="W25" s="30">
        <f t="shared" si="13"/>
        <v>0</v>
      </c>
      <c r="X25" s="30">
        <f>X24-X17</f>
        <v>-0.49999999999636202</v>
      </c>
      <c r="Y25" s="30">
        <f t="shared" si="13"/>
        <v>0</v>
      </c>
      <c r="Z25" s="30">
        <f t="shared" si="13"/>
        <v>1.000000000001819</v>
      </c>
      <c r="AA25" s="30">
        <f t="shared" si="13"/>
        <v>-0.50000000000909495</v>
      </c>
      <c r="AB25" s="77">
        <f t="shared" si="13"/>
        <v>0</v>
      </c>
      <c r="AC25" s="33">
        <f t="shared" si="13"/>
        <v>0</v>
      </c>
      <c r="AD25" s="33">
        <f t="shared" si="13"/>
        <v>0</v>
      </c>
      <c r="AE25" s="33">
        <f t="shared" si="13"/>
        <v>0</v>
      </c>
      <c r="AF25" s="34">
        <f t="shared" si="13"/>
        <v>0</v>
      </c>
    </row>
    <row r="26" spans="1:32" s="29" customFormat="1" x14ac:dyDescent="0.2"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77"/>
      <c r="AC26" s="33"/>
      <c r="AD26" s="33"/>
      <c r="AE26" s="33"/>
      <c r="AF26" s="34"/>
    </row>
    <row r="27" spans="1:32" s="29" customFormat="1" x14ac:dyDescent="0.2"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77"/>
      <c r="AC27" s="33"/>
      <c r="AD27" s="33"/>
      <c r="AE27" s="33"/>
      <c r="AF27" s="34"/>
    </row>
    <row r="28" spans="1:32" s="24" customFormat="1" x14ac:dyDescent="0.2">
      <c r="A28" s="92" t="s">
        <v>53</v>
      </c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50"/>
      <c r="AC28" s="51"/>
      <c r="AD28" s="51"/>
      <c r="AE28" s="51"/>
      <c r="AF28" s="52"/>
    </row>
    <row r="29" spans="1:32" s="24" customFormat="1" x14ac:dyDescent="0.2"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50"/>
      <c r="AC29" s="51"/>
      <c r="AD29" s="51"/>
      <c r="AE29" s="51"/>
      <c r="AF29" s="52"/>
    </row>
    <row r="30" spans="1:32" s="24" customFormat="1" x14ac:dyDescent="0.2">
      <c r="A30" s="24" t="s">
        <v>29</v>
      </c>
      <c r="B30" s="24" t="s">
        <v>54</v>
      </c>
      <c r="C30" s="24">
        <f>'[1]Data Input'!D12</f>
        <v>24391</v>
      </c>
      <c r="D30" s="24">
        <f>'[1]Data Input'!E12</f>
        <v>27479</v>
      </c>
      <c r="E30" s="24">
        <f>'[1]Data Input'!F12</f>
        <v>30781</v>
      </c>
      <c r="F30" s="24">
        <f>'[1]Data Input'!G12</f>
        <v>33998</v>
      </c>
      <c r="G30" s="24">
        <f>'[1]Data Input'!H12</f>
        <v>36848</v>
      </c>
      <c r="H30" s="24">
        <f>'[1]Data Input'!I12</f>
        <v>39007</v>
      </c>
      <c r="I30" s="24">
        <f>'[1]Data Input'!J12</f>
        <v>41833</v>
      </c>
      <c r="J30" s="24">
        <f>'[1]Data Input'!K12</f>
        <v>46470</v>
      </c>
      <c r="K30" s="24">
        <f>'[1]Data Input'!L12</f>
        <v>48635</v>
      </c>
      <c r="L30" s="24">
        <f>'[1]Data Input'!M12</f>
        <v>50346</v>
      </c>
      <c r="M30" s="24">
        <f>'[1]Data Input'!N12</f>
        <v>55087</v>
      </c>
      <c r="N30" s="24">
        <f>'[1]Data Input'!O12</f>
        <v>64369</v>
      </c>
      <c r="O30" s="24">
        <f>'[1]Data Input'!P12</f>
        <v>67319</v>
      </c>
      <c r="P30" s="24">
        <f>'[1]Data Input'!Q12</f>
        <v>71009</v>
      </c>
      <c r="Q30" s="31">
        <f>'[1]Data Input'!R12</f>
        <v>74089</v>
      </c>
      <c r="R30" s="31">
        <f>'[1]Data Input'!S12</f>
        <v>80371</v>
      </c>
      <c r="S30" s="31">
        <f>'[1]Data Input'!T12</f>
        <v>83120</v>
      </c>
      <c r="T30" s="31">
        <f>'[1]Data Input'!U12</f>
        <v>88356</v>
      </c>
      <c r="U30" s="31">
        <f>'[1]Data Input'!V12</f>
        <v>92022</v>
      </c>
      <c r="V30" s="31">
        <f>'[1]Data Input'!W12</f>
        <v>96608</v>
      </c>
      <c r="W30" s="31">
        <f>'[1]Data Input'!X12</f>
        <v>99117</v>
      </c>
      <c r="X30" s="31">
        <f>'[1]Data Input'!Y12</f>
        <v>103693</v>
      </c>
      <c r="Y30" s="31">
        <f>'[1]Data Input'!Z12</f>
        <v>105954</v>
      </c>
      <c r="Z30" s="31">
        <f>'[1]Data Input'!AA12</f>
        <v>109524</v>
      </c>
      <c r="AA30" s="31">
        <f>'[1]Data Input'!AB12</f>
        <v>113801</v>
      </c>
      <c r="AB30" s="50">
        <f>'[1]Data Input'!AC12</f>
        <v>116367</v>
      </c>
      <c r="AC30" s="51">
        <f>'[1]Data Input'!AD12</f>
        <v>120891.15773981952</v>
      </c>
      <c r="AD30" s="51">
        <f>'[1]Data Input'!AE12</f>
        <v>125674.54587496544</v>
      </c>
      <c r="AE30" s="51">
        <f>'[1]Data Input'!AF12</f>
        <v>130724.77615093655</v>
      </c>
      <c r="AF30" s="52">
        <f>'[1]Data Input'!AG12</f>
        <v>136066.48289917331</v>
      </c>
    </row>
    <row r="31" spans="1:32" s="24" customFormat="1" x14ac:dyDescent="0.2">
      <c r="A31" s="24" t="s">
        <v>31</v>
      </c>
      <c r="I31" s="24">
        <v>500</v>
      </c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50"/>
      <c r="AC31" s="51"/>
      <c r="AD31" s="51"/>
      <c r="AE31" s="51"/>
      <c r="AF31" s="52"/>
    </row>
    <row r="32" spans="1:32" s="24" customFormat="1" x14ac:dyDescent="0.2">
      <c r="A32" s="24" t="s">
        <v>32</v>
      </c>
      <c r="B32" s="24" t="s">
        <v>54</v>
      </c>
      <c r="C32" s="93">
        <f>'[1]Data Input'!D28*-1</f>
        <v>-20124</v>
      </c>
      <c r="D32" s="93">
        <f>'[1]Data Input'!E28*-1</f>
        <v>-24697</v>
      </c>
      <c r="E32" s="93">
        <f>'[1]Data Input'!F28*-1</f>
        <v>-27773</v>
      </c>
      <c r="F32" s="93">
        <f>'[1]Data Input'!G28*-1</f>
        <v>-33711</v>
      </c>
      <c r="G32" s="93">
        <f>'[1]Data Input'!H28*-1</f>
        <v>-34242</v>
      </c>
      <c r="H32" s="93">
        <f>'[1]Data Input'!I28*-1</f>
        <v>-38092</v>
      </c>
      <c r="I32" s="93">
        <f>'[1]Data Input'!J28*-1</f>
        <v>-43013</v>
      </c>
      <c r="J32" s="93">
        <f>'[1]Data Input'!K28*-1</f>
        <v>-48901</v>
      </c>
      <c r="K32" s="93">
        <f>'[1]Data Input'!L28*-1</f>
        <v>-54382</v>
      </c>
      <c r="L32" s="93">
        <f>'[1]Data Input'!M28*-1</f>
        <v>-61039</v>
      </c>
      <c r="M32" s="93">
        <f>'[1]Data Input'!N28*-1</f>
        <v>-68780</v>
      </c>
      <c r="N32" s="93">
        <f>'[1]Data Input'!O28*-1</f>
        <v>-72429</v>
      </c>
      <c r="O32" s="93">
        <f>'[1]Data Input'!P28*-1</f>
        <v>-75857</v>
      </c>
      <c r="P32" s="93">
        <f>'[1]Data Input'!Q28*-1</f>
        <v>-79157</v>
      </c>
      <c r="Q32" s="94">
        <f>'[1]Data Input'!R28*-1</f>
        <v>-82791</v>
      </c>
      <c r="R32" s="94">
        <f>'[1]Data Input'!S28*-1</f>
        <v>-88694</v>
      </c>
      <c r="S32" s="94">
        <f>'[1]Data Input'!T28*-1</f>
        <v>-94850</v>
      </c>
      <c r="T32" s="94">
        <f>'[1]Data Input'!U28*-1</f>
        <v>-104917</v>
      </c>
      <c r="U32" s="94">
        <f>'[1]Data Input'!V28*-1</f>
        <v>-106957</v>
      </c>
      <c r="V32" s="94">
        <f>'[1]Data Input'!W28*-1</f>
        <v>-109112</v>
      </c>
      <c r="W32" s="94">
        <f>'[1]Data Input'!X28*-1</f>
        <v>-114246</v>
      </c>
      <c r="X32" s="94">
        <f>'[1]Data Input'!Y28*-1</f>
        <v>-115685</v>
      </c>
      <c r="Y32" s="94">
        <f>'[1]Data Input'!Z28*-1</f>
        <v>-119864</v>
      </c>
      <c r="Z32" s="94">
        <f>'[1]Data Input'!AA28*-1</f>
        <v>-130867</v>
      </c>
      <c r="AA32" s="94">
        <f>'[1]Data Input'!AB28*-1</f>
        <v>-143076</v>
      </c>
      <c r="AB32" s="95">
        <f>'[1]Data Input'!AC28*-1</f>
        <v>-156998</v>
      </c>
      <c r="AC32" s="96">
        <f>'[1]Data Input'!AD28*-1</f>
        <v>-170805.87488462828</v>
      </c>
      <c r="AD32" s="96">
        <f>'[1]Data Input'!AE28*-1</f>
        <v>-183733.14824921408</v>
      </c>
      <c r="AE32" s="96">
        <f>'[1]Data Input'!AF28*-1</f>
        <v>-196139.25039928145</v>
      </c>
      <c r="AF32" s="97">
        <f>'[1]Data Input'!AG28*-1</f>
        <v>-207697.4054389525</v>
      </c>
    </row>
    <row r="33" spans="1:32" s="25" customFormat="1" x14ac:dyDescent="0.2">
      <c r="A33" s="25" t="s">
        <v>55</v>
      </c>
      <c r="B33" s="25" t="s">
        <v>15</v>
      </c>
      <c r="C33" s="25">
        <f>SUM(C30:C32)</f>
        <v>4267</v>
      </c>
      <c r="D33" s="25">
        <f>SUM(D30:D32)</f>
        <v>2782</v>
      </c>
      <c r="E33" s="25">
        <f t="shared" ref="E33:AF33" si="14">SUM(E30:E32)</f>
        <v>3008</v>
      </c>
      <c r="F33" s="25">
        <f t="shared" si="14"/>
        <v>287</v>
      </c>
      <c r="G33" s="25">
        <f t="shared" si="14"/>
        <v>2606</v>
      </c>
      <c r="H33" s="25">
        <f t="shared" si="14"/>
        <v>915</v>
      </c>
      <c r="I33" s="25">
        <f t="shared" si="14"/>
        <v>-680</v>
      </c>
      <c r="J33" s="25">
        <f t="shared" si="14"/>
        <v>-2431</v>
      </c>
      <c r="K33" s="25">
        <f t="shared" si="14"/>
        <v>-5747</v>
      </c>
      <c r="L33" s="25">
        <f t="shared" si="14"/>
        <v>-10693</v>
      </c>
      <c r="M33" s="25">
        <f t="shared" si="14"/>
        <v>-13693</v>
      </c>
      <c r="N33" s="25">
        <f t="shared" si="14"/>
        <v>-8060</v>
      </c>
      <c r="O33" s="25">
        <f t="shared" si="14"/>
        <v>-8538</v>
      </c>
      <c r="P33" s="25">
        <f t="shared" si="14"/>
        <v>-8148</v>
      </c>
      <c r="Q33" s="26">
        <f t="shared" si="14"/>
        <v>-8702</v>
      </c>
      <c r="R33" s="26">
        <f t="shared" si="14"/>
        <v>-8323</v>
      </c>
      <c r="S33" s="26">
        <f t="shared" si="14"/>
        <v>-11730</v>
      </c>
      <c r="T33" s="26">
        <f t="shared" si="14"/>
        <v>-16561</v>
      </c>
      <c r="U33" s="26">
        <f t="shared" si="14"/>
        <v>-14935</v>
      </c>
      <c r="V33" s="26">
        <f t="shared" si="14"/>
        <v>-12504</v>
      </c>
      <c r="W33" s="26">
        <f t="shared" si="14"/>
        <v>-15129</v>
      </c>
      <c r="X33" s="26">
        <f t="shared" si="14"/>
        <v>-11992</v>
      </c>
      <c r="Y33" s="26">
        <f t="shared" si="14"/>
        <v>-13910</v>
      </c>
      <c r="Z33" s="26">
        <f t="shared" si="14"/>
        <v>-21343</v>
      </c>
      <c r="AA33" s="26">
        <f t="shared" si="14"/>
        <v>-29275</v>
      </c>
      <c r="AB33" s="98">
        <f t="shared" si="14"/>
        <v>-40631</v>
      </c>
      <c r="AC33" s="27">
        <f t="shared" si="14"/>
        <v>-49914.717144808761</v>
      </c>
      <c r="AD33" s="27">
        <f t="shared" si="14"/>
        <v>-58058.602374248643</v>
      </c>
      <c r="AE33" s="27">
        <f t="shared" si="14"/>
        <v>-65414.474248344894</v>
      </c>
      <c r="AF33" s="28">
        <f t="shared" si="14"/>
        <v>-71630.922539779189</v>
      </c>
    </row>
    <row r="34" spans="1:32" s="24" customFormat="1" x14ac:dyDescent="0.2">
      <c r="A34" s="24" t="s">
        <v>33</v>
      </c>
      <c r="B34" s="24" t="s">
        <v>56</v>
      </c>
      <c r="C34" s="24">
        <f>'[1]experience g(l)'!B95</f>
        <v>0</v>
      </c>
      <c r="D34" s="24">
        <f>'[1]experience g(l)'!C95</f>
        <v>1443.4300000000003</v>
      </c>
      <c r="E34" s="24">
        <f>'[1]experience g(l)'!D95</f>
        <v>686.42250000000058</v>
      </c>
      <c r="F34" s="24">
        <f>'[1]experience g(l)'!E95</f>
        <v>3172.5162499999969</v>
      </c>
      <c r="G34" s="24">
        <f>'[1]experience g(l)'!F95</f>
        <v>1493.3037499999955</v>
      </c>
      <c r="H34" s="24">
        <f>'[1]experience g(l)'!G95</f>
        <v>3236.6912499999999</v>
      </c>
      <c r="I34" s="24">
        <f>'[1]experience g(l)'!H95</f>
        <v>4504.3662500000028</v>
      </c>
      <c r="J34" s="24">
        <f>'[1]experience g(l)'!I95</f>
        <v>5352.8549999999996</v>
      </c>
      <c r="K34" s="24">
        <f>'[1]experience g(l)'!J95</f>
        <v>7454.9975000000013</v>
      </c>
      <c r="L34" s="24">
        <f>'[1]experience g(l)'!K95</f>
        <v>10951.279999999995</v>
      </c>
      <c r="M34" s="24">
        <f>'[1]experience g(l)'!L95</f>
        <v>12131.434999999994</v>
      </c>
      <c r="N34" s="24">
        <f>'[1]experience g(l)'!M95</f>
        <v>5502.7149999999929</v>
      </c>
      <c r="O34" s="24">
        <f>'[1]experience g(l)'!N95</f>
        <v>5291.434999999994</v>
      </c>
      <c r="P34" s="24">
        <f>'[1]experience g(l)'!O95</f>
        <v>4224.2749999999905</v>
      </c>
      <c r="Q34" s="31">
        <f>'[1]experience g(l)'!P95</f>
        <v>4055.0499999999847</v>
      </c>
      <c r="R34" s="31">
        <f>'[1]experience g(l)'!Q95</f>
        <v>2985.5999999999876</v>
      </c>
      <c r="S34" s="31">
        <f>'[1]experience g(l)'!R95</f>
        <v>5775.1499999999905</v>
      </c>
      <c r="T34" s="31">
        <f>'[1]experience g(l)'!S95</f>
        <v>9120.8012499999859</v>
      </c>
      <c r="U34" s="31">
        <f>'[1]experience g(l)'!T95</f>
        <v>5234.9762499999888</v>
      </c>
      <c r="V34" s="31">
        <f>'[1]experience g(l)'!U95</f>
        <v>553.67999999998938</v>
      </c>
      <c r="W34" s="31">
        <f>'[1]experience g(l)'!V95</f>
        <v>1544.9353534285583</v>
      </c>
      <c r="X34" s="31">
        <f>'[1]experience g(l)'!W95</f>
        <v>-3295.8878955714499</v>
      </c>
      <c r="Y34" s="31">
        <f>'[1]experience g(l)'!X95</f>
        <v>-2473.0586665491319</v>
      </c>
      <c r="Z34" s="31">
        <f>'[1]experience g(l)'!Y95</f>
        <v>3702.3120704508583</v>
      </c>
      <c r="AA34" s="31">
        <f>'[1]experience g(l)'!Z95</f>
        <v>9631.1466204508724</v>
      </c>
      <c r="AB34" s="50">
        <f>'[1]experience g(l)'!AA95</f>
        <v>18002.558623450896</v>
      </c>
      <c r="AC34" s="51">
        <f>'[1]experience g(l)'!AB95</f>
        <v>23017.298907988137</v>
      </c>
      <c r="AD34" s="51">
        <f>'[1]experience g(l)'!AC95</f>
        <v>26027.794516604292</v>
      </c>
      <c r="AE34" s="51">
        <f>'[1]experience g(l)'!AD95</f>
        <v>27548.756768374515</v>
      </c>
      <c r="AF34" s="52">
        <f>'[1]experience g(l)'!AE95</f>
        <v>27321.493050398989</v>
      </c>
    </row>
    <row r="35" spans="1:32" s="24" customFormat="1" x14ac:dyDescent="0.2">
      <c r="A35" s="24" t="s">
        <v>36</v>
      </c>
      <c r="B35" s="24" t="s">
        <v>54</v>
      </c>
      <c r="C35" s="63" t="str">
        <f>'[1]Data Input'!D29</f>
        <v>n/a</v>
      </c>
      <c r="D35" s="63" t="str">
        <f>'[1]Data Input'!E29</f>
        <v>n/a</v>
      </c>
      <c r="E35" s="63" t="str">
        <f>'[1]Data Input'!F29</f>
        <v>n/a</v>
      </c>
      <c r="F35" s="63" t="str">
        <f>'[1]Data Input'!G29</f>
        <v>n/a</v>
      </c>
      <c r="G35" s="63">
        <f>'[1]Data Input'!H29</f>
        <v>70</v>
      </c>
      <c r="H35" s="63">
        <f>'[1]Data Input'!I29</f>
        <v>79</v>
      </c>
      <c r="I35" s="63">
        <f>'[1]Data Input'!J29</f>
        <v>61</v>
      </c>
      <c r="J35" s="63">
        <f>'[1]Data Input'!K29</f>
        <v>68</v>
      </c>
      <c r="K35" s="63">
        <f>'[1]Data Input'!L29</f>
        <v>53</v>
      </c>
      <c r="L35" s="63">
        <f>'[1]Data Input'!M29</f>
        <v>44</v>
      </c>
      <c r="M35" s="63">
        <f>'[1]Data Input'!N29</f>
        <v>41</v>
      </c>
      <c r="N35" s="63">
        <f>'[1]Data Input'!O29</f>
        <v>44</v>
      </c>
      <c r="O35" s="63">
        <f>'[1]Data Input'!P29</f>
        <v>54</v>
      </c>
      <c r="P35" s="63">
        <f>'[1]Data Input'!Q29</f>
        <v>43</v>
      </c>
      <c r="Q35" s="64">
        <f>'[1]Data Input'!R29</f>
        <v>40</v>
      </c>
      <c r="R35" s="64">
        <f>'[1]Data Input'!S29</f>
        <v>36</v>
      </c>
      <c r="S35" s="64">
        <f>'[1]Data Input'!T29</f>
        <v>34</v>
      </c>
      <c r="T35" s="64">
        <f>'[1]Data Input'!U29</f>
        <v>31</v>
      </c>
      <c r="U35" s="64">
        <f>'[1]Data Input'!V29</f>
        <v>47</v>
      </c>
      <c r="V35" s="64">
        <f>'[1]Data Input'!W29</f>
        <v>57.981786999999997</v>
      </c>
      <c r="W35" s="64">
        <f>'[1]Data Input'!X29</f>
        <v>58.585501000000001</v>
      </c>
      <c r="X35" s="64">
        <f>'[1]Data Input'!Y29</f>
        <v>39.720883999999998</v>
      </c>
      <c r="Y35" s="64">
        <f>'[1]Data Input'!Z29</f>
        <v>39.268236999999999</v>
      </c>
      <c r="Z35" s="64">
        <f>'[1]Data Input'!AA29</f>
        <v>37.903300000000002</v>
      </c>
      <c r="AA35" s="64">
        <f>'[1]Data Input'!AB29</f>
        <v>36.734502999999997</v>
      </c>
      <c r="AB35" s="66">
        <f>'[1]Data Input'!AC29</f>
        <v>38</v>
      </c>
      <c r="AC35" s="67">
        <f>'[1]Data Input'!AD29</f>
        <v>43.364365411764709</v>
      </c>
      <c r="AD35" s="67">
        <f>'[1]Data Input'!AE29</f>
        <v>43.364365411764709</v>
      </c>
      <c r="AE35" s="67">
        <f>'[1]Data Input'!AF29</f>
        <v>43.364365411764709</v>
      </c>
      <c r="AF35" s="68">
        <f>'[1]Data Input'!AG29</f>
        <v>43.364365411764709</v>
      </c>
    </row>
    <row r="36" spans="1:32" s="25" customFormat="1" x14ac:dyDescent="0.2">
      <c r="A36" s="25" t="s">
        <v>57</v>
      </c>
      <c r="B36" s="25" t="s">
        <v>15</v>
      </c>
      <c r="C36" s="25">
        <f>SUM(C33:C35)</f>
        <v>4267</v>
      </c>
      <c r="D36" s="25">
        <f>SUM(D33:D35)</f>
        <v>4225.43</v>
      </c>
      <c r="E36" s="25">
        <f t="shared" ref="E36:AF36" si="15">SUM(E33:E35)</f>
        <v>3694.4225000000006</v>
      </c>
      <c r="F36" s="25">
        <f t="shared" si="15"/>
        <v>3459.5162499999969</v>
      </c>
      <c r="G36" s="25">
        <f t="shared" si="15"/>
        <v>4169.3037499999955</v>
      </c>
      <c r="H36" s="25">
        <f t="shared" si="15"/>
        <v>4230.6912499999999</v>
      </c>
      <c r="I36" s="25">
        <f t="shared" si="15"/>
        <v>3885.3662500000028</v>
      </c>
      <c r="J36" s="25">
        <f t="shared" si="15"/>
        <v>2989.8549999999996</v>
      </c>
      <c r="K36" s="25">
        <f t="shared" si="15"/>
        <v>1760.9975000000013</v>
      </c>
      <c r="L36" s="25">
        <f t="shared" si="15"/>
        <v>302.2799999999952</v>
      </c>
      <c r="M36" s="25">
        <f t="shared" si="15"/>
        <v>-1520.565000000006</v>
      </c>
      <c r="N36" s="25">
        <f t="shared" si="15"/>
        <v>-2513.2850000000071</v>
      </c>
      <c r="O36" s="25">
        <f t="shared" si="15"/>
        <v>-3192.565000000006</v>
      </c>
      <c r="P36" s="25">
        <f t="shared" si="15"/>
        <v>-3880.7250000000095</v>
      </c>
      <c r="Q36" s="26">
        <f t="shared" si="15"/>
        <v>-4606.9500000000153</v>
      </c>
      <c r="R36" s="26">
        <f t="shared" si="15"/>
        <v>-5301.4000000000124</v>
      </c>
      <c r="S36" s="26">
        <f t="shared" si="15"/>
        <v>-5920.8500000000095</v>
      </c>
      <c r="T36" s="26">
        <f t="shared" si="15"/>
        <v>-7409.1987500000141</v>
      </c>
      <c r="U36" s="26">
        <f t="shared" si="15"/>
        <v>-9653.0237500000112</v>
      </c>
      <c r="V36" s="26">
        <f t="shared" si="15"/>
        <v>-11892.33821300001</v>
      </c>
      <c r="W36" s="26">
        <f t="shared" si="15"/>
        <v>-13525.479145571442</v>
      </c>
      <c r="X36" s="26">
        <f t="shared" si="15"/>
        <v>-15248.16701157145</v>
      </c>
      <c r="Y36" s="26">
        <f t="shared" si="15"/>
        <v>-16343.790429549132</v>
      </c>
      <c r="Z36" s="26">
        <f t="shared" si="15"/>
        <v>-17602.78462954914</v>
      </c>
      <c r="AA36" s="26">
        <f t="shared" si="15"/>
        <v>-19607.118876549128</v>
      </c>
      <c r="AB36" s="98">
        <f t="shared" si="15"/>
        <v>-22590.441376549104</v>
      </c>
      <c r="AC36" s="27">
        <f t="shared" si="15"/>
        <v>-26854.053871408858</v>
      </c>
      <c r="AD36" s="27">
        <f t="shared" si="15"/>
        <v>-31987.443492232585</v>
      </c>
      <c r="AE36" s="27">
        <f t="shared" si="15"/>
        <v>-37822.353114558617</v>
      </c>
      <c r="AF36" s="28">
        <f t="shared" si="15"/>
        <v>-44266.065123968438</v>
      </c>
    </row>
    <row r="37" spans="1:32" s="32" customFormat="1" x14ac:dyDescent="0.2">
      <c r="A37" s="54" t="s">
        <v>35</v>
      </c>
      <c r="B37" s="99" t="s">
        <v>58</v>
      </c>
      <c r="U37" s="99">
        <f>-'[1]CPI Special Payments'!C13</f>
        <v>0</v>
      </c>
      <c r="V37" s="99">
        <f>-'[1]CPI Special Payments'!D13</f>
        <v>0</v>
      </c>
      <c r="W37" s="99">
        <f>-'[1]CPI Special Payments'!E13</f>
        <v>0</v>
      </c>
      <c r="X37" s="99">
        <f>-'[1]CPI Special Payments'!F13</f>
        <v>0</v>
      </c>
      <c r="Y37" s="99">
        <f>-'[1]CPI Special Payments'!G13</f>
        <v>0</v>
      </c>
      <c r="Z37" s="99">
        <f>-'[1]CPI Special Payments'!H13</f>
        <v>-1</v>
      </c>
      <c r="AA37" s="30">
        <f>-'[1]CPI Special Payments'!I13</f>
        <v>-2</v>
      </c>
      <c r="AB37" s="99">
        <f>-'[1]CPI Special Payments'!J13</f>
        <v>-3</v>
      </c>
      <c r="AC37" s="99">
        <f>-'[1]CPI Special Payments'!K13</f>
        <v>-3</v>
      </c>
      <c r="AD37" s="99">
        <f>-'[1]CPI Special Payments'!L13</f>
        <v>-3</v>
      </c>
      <c r="AE37" s="99">
        <f>-'[1]CPI Special Payments'!M13</f>
        <v>-3</v>
      </c>
      <c r="AF37" s="99">
        <f>-'[1]CPI Special Payments'!N13</f>
        <v>-3</v>
      </c>
    </row>
    <row r="38" spans="1:32" s="24" customFormat="1" x14ac:dyDescent="0.2">
      <c r="A38" s="24" t="s">
        <v>34</v>
      </c>
      <c r="B38" s="24" t="s">
        <v>59</v>
      </c>
      <c r="C38" s="93">
        <f>'[1]year end'!C22</f>
        <v>893</v>
      </c>
      <c r="D38" s="93">
        <f>'[1]year end'!D22</f>
        <v>944.63500000000022</v>
      </c>
      <c r="E38" s="93">
        <f>'[1]year end'!E22</f>
        <v>1180.6350000000002</v>
      </c>
      <c r="F38" s="93">
        <f>'[1]year end'!F22</f>
        <v>1442.6350000000002</v>
      </c>
      <c r="G38" s="93">
        <f>'[1]year end'!G22</f>
        <v>809.63500000000386</v>
      </c>
      <c r="H38" s="93">
        <f>'[1]year end'!H22</f>
        <v>802.63500000000568</v>
      </c>
      <c r="I38" s="93">
        <f>'[1]year end'!I22</f>
        <v>702.63500000000113</v>
      </c>
      <c r="J38" s="93">
        <f>'[1]year end'!J22</f>
        <v>676.63499999999885</v>
      </c>
      <c r="K38" s="93">
        <f>'[1]year end'!K22</f>
        <v>703.63500000000204</v>
      </c>
      <c r="L38" s="93">
        <f>'[1]year end'!L22</f>
        <v>820.63500000000022</v>
      </c>
      <c r="M38" s="93">
        <f>'[1]year end'!M22</f>
        <v>842.63500000000613</v>
      </c>
      <c r="N38" s="93">
        <f>'[1]year end'!N22</f>
        <v>871.60063000000764</v>
      </c>
      <c r="O38" s="93">
        <f>'[1]year end'!O22</f>
        <v>898.3578040000084</v>
      </c>
      <c r="P38" s="93">
        <f>'[1]year end'!P22</f>
        <v>944.41462900000761</v>
      </c>
      <c r="Q38" s="94">
        <f>'[1]year end'!Q22</f>
        <v>994.27099500001032</v>
      </c>
      <c r="R38" s="94">
        <f>'[1]year end'!R22</f>
        <v>1045.061462000016</v>
      </c>
      <c r="S38" s="94">
        <f>'[1]year end'!S22+'[1]year end'!S30</f>
        <v>1058.9151612353066</v>
      </c>
      <c r="T38" s="94">
        <f>'[1]year end'!T22+'[1]year end'!T30</f>
        <v>1299.6710804705981</v>
      </c>
      <c r="U38" s="94">
        <f>'[1]year end'!U22+'[1]year end'!U30</f>
        <v>1374.6416687058968</v>
      </c>
      <c r="V38" s="94">
        <f>'[1]year end'!V22+'[1]year end'!V30</f>
        <v>1527.0420989411869</v>
      </c>
      <c r="W38" s="94">
        <f>'[1]year end'!W22+'[1]year end'!W30</f>
        <v>1547.75082117648</v>
      </c>
      <c r="X38" s="94">
        <f>'[1]year end'!X22+'[1]year end'!X30</f>
        <v>1598.9084524117759</v>
      </c>
      <c r="Y38" s="94">
        <f>'[1]year end'!Y22+'[1]year end'!Y30</f>
        <v>1651.8220746470772</v>
      </c>
      <c r="Z38" s="94">
        <f>'[1]year end'!Z22+'[1]year end'!Z30</f>
        <v>1706.0367138823765</v>
      </c>
      <c r="AA38" s="94">
        <f>'[1]year end'!AA22+'[1]year end'!AA30</f>
        <v>1763.2066311176752</v>
      </c>
      <c r="AB38" s="95">
        <f>'[1]year end'!AB22+'[1]year end'!AB30</f>
        <v>1790.9391320529583</v>
      </c>
      <c r="AC38" s="96">
        <f>'[1]year end'!AC22+'[1]year end'!AC30</f>
        <v>1820.7574389885024</v>
      </c>
      <c r="AD38" s="96">
        <f>'[1]year end'!AD22+'[1]year end'!AD30</f>
        <v>1849.2805809113286</v>
      </c>
      <c r="AE38" s="96">
        <f>'[1]year end'!AE22+'[1]year end'!AE30</f>
        <v>1876.6397422092759</v>
      </c>
      <c r="AF38" s="97">
        <f>'[1]year end'!AF22+'[1]year end'!AF30</f>
        <v>1902.7945867465592</v>
      </c>
    </row>
    <row r="39" spans="1:32" s="24" customFormat="1" ht="13.5" thickBot="1" x14ac:dyDescent="0.25">
      <c r="A39" s="25" t="s">
        <v>41</v>
      </c>
      <c r="B39" s="25" t="s">
        <v>15</v>
      </c>
      <c r="C39" s="100">
        <f>SUM(C36:C38)</f>
        <v>5160</v>
      </c>
      <c r="D39" s="100">
        <f>SUM(D36:D38)</f>
        <v>5170.0650000000005</v>
      </c>
      <c r="E39" s="100">
        <f t="shared" ref="E39:AF39" si="16">SUM(E36:E38)</f>
        <v>4875.0575000000008</v>
      </c>
      <c r="F39" s="100">
        <f t="shared" si="16"/>
        <v>4902.1512499999972</v>
      </c>
      <c r="G39" s="100">
        <f t="shared" si="16"/>
        <v>4978.9387499999993</v>
      </c>
      <c r="H39" s="100">
        <f t="shared" si="16"/>
        <v>5033.3262500000055</v>
      </c>
      <c r="I39" s="100">
        <f t="shared" si="16"/>
        <v>4588.0012500000039</v>
      </c>
      <c r="J39" s="100">
        <f t="shared" si="16"/>
        <v>3666.4899999999984</v>
      </c>
      <c r="K39" s="100">
        <f t="shared" si="16"/>
        <v>2464.6325000000033</v>
      </c>
      <c r="L39" s="100">
        <f t="shared" si="16"/>
        <v>1122.9149999999954</v>
      </c>
      <c r="M39" s="100">
        <f t="shared" si="16"/>
        <v>-677.92999999999984</v>
      </c>
      <c r="N39" s="100">
        <f t="shared" si="16"/>
        <v>-1641.6843699999995</v>
      </c>
      <c r="O39" s="100">
        <f t="shared" si="16"/>
        <v>-2294.2071959999976</v>
      </c>
      <c r="P39" s="100">
        <f t="shared" si="16"/>
        <v>-2936.3103710000019</v>
      </c>
      <c r="Q39" s="101">
        <f t="shared" si="16"/>
        <v>-3612.679005000005</v>
      </c>
      <c r="R39" s="101">
        <f t="shared" si="16"/>
        <v>-4256.3385379999963</v>
      </c>
      <c r="S39" s="101">
        <f t="shared" si="16"/>
        <v>-4861.9348387647024</v>
      </c>
      <c r="T39" s="101">
        <f t="shared" si="16"/>
        <v>-6109.527669529416</v>
      </c>
      <c r="U39" s="101">
        <f t="shared" si="16"/>
        <v>-8278.382081294114</v>
      </c>
      <c r="V39" s="101">
        <f t="shared" si="16"/>
        <v>-10365.296114058823</v>
      </c>
      <c r="W39" s="101">
        <f t="shared" si="16"/>
        <v>-11977.728324394962</v>
      </c>
      <c r="X39" s="101">
        <f>SUM(X36:X38)</f>
        <v>-13649.258559159674</v>
      </c>
      <c r="Y39" s="101">
        <f t="shared" si="16"/>
        <v>-14691.968354902054</v>
      </c>
      <c r="Z39" s="101">
        <f t="shared" si="16"/>
        <v>-15897.747915666763</v>
      </c>
      <c r="AA39" s="101">
        <f t="shared" si="16"/>
        <v>-17845.912245431453</v>
      </c>
      <c r="AB39" s="102">
        <f t="shared" si="16"/>
        <v>-20802.502244496147</v>
      </c>
      <c r="AC39" s="103">
        <f t="shared" si="16"/>
        <v>-25036.296432420357</v>
      </c>
      <c r="AD39" s="103">
        <f t="shared" si="16"/>
        <v>-30141.162911321258</v>
      </c>
      <c r="AE39" s="103">
        <f t="shared" si="16"/>
        <v>-35948.713372349339</v>
      </c>
      <c r="AF39" s="104">
        <f t="shared" si="16"/>
        <v>-42366.270537221877</v>
      </c>
    </row>
    <row r="40" spans="1:32" s="24" customFormat="1" ht="13.5" thickTop="1" x14ac:dyDescent="0.2"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50"/>
      <c r="AC40" s="51"/>
      <c r="AD40" s="51"/>
      <c r="AE40" s="51"/>
      <c r="AF40" s="52"/>
    </row>
    <row r="41" spans="1:32" s="24" customFormat="1" x14ac:dyDescent="0.2"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50"/>
      <c r="AC41" s="51"/>
      <c r="AD41" s="51"/>
      <c r="AE41" s="51"/>
      <c r="AF41" s="52"/>
    </row>
  </sheetData>
  <pageMargins left="0.5" right="0.5" top="1" bottom="1" header="0.5" footer="0.5"/>
  <pageSetup paperSize="5" scale="94" orientation="landscape" r:id="rId1"/>
  <headerFooter alignWithMargins="0">
    <oddFooter>&amp;L&amp;"Arial,Bold"&amp;F&amp;C&amp;A
&amp;R&amp;D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Assumptions</vt:lpstr>
      <vt:lpstr>Province's Net Asset</vt:lpstr>
      <vt:lpstr>Assumptions!Print_Area</vt:lpstr>
      <vt:lpstr>'Province''s Net Asset'!Print_Area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Fong, Pauline (TBS)</dc:creator>
  <cp:lastModifiedBy>Veinot, Cindy (TBS)</cp:lastModifiedBy>
  <dcterms:created xsi:type="dcterms:W3CDTF">2016-09-07T20:01:29Z</dcterms:created>
  <dcterms:modified xsi:type="dcterms:W3CDTF">2016-09-10T02:45:41Z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