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20520" windowHeight="3885" tabRatio="956" firstSheet="11" activeTab="11"/>
  </bookViews>
  <sheets>
    <sheet name="RCA data" sheetId="11" state="hidden" r:id="rId1"/>
    <sheet name="Interest" sheetId="2" state="hidden" r:id="rId2"/>
    <sheet name="RCA interest" sheetId="12" state="hidden" r:id="rId3"/>
    <sheet name="experience g(l)" sheetId="3" state="hidden" r:id="rId4"/>
    <sheet name="RCA exp g(l)" sheetId="13" state="hidden" r:id="rId5"/>
    <sheet name="amendment" sheetId="4" state="hidden" r:id="rId6"/>
    <sheet name="RCA amend" sheetId="14" state="hidden" r:id="rId7"/>
    <sheet name="initial ufl" sheetId="5" state="hidden" r:id="rId8"/>
    <sheet name="contributions" sheetId="6" state="hidden" r:id="rId9"/>
    <sheet name="year end" sheetId="9" state="hidden" r:id="rId10"/>
    <sheet name="CPI Special Payments" sheetId="19" state="hidden" r:id="rId11"/>
    <sheet name="OTPP Fiscal Impact of Change" sheetId="27" r:id="rId12"/>
    <sheet name="OTPP excluding (RCA) liability" sheetId="8" r:id="rId13"/>
    <sheet name="OTPP expense (excluding RCA)" sheetId="10" r:id="rId14"/>
    <sheet name="RCA exp" sheetId="15" r:id="rId15"/>
    <sheet name="RCA liab" sheetId="16" r:id="rId16"/>
    <sheet name="OPSEU expense" sheetId="29" r:id="rId17"/>
    <sheet name="OPSEU liability" sheetId="30" r:id="rId18"/>
    <sheet name="HOOP - hospital" sheetId="31" r:id="rId19"/>
    <sheet name="Data Input" sheetId="1" state="hidden" r:id="rId20"/>
    <sheet name="CAATPP" sheetId="32" r:id="rId21"/>
    <sheet name="OTPP&amp; RCA Summary" sheetId="17" r:id="rId22"/>
    <sheet name="OTTP PA Variance" sheetId="18" state="hidden" r:id="rId23"/>
    <sheet name="Smoothing" sheetId="23" state="hidden" r:id="rId24"/>
    <sheet name="Gain avai. for smoothing 2015" sheetId="24" state="hidden" r:id="rId25"/>
    <sheet name="Pension and OPRB 2016 Budget" sheetId="26" r:id="rId26"/>
    <sheet name="2015-16 pensions" sheetId="28" r:id="rId27"/>
  </sheets>
  <externalReferences>
    <externalReference r:id="rId28"/>
    <externalReference r:id="rId29"/>
    <externalReference r:id="rId30"/>
    <externalReference r:id="rId31"/>
    <externalReference r:id="rId32"/>
  </externalReferences>
  <definedNames>
    <definedName name="_xlnm.Print_Area" localSheetId="20">CAATPP!$A$1:$S$30</definedName>
    <definedName name="_xlnm.Print_Area" localSheetId="8">contributions!$A$1:$AU$52</definedName>
    <definedName name="_xlnm.Print_Area" localSheetId="10">'CPI Special Payments'!$A$1:$P$13</definedName>
    <definedName name="_xlnm.Print_Area" localSheetId="19">'Data Input'!$A$1:$AG$48</definedName>
    <definedName name="_xlnm.Print_Area" localSheetId="3">'experience g(l)'!$A$1:$AE$104</definedName>
    <definedName name="_xlnm.Print_Area" localSheetId="18">'HOOP - hospital'!$A$1:$T$32</definedName>
    <definedName name="_xlnm.Print_Area" localSheetId="1">Interest!$A$1:$AF$29</definedName>
    <definedName name="_xlnm.Print_Area" localSheetId="16">'OPSEU expense'!$A$1:$Y$32</definedName>
    <definedName name="_xlnm.Print_Area" localSheetId="12">'OTPP excluding (RCA) liability'!$A$1:$AF$51</definedName>
    <definedName name="_xlnm.Print_Area" localSheetId="13">'OTPP expense (excluding RCA)'!$A$1:$AF$35</definedName>
    <definedName name="_xlnm.Print_Area" localSheetId="11">'OTPP Fiscal Impact of Change'!$B$1:$J$31</definedName>
    <definedName name="_xlnm.Print_Area" localSheetId="21">'OTPP&amp; RCA Summary'!$A$1:$AF$49</definedName>
    <definedName name="_xlnm.Print_Area" localSheetId="0">'RCA data'!$A$1:$AB$34</definedName>
    <definedName name="_xlnm.Print_Area" localSheetId="14">'RCA exp'!$A$1:$Z$35</definedName>
    <definedName name="_xlnm.Print_Area" localSheetId="2">'RCA interest'!$A$1:$Z$14</definedName>
    <definedName name="_xlnm.Print_Area" localSheetId="15">'RCA liab'!$A$1:$AA$28</definedName>
    <definedName name="_xlnm.Print_Area" localSheetId="23">Smoothing!$A$1:$Z$39</definedName>
    <definedName name="_xlnm.Print_Area" localSheetId="9">'year end'!$A$1:$AG$32</definedName>
    <definedName name="_xlnm.Print_Titles" localSheetId="3">'experience g(l)'!$1:$5</definedName>
    <definedName name="_xlnm.Print_Titles" localSheetId="17">'OPSEU liability'!$1:$4</definedName>
  </definedNames>
  <calcPr calcId="145621"/>
</workbook>
</file>

<file path=xl/calcChain.xml><?xml version="1.0" encoding="utf-8"?>
<calcChain xmlns="http://schemas.openxmlformats.org/spreadsheetml/2006/main">
  <c r="I26" i="27" l="1"/>
  <c r="H26" i="27"/>
  <c r="G26" i="27"/>
  <c r="F26" i="27"/>
  <c r="E26" i="27"/>
  <c r="H17" i="27"/>
  <c r="I17" i="27"/>
  <c r="I23" i="27" s="1"/>
  <c r="F17" i="27"/>
  <c r="F23" i="27" s="1"/>
  <c r="G17" i="27"/>
  <c r="G23" i="27"/>
  <c r="H23" i="27"/>
  <c r="F24" i="27"/>
  <c r="G24" i="27"/>
  <c r="H24" i="27"/>
  <c r="I24" i="27"/>
  <c r="E23" i="27"/>
  <c r="E24" i="27"/>
  <c r="G18" i="27"/>
  <c r="H18" i="27"/>
  <c r="I18" i="27"/>
  <c r="F18" i="27"/>
  <c r="G12" i="27"/>
  <c r="H12" i="27"/>
  <c r="I12" i="27"/>
  <c r="F12" i="27"/>
  <c r="G11" i="27"/>
  <c r="H11" i="27"/>
  <c r="I11" i="27"/>
  <c r="F11" i="27"/>
  <c r="C30" i="32"/>
  <c r="S29" i="32"/>
  <c r="R29" i="32"/>
  <c r="Q29" i="32"/>
  <c r="P29" i="32"/>
  <c r="O29" i="32"/>
  <c r="N29" i="32"/>
  <c r="M29" i="32"/>
  <c r="L29" i="32"/>
  <c r="K29" i="32"/>
  <c r="J29" i="32"/>
  <c r="I29" i="32"/>
  <c r="H29" i="32"/>
  <c r="G29" i="32"/>
  <c r="F29" i="32"/>
  <c r="E29" i="32"/>
  <c r="D29" i="32"/>
  <c r="S28" i="32"/>
  <c r="R28" i="32"/>
  <c r="Q28" i="32"/>
  <c r="P28" i="32"/>
  <c r="O28" i="32"/>
  <c r="N28" i="32"/>
  <c r="M28" i="32"/>
  <c r="L28" i="32"/>
  <c r="K28" i="32"/>
  <c r="J28" i="32"/>
  <c r="I28" i="32"/>
  <c r="H28" i="32"/>
  <c r="G28" i="32"/>
  <c r="F28" i="32"/>
  <c r="E28" i="32"/>
  <c r="D28" i="32"/>
  <c r="S27" i="32"/>
  <c r="R27" i="32"/>
  <c r="Q27" i="32"/>
  <c r="P27" i="32"/>
  <c r="O27" i="32"/>
  <c r="N27" i="32"/>
  <c r="M27" i="32"/>
  <c r="L27" i="32"/>
  <c r="K27" i="32"/>
  <c r="J27" i="32"/>
  <c r="I27" i="32"/>
  <c r="H27" i="32"/>
  <c r="G27" i="32"/>
  <c r="F27" i="32"/>
  <c r="E27" i="32"/>
  <c r="D27" i="32"/>
  <c r="S26" i="32"/>
  <c r="R26" i="32"/>
  <c r="Q26" i="32"/>
  <c r="P26" i="32"/>
  <c r="O26" i="32"/>
  <c r="N26" i="32"/>
  <c r="M26" i="32"/>
  <c r="L26" i="32"/>
  <c r="K26" i="32"/>
  <c r="J26" i="32"/>
  <c r="I26" i="32"/>
  <c r="H26" i="32"/>
  <c r="G26" i="32"/>
  <c r="F26" i="32"/>
  <c r="E26" i="32"/>
  <c r="D26" i="32"/>
  <c r="S25" i="32"/>
  <c r="R25" i="32"/>
  <c r="Q25" i="32"/>
  <c r="P25" i="32"/>
  <c r="O25" i="32"/>
  <c r="N25" i="32"/>
  <c r="M25" i="32"/>
  <c r="L25" i="32"/>
  <c r="K25" i="32"/>
  <c r="J25" i="32"/>
  <c r="I25" i="32"/>
  <c r="H25" i="32"/>
  <c r="G25" i="32"/>
  <c r="F25" i="32"/>
  <c r="E25" i="32"/>
  <c r="D25" i="32"/>
  <c r="S24" i="32"/>
  <c r="S30" i="32" s="1"/>
  <c r="S17" i="32" s="1"/>
  <c r="R24" i="32"/>
  <c r="R30" i="32" s="1"/>
  <c r="R17" i="32" s="1"/>
  <c r="Q24" i="32"/>
  <c r="Q30" i="32" s="1"/>
  <c r="Q17" i="32" s="1"/>
  <c r="P24" i="32"/>
  <c r="P30" i="32" s="1"/>
  <c r="P17" i="32" s="1"/>
  <c r="O24" i="32"/>
  <c r="O30" i="32" s="1"/>
  <c r="O17" i="32" s="1"/>
  <c r="N24" i="32"/>
  <c r="N30" i="32" s="1"/>
  <c r="N17" i="32" s="1"/>
  <c r="M24" i="32"/>
  <c r="M30" i="32" s="1"/>
  <c r="M17" i="32" s="1"/>
  <c r="L24" i="32"/>
  <c r="L30" i="32" s="1"/>
  <c r="L17" i="32" s="1"/>
  <c r="K24" i="32"/>
  <c r="K30" i="32" s="1"/>
  <c r="K17" i="32" s="1"/>
  <c r="J24" i="32"/>
  <c r="J30" i="32" s="1"/>
  <c r="J17" i="32" s="1"/>
  <c r="I24" i="32"/>
  <c r="I30" i="32" s="1"/>
  <c r="I17" i="32" s="1"/>
  <c r="H24" i="32"/>
  <c r="H30" i="32" s="1"/>
  <c r="H17" i="32" s="1"/>
  <c r="G24" i="32"/>
  <c r="G30" i="32" s="1"/>
  <c r="G17" i="32" s="1"/>
  <c r="F24" i="32"/>
  <c r="F30" i="32" s="1"/>
  <c r="F17" i="32" s="1"/>
  <c r="E24" i="32"/>
  <c r="E30" i="32" s="1"/>
  <c r="E17" i="32" s="1"/>
  <c r="D24" i="32"/>
  <c r="D30" i="32" s="1"/>
  <c r="D17" i="32" s="1"/>
  <c r="S18" i="32"/>
  <c r="R18" i="32"/>
  <c r="Q18" i="32"/>
  <c r="P18" i="32"/>
  <c r="O18" i="32"/>
  <c r="N18" i="32"/>
  <c r="M18" i="32"/>
  <c r="L18" i="32"/>
  <c r="K18" i="32"/>
  <c r="J18" i="32"/>
  <c r="I18" i="32"/>
  <c r="H18" i="32"/>
  <c r="G18" i="32"/>
  <c r="F18" i="32"/>
  <c r="E18" i="32"/>
  <c r="D18" i="32"/>
  <c r="R12" i="32"/>
  <c r="S16" i="32" s="1"/>
  <c r="S19" i="32" s="1"/>
  <c r="N12" i="32"/>
  <c r="J12" i="32"/>
  <c r="K16" i="32" s="1"/>
  <c r="F12" i="32"/>
  <c r="S11" i="32"/>
  <c r="R11" i="32"/>
  <c r="Q11" i="32"/>
  <c r="P11" i="32"/>
  <c r="O11" i="32"/>
  <c r="N11" i="32"/>
  <c r="M11" i="32"/>
  <c r="L11" i="32"/>
  <c r="K11" i="32"/>
  <c r="J11" i="32"/>
  <c r="I11" i="32"/>
  <c r="H11" i="32"/>
  <c r="G11" i="32"/>
  <c r="F11" i="32"/>
  <c r="E11" i="32"/>
  <c r="D11" i="32"/>
  <c r="S10" i="32"/>
  <c r="S12" i="32" s="1"/>
  <c r="S20" i="32" s="1"/>
  <c r="R10" i="32"/>
  <c r="Q10" i="32"/>
  <c r="P10" i="32"/>
  <c r="O10" i="32"/>
  <c r="O12" i="32" s="1"/>
  <c r="N10" i="32"/>
  <c r="M10" i="32"/>
  <c r="L10" i="32"/>
  <c r="K10" i="32"/>
  <c r="K12" i="32" s="1"/>
  <c r="J10" i="32"/>
  <c r="I10" i="32"/>
  <c r="H10" i="32"/>
  <c r="G10" i="32"/>
  <c r="G12" i="32" s="1"/>
  <c r="F10" i="32"/>
  <c r="E10" i="32"/>
  <c r="D10" i="32"/>
  <c r="C10" i="32"/>
  <c r="C12" i="32" s="1"/>
  <c r="D16" i="32" s="1"/>
  <c r="D19" i="32" s="1"/>
  <c r="S9" i="32"/>
  <c r="R9" i="32"/>
  <c r="Q9" i="32"/>
  <c r="P9" i="32"/>
  <c r="O9" i="32"/>
  <c r="N9" i="32"/>
  <c r="M9" i="32"/>
  <c r="L9" i="32"/>
  <c r="K9" i="32"/>
  <c r="J9" i="32"/>
  <c r="I9" i="32"/>
  <c r="H9" i="32"/>
  <c r="G9" i="32"/>
  <c r="F9" i="32"/>
  <c r="E9" i="32"/>
  <c r="D9" i="32"/>
  <c r="C9" i="32"/>
  <c r="S8" i="32"/>
  <c r="R8" i="32"/>
  <c r="Q8" i="32"/>
  <c r="Q12" i="32" s="1"/>
  <c r="P8" i="32"/>
  <c r="P12" i="32" s="1"/>
  <c r="O8" i="32"/>
  <c r="N8" i="32"/>
  <c r="M8" i="32"/>
  <c r="M12" i="32" s="1"/>
  <c r="L8" i="32"/>
  <c r="L12" i="32" s="1"/>
  <c r="K8" i="32"/>
  <c r="J8" i="32"/>
  <c r="I8" i="32"/>
  <c r="I12" i="32" s="1"/>
  <c r="H8" i="32"/>
  <c r="H12" i="32" s="1"/>
  <c r="G8" i="32"/>
  <c r="F8" i="32"/>
  <c r="E8" i="32"/>
  <c r="E12" i="32" s="1"/>
  <c r="D8" i="32"/>
  <c r="D12" i="32" s="1"/>
  <c r="C8" i="32"/>
  <c r="F32" i="31"/>
  <c r="E32" i="31"/>
  <c r="D32" i="31"/>
  <c r="C32" i="31"/>
  <c r="V30" i="31"/>
  <c r="U30" i="31"/>
  <c r="R30" i="31"/>
  <c r="Q30" i="31"/>
  <c r="N30" i="31"/>
  <c r="M30" i="31"/>
  <c r="L30" i="31"/>
  <c r="K30" i="31"/>
  <c r="J30" i="31"/>
  <c r="I30" i="31"/>
  <c r="H30" i="31"/>
  <c r="G30" i="31"/>
  <c r="V29" i="31"/>
  <c r="U29" i="31"/>
  <c r="R29" i="31"/>
  <c r="Q29" i="31"/>
  <c r="N29" i="31"/>
  <c r="M29" i="31"/>
  <c r="L29" i="31"/>
  <c r="K29" i="31"/>
  <c r="J29" i="31"/>
  <c r="I29" i="31"/>
  <c r="H29" i="31"/>
  <c r="G29" i="31"/>
  <c r="V28" i="31"/>
  <c r="U28" i="31"/>
  <c r="R28" i="31"/>
  <c r="Q28" i="31"/>
  <c r="N28" i="31"/>
  <c r="M28" i="31"/>
  <c r="L28" i="31"/>
  <c r="K28" i="31"/>
  <c r="J28" i="31"/>
  <c r="I28" i="31"/>
  <c r="H28" i="31"/>
  <c r="G28" i="31"/>
  <c r="V27" i="31"/>
  <c r="U27" i="31"/>
  <c r="R27" i="31"/>
  <c r="Q27" i="31"/>
  <c r="N27" i="31"/>
  <c r="M27" i="31"/>
  <c r="L27" i="31"/>
  <c r="K27" i="31"/>
  <c r="J27" i="31"/>
  <c r="I27" i="31"/>
  <c r="H27" i="31"/>
  <c r="G27" i="31"/>
  <c r="V26" i="31"/>
  <c r="U26" i="31"/>
  <c r="R26" i="31"/>
  <c r="Q26" i="31"/>
  <c r="N26" i="31"/>
  <c r="M26" i="31"/>
  <c r="L26" i="31"/>
  <c r="K26" i="31"/>
  <c r="J26" i="31"/>
  <c r="I26" i="31"/>
  <c r="H26" i="31"/>
  <c r="G26" i="31"/>
  <c r="V25" i="31"/>
  <c r="V31" i="31" s="1"/>
  <c r="V32" i="31" s="1"/>
  <c r="U25" i="31"/>
  <c r="U31" i="31" s="1"/>
  <c r="U32" i="31" s="1"/>
  <c r="R25" i="31"/>
  <c r="R31" i="31" s="1"/>
  <c r="R32" i="31" s="1"/>
  <c r="Q25" i="31"/>
  <c r="Q31" i="31" s="1"/>
  <c r="Q32" i="31" s="1"/>
  <c r="N25" i="31"/>
  <c r="N31" i="31" s="1"/>
  <c r="N32" i="31" s="1"/>
  <c r="M25" i="31"/>
  <c r="M31" i="31" s="1"/>
  <c r="M32" i="31" s="1"/>
  <c r="L25" i="31"/>
  <c r="L31" i="31" s="1"/>
  <c r="L32" i="31" s="1"/>
  <c r="K25" i="31"/>
  <c r="K31" i="31" s="1"/>
  <c r="K32" i="31" s="1"/>
  <c r="J25" i="31"/>
  <c r="J31" i="31" s="1"/>
  <c r="J32" i="31" s="1"/>
  <c r="I25" i="31"/>
  <c r="I31" i="31" s="1"/>
  <c r="I32" i="31" s="1"/>
  <c r="H25" i="31"/>
  <c r="H31" i="31" s="1"/>
  <c r="H32" i="31" s="1"/>
  <c r="G25" i="31"/>
  <c r="G31" i="31" s="1"/>
  <c r="G32" i="31" s="1"/>
  <c r="E21" i="31"/>
  <c r="D21" i="31"/>
  <c r="C21" i="31"/>
  <c r="V19" i="31"/>
  <c r="U19" i="31"/>
  <c r="R19" i="31"/>
  <c r="Q19" i="31"/>
  <c r="N19" i="31"/>
  <c r="M19" i="31"/>
  <c r="L19" i="31"/>
  <c r="K19" i="31"/>
  <c r="J19" i="31"/>
  <c r="I19" i="31"/>
  <c r="H19" i="31"/>
  <c r="G19" i="31"/>
  <c r="V18" i="31"/>
  <c r="U18" i="31"/>
  <c r="R18" i="31"/>
  <c r="Q18" i="31"/>
  <c r="N18" i="31"/>
  <c r="N20" i="31" s="1"/>
  <c r="N21" i="31" s="1"/>
  <c r="M18" i="31"/>
  <c r="M20" i="31" s="1"/>
  <c r="L18" i="31"/>
  <c r="K18" i="31"/>
  <c r="J18" i="31"/>
  <c r="I18" i="31"/>
  <c r="H18" i="31"/>
  <c r="G18" i="31"/>
  <c r="P17" i="31"/>
  <c r="E13" i="31"/>
  <c r="D13" i="31"/>
  <c r="C13" i="31"/>
  <c r="N11" i="31"/>
  <c r="M11" i="31"/>
  <c r="L11" i="31"/>
  <c r="K11" i="31"/>
  <c r="J11" i="31"/>
  <c r="I11" i="31"/>
  <c r="H11" i="31"/>
  <c r="G11" i="31"/>
  <c r="F11" i="31"/>
  <c r="V10" i="31"/>
  <c r="U10" i="31"/>
  <c r="R10" i="31"/>
  <c r="Q10" i="31"/>
  <c r="N10" i="31"/>
  <c r="M10" i="31"/>
  <c r="L10" i="31"/>
  <c r="K10" i="31"/>
  <c r="J10" i="31"/>
  <c r="I10" i="31"/>
  <c r="H10" i="31"/>
  <c r="G10" i="31"/>
  <c r="F10" i="31"/>
  <c r="W9" i="31"/>
  <c r="V9" i="31"/>
  <c r="S9" i="31"/>
  <c r="R9" i="31"/>
  <c r="N9" i="31"/>
  <c r="M9" i="31"/>
  <c r="L9" i="31"/>
  <c r="K9" i="31"/>
  <c r="J9" i="31"/>
  <c r="I9" i="31"/>
  <c r="H9" i="31"/>
  <c r="G9" i="31"/>
  <c r="F9" i="31"/>
  <c r="W8" i="31"/>
  <c r="S8" i="31"/>
  <c r="N8" i="31"/>
  <c r="N12" i="31" s="1"/>
  <c r="N13" i="31" s="1"/>
  <c r="M8" i="31"/>
  <c r="M12" i="31" s="1"/>
  <c r="M13" i="31" s="1"/>
  <c r="L8" i="31"/>
  <c r="L12" i="31" s="1"/>
  <c r="L13" i="31" s="1"/>
  <c r="K8" i="31"/>
  <c r="K12" i="31" s="1"/>
  <c r="J8" i="31"/>
  <c r="J12" i="31" s="1"/>
  <c r="I8" i="31"/>
  <c r="I12" i="31" s="1"/>
  <c r="H8" i="31"/>
  <c r="H12" i="31" s="1"/>
  <c r="G8" i="31"/>
  <c r="G12" i="31" s="1"/>
  <c r="F8" i="31"/>
  <c r="F12" i="31" s="1"/>
  <c r="W6" i="31"/>
  <c r="W30" i="31" s="1"/>
  <c r="V6" i="31"/>
  <c r="V11" i="31" s="1"/>
  <c r="U6" i="31"/>
  <c r="U8" i="31" s="1"/>
  <c r="T6" i="31"/>
  <c r="T9" i="31" s="1"/>
  <c r="S6" i="31"/>
  <c r="S30" i="31" s="1"/>
  <c r="R6" i="31"/>
  <c r="R11" i="31" s="1"/>
  <c r="Q6" i="31"/>
  <c r="Q8" i="31" s="1"/>
  <c r="P6" i="31"/>
  <c r="P9" i="31" s="1"/>
  <c r="F16" i="32" l="1"/>
  <c r="F19" i="32" s="1"/>
  <c r="J16" i="32"/>
  <c r="J19" i="32" s="1"/>
  <c r="N16" i="32"/>
  <c r="N19" i="32" s="1"/>
  <c r="N20" i="32" s="1"/>
  <c r="R16" i="32"/>
  <c r="R19" i="32" s="1"/>
  <c r="R20" i="32" s="1"/>
  <c r="H16" i="32"/>
  <c r="H19" i="32" s="1"/>
  <c r="G20" i="32"/>
  <c r="L16" i="32"/>
  <c r="L19" i="32" s="1"/>
  <c r="F20" i="32"/>
  <c r="K19" i="32"/>
  <c r="K20" i="32" s="1"/>
  <c r="D20" i="32"/>
  <c r="E16" i="32"/>
  <c r="E19" i="32" s="1"/>
  <c r="E20" i="32" s="1"/>
  <c r="H20" i="32"/>
  <c r="I16" i="32"/>
  <c r="I19" i="32" s="1"/>
  <c r="I20" i="32" s="1"/>
  <c r="L20" i="32"/>
  <c r="M16" i="32"/>
  <c r="M19" i="32" s="1"/>
  <c r="M20" i="32" s="1"/>
  <c r="Q16" i="32"/>
  <c r="Q19" i="32" s="1"/>
  <c r="Q20" i="32" s="1"/>
  <c r="P16" i="32"/>
  <c r="P19" i="32" s="1"/>
  <c r="P20" i="32" s="1"/>
  <c r="J20" i="32"/>
  <c r="G16" i="32"/>
  <c r="G19" i="32" s="1"/>
  <c r="O16" i="32"/>
  <c r="O19" i="32" s="1"/>
  <c r="O20" i="32" s="1"/>
  <c r="H17" i="31"/>
  <c r="H20" i="31" s="1"/>
  <c r="H21" i="31" s="1"/>
  <c r="G13" i="31"/>
  <c r="H13" i="31"/>
  <c r="I17" i="31"/>
  <c r="I20" i="31" s="1"/>
  <c r="I21" i="31" s="1"/>
  <c r="L17" i="31"/>
  <c r="L20" i="31" s="1"/>
  <c r="L21" i="31" s="1"/>
  <c r="K13" i="31"/>
  <c r="J17" i="31"/>
  <c r="J20" i="31" s="1"/>
  <c r="J21" i="31" s="1"/>
  <c r="I13" i="31"/>
  <c r="F21" i="31"/>
  <c r="G17" i="31"/>
  <c r="G20" i="31" s="1"/>
  <c r="G21" i="31" s="1"/>
  <c r="F13" i="31"/>
  <c r="K17" i="31"/>
  <c r="K20" i="31" s="1"/>
  <c r="K21" i="31" s="1"/>
  <c r="J13" i="31"/>
  <c r="M21" i="31"/>
  <c r="P11" i="31"/>
  <c r="T8" i="31"/>
  <c r="Q11" i="31"/>
  <c r="R8" i="31"/>
  <c r="R12" i="31" s="1"/>
  <c r="V8" i="31"/>
  <c r="V12" i="31" s="1"/>
  <c r="Q9" i="31"/>
  <c r="Q12" i="31" s="1"/>
  <c r="U9" i="31"/>
  <c r="U12" i="31" s="1"/>
  <c r="P10" i="31"/>
  <c r="T10" i="31"/>
  <c r="S11" i="31"/>
  <c r="W11" i="31"/>
  <c r="P18" i="31"/>
  <c r="P20" i="31" s="1"/>
  <c r="T18" i="31"/>
  <c r="P19" i="31"/>
  <c r="T19" i="31"/>
  <c r="P25" i="31"/>
  <c r="T25" i="31"/>
  <c r="P26" i="31"/>
  <c r="T26" i="31"/>
  <c r="P27" i="31"/>
  <c r="T27" i="31"/>
  <c r="P28" i="31"/>
  <c r="T28" i="31"/>
  <c r="P29" i="31"/>
  <c r="T29" i="31"/>
  <c r="P30" i="31"/>
  <c r="T30" i="31"/>
  <c r="T11" i="31"/>
  <c r="P8" i="31"/>
  <c r="U11" i="31"/>
  <c r="S10" i="31"/>
  <c r="S12" i="31" s="1"/>
  <c r="W10" i="31"/>
  <c r="W12" i="31" s="1"/>
  <c r="W13" i="31" s="1"/>
  <c r="S18" i="31"/>
  <c r="W18" i="31"/>
  <c r="S19" i="31"/>
  <c r="W19" i="31"/>
  <c r="S25" i="31"/>
  <c r="W25" i="31"/>
  <c r="S26" i="31"/>
  <c r="W26" i="31"/>
  <c r="S27" i="31"/>
  <c r="W27" i="31"/>
  <c r="S28" i="31"/>
  <c r="W28" i="31"/>
  <c r="S29" i="31"/>
  <c r="W29" i="31"/>
  <c r="Q13" i="31" l="1"/>
  <c r="R17" i="31"/>
  <c r="R20" i="31" s="1"/>
  <c r="R21" i="31" s="1"/>
  <c r="T17" i="31"/>
  <c r="T20" i="31" s="1"/>
  <c r="T21" i="31" s="1"/>
  <c r="S13" i="31"/>
  <c r="U13" i="31"/>
  <c r="V17" i="31"/>
  <c r="V20" i="31" s="1"/>
  <c r="V21" i="31" s="1"/>
  <c r="P31" i="31"/>
  <c r="P32" i="31" s="1"/>
  <c r="S17" i="31"/>
  <c r="S20" i="31" s="1"/>
  <c r="S21" i="31" s="1"/>
  <c r="R13" i="31"/>
  <c r="S31" i="31"/>
  <c r="S32" i="31" s="1"/>
  <c r="P12" i="31"/>
  <c r="T31" i="31"/>
  <c r="T32" i="31" s="1"/>
  <c r="W17" i="31"/>
  <c r="W20" i="31" s="1"/>
  <c r="W21" i="31" s="1"/>
  <c r="V13" i="31"/>
  <c r="W31" i="31"/>
  <c r="W32" i="31" s="1"/>
  <c r="T12" i="31"/>
  <c r="P13" i="31" l="1"/>
  <c r="Q17" i="31"/>
  <c r="Q20" i="31" s="1"/>
  <c r="Q21" i="31" s="1"/>
  <c r="P21" i="31"/>
  <c r="U17" i="31"/>
  <c r="U20" i="31" s="1"/>
  <c r="U21" i="31" s="1"/>
  <c r="T13" i="31"/>
  <c r="F10" i="27" l="1"/>
  <c r="G10" i="27"/>
  <c r="H10" i="27"/>
  <c r="I10" i="27"/>
  <c r="G52" i="27"/>
  <c r="H52" i="27"/>
  <c r="I52" i="27"/>
  <c r="F52" i="27"/>
  <c r="E52" i="27"/>
  <c r="F49" i="27"/>
  <c r="G49" i="27"/>
  <c r="H49" i="27"/>
  <c r="I49" i="27"/>
  <c r="E49" i="27"/>
  <c r="G48" i="27"/>
  <c r="G50" i="27" s="1"/>
  <c r="G16" i="27" s="1"/>
  <c r="H48" i="27"/>
  <c r="H50" i="27" s="1"/>
  <c r="H16" i="27" s="1"/>
  <c r="I48" i="27"/>
  <c r="I50" i="27" s="1"/>
  <c r="I16" i="27" s="1"/>
  <c r="F48" i="27"/>
  <c r="F50" i="27" s="1"/>
  <c r="F16" i="27" s="1"/>
  <c r="F22" i="27" s="1"/>
  <c r="E48" i="27"/>
  <c r="E50" i="27" s="1"/>
  <c r="E16" i="27" s="1"/>
  <c r="E22" i="27" s="1"/>
  <c r="AB32" i="30"/>
  <c r="AA32" i="30"/>
  <c r="AA11" i="30" s="1"/>
  <c r="Z32" i="30"/>
  <c r="Y32" i="30"/>
  <c r="Y11" i="30" s="1"/>
  <c r="X32" i="30"/>
  <c r="W32" i="30"/>
  <c r="W11" i="30" s="1"/>
  <c r="V32" i="30"/>
  <c r="U32" i="30"/>
  <c r="U11" i="30" s="1"/>
  <c r="T32" i="30"/>
  <c r="S32" i="30"/>
  <c r="S11" i="30" s="1"/>
  <c r="R32" i="30"/>
  <c r="Q32" i="30"/>
  <c r="Q11" i="30" s="1"/>
  <c r="P32" i="30"/>
  <c r="O32" i="30"/>
  <c r="O11" i="30" s="1"/>
  <c r="N32" i="30"/>
  <c r="M32" i="30"/>
  <c r="M11" i="30" s="1"/>
  <c r="L32" i="30"/>
  <c r="K32" i="30"/>
  <c r="K11" i="30" s="1"/>
  <c r="J32" i="30"/>
  <c r="I32" i="30"/>
  <c r="I11" i="30" s="1"/>
  <c r="H32" i="30"/>
  <c r="G32" i="30"/>
  <c r="G11" i="30" s="1"/>
  <c r="F32" i="30"/>
  <c r="E32" i="30"/>
  <c r="E11" i="30" s="1"/>
  <c r="D32" i="30"/>
  <c r="C32" i="30"/>
  <c r="C11" i="30" s="1"/>
  <c r="AB30" i="30"/>
  <c r="AA30" i="30"/>
  <c r="AA10" i="30" s="1"/>
  <c r="Z30" i="30"/>
  <c r="Y30" i="30"/>
  <c r="Y10" i="30" s="1"/>
  <c r="X30" i="30"/>
  <c r="W30" i="30"/>
  <c r="W10" i="30" s="1"/>
  <c r="V30" i="30"/>
  <c r="U30" i="30"/>
  <c r="U10" i="30" s="1"/>
  <c r="T30" i="30"/>
  <c r="S30" i="30"/>
  <c r="S10" i="30" s="1"/>
  <c r="R30" i="30"/>
  <c r="Q30" i="30"/>
  <c r="Q10" i="30" s="1"/>
  <c r="P30" i="30"/>
  <c r="O30" i="30"/>
  <c r="O10" i="30" s="1"/>
  <c r="N30" i="30"/>
  <c r="M30" i="30"/>
  <c r="M10" i="30" s="1"/>
  <c r="L30" i="30"/>
  <c r="K30" i="30"/>
  <c r="K10" i="30" s="1"/>
  <c r="J30" i="30"/>
  <c r="I30" i="30"/>
  <c r="I10" i="30" s="1"/>
  <c r="H30" i="30"/>
  <c r="G30" i="30"/>
  <c r="G10" i="30" s="1"/>
  <c r="F30" i="30"/>
  <c r="E30" i="30"/>
  <c r="E10" i="30" s="1"/>
  <c r="D30" i="30"/>
  <c r="C30" i="30"/>
  <c r="C10" i="30" s="1"/>
  <c r="AB28" i="30"/>
  <c r="AA28" i="30"/>
  <c r="AA9" i="30" s="1"/>
  <c r="Z28" i="30"/>
  <c r="Y28" i="30"/>
  <c r="Y9" i="30" s="1"/>
  <c r="X28" i="30"/>
  <c r="W28" i="30"/>
  <c r="W9" i="30" s="1"/>
  <c r="V28" i="30"/>
  <c r="U28" i="30"/>
  <c r="U9" i="30" s="1"/>
  <c r="T28" i="30"/>
  <c r="S28" i="30"/>
  <c r="S9" i="30" s="1"/>
  <c r="R28" i="30"/>
  <c r="Q28" i="30"/>
  <c r="Q9" i="30" s="1"/>
  <c r="P28" i="30"/>
  <c r="O28" i="30"/>
  <c r="O9" i="30" s="1"/>
  <c r="N28" i="30"/>
  <c r="M28" i="30"/>
  <c r="M9" i="30" s="1"/>
  <c r="L28" i="30"/>
  <c r="K28" i="30"/>
  <c r="K9" i="30" s="1"/>
  <c r="J28" i="30"/>
  <c r="I28" i="30"/>
  <c r="I9" i="30" s="1"/>
  <c r="H28" i="30"/>
  <c r="G28" i="30"/>
  <c r="G9" i="30" s="1"/>
  <c r="F28" i="30"/>
  <c r="E28" i="30"/>
  <c r="E9" i="30" s="1"/>
  <c r="D28" i="30"/>
  <c r="C28" i="30"/>
  <c r="C9" i="30" s="1"/>
  <c r="AB27" i="30"/>
  <c r="AB29" i="30" s="1"/>
  <c r="AB31" i="30" s="1"/>
  <c r="AB33" i="30" s="1"/>
  <c r="AA27" i="30"/>
  <c r="AA8" i="30" s="1"/>
  <c r="AA14" i="30" s="1"/>
  <c r="AB18" i="30" s="1"/>
  <c r="Z27" i="30"/>
  <c r="Z29" i="30" s="1"/>
  <c r="Z31" i="30" s="1"/>
  <c r="Z33" i="30" s="1"/>
  <c r="Y27" i="30"/>
  <c r="Y8" i="30" s="1"/>
  <c r="X27" i="30"/>
  <c r="X29" i="30" s="1"/>
  <c r="X31" i="30" s="1"/>
  <c r="X33" i="30" s="1"/>
  <c r="W27" i="30"/>
  <c r="V27" i="30"/>
  <c r="V29" i="30" s="1"/>
  <c r="V31" i="30" s="1"/>
  <c r="V33" i="30" s="1"/>
  <c r="U27" i="30"/>
  <c r="U8" i="30" s="1"/>
  <c r="T27" i="30"/>
  <c r="T29" i="30" s="1"/>
  <c r="T31" i="30" s="1"/>
  <c r="T33" i="30" s="1"/>
  <c r="S27" i="30"/>
  <c r="S8" i="30" s="1"/>
  <c r="S14" i="30" s="1"/>
  <c r="T18" i="30" s="1"/>
  <c r="R27" i="30"/>
  <c r="R29" i="30" s="1"/>
  <c r="R31" i="30" s="1"/>
  <c r="R33" i="30" s="1"/>
  <c r="Q27" i="30"/>
  <c r="Q8" i="30" s="1"/>
  <c r="P27" i="30"/>
  <c r="P29" i="30" s="1"/>
  <c r="P31" i="30" s="1"/>
  <c r="P33" i="30" s="1"/>
  <c r="O27" i="30"/>
  <c r="N27" i="30"/>
  <c r="N29" i="30" s="1"/>
  <c r="N31" i="30" s="1"/>
  <c r="N33" i="30" s="1"/>
  <c r="M27" i="30"/>
  <c r="M8" i="30" s="1"/>
  <c r="L27" i="30"/>
  <c r="L29" i="30" s="1"/>
  <c r="L31" i="30" s="1"/>
  <c r="L33" i="30" s="1"/>
  <c r="K27" i="30"/>
  <c r="K8" i="30" s="1"/>
  <c r="K14" i="30" s="1"/>
  <c r="L18" i="30" s="1"/>
  <c r="J27" i="30"/>
  <c r="J29" i="30" s="1"/>
  <c r="J31" i="30" s="1"/>
  <c r="J33" i="30" s="1"/>
  <c r="I27" i="30"/>
  <c r="I8" i="30" s="1"/>
  <c r="H27" i="30"/>
  <c r="H29" i="30" s="1"/>
  <c r="H31" i="30" s="1"/>
  <c r="H33" i="30" s="1"/>
  <c r="G27" i="30"/>
  <c r="F27" i="30"/>
  <c r="F29" i="30" s="1"/>
  <c r="F31" i="30" s="1"/>
  <c r="F33" i="30" s="1"/>
  <c r="E27" i="30"/>
  <c r="E8" i="30" s="1"/>
  <c r="D27" i="30"/>
  <c r="D29" i="30" s="1"/>
  <c r="D31" i="30" s="1"/>
  <c r="D33" i="30" s="1"/>
  <c r="C27" i="30"/>
  <c r="C8" i="30" s="1"/>
  <c r="C14" i="30" s="1"/>
  <c r="D18" i="30" s="1"/>
  <c r="AB20" i="30"/>
  <c r="AA20" i="30"/>
  <c r="Z20" i="30"/>
  <c r="Y20" i="30"/>
  <c r="X20" i="30"/>
  <c r="W20" i="30"/>
  <c r="V20" i="30"/>
  <c r="U20" i="30"/>
  <c r="T20" i="30"/>
  <c r="S20" i="30"/>
  <c r="R20" i="30"/>
  <c r="Q20" i="30"/>
  <c r="P20" i="30"/>
  <c r="O20" i="30"/>
  <c r="N20" i="30"/>
  <c r="M20" i="30"/>
  <c r="L20" i="30"/>
  <c r="K20" i="30"/>
  <c r="J20" i="30"/>
  <c r="I20" i="30"/>
  <c r="H20" i="30"/>
  <c r="G20" i="30"/>
  <c r="F20" i="30"/>
  <c r="E20" i="30"/>
  <c r="D20" i="30"/>
  <c r="C20" i="30"/>
  <c r="U19" i="30"/>
  <c r="E19" i="30"/>
  <c r="C18" i="30"/>
  <c r="AA16" i="30"/>
  <c r="K16" i="30"/>
  <c r="N14" i="30"/>
  <c r="N16" i="30" s="1"/>
  <c r="AB13" i="30"/>
  <c r="AA13" i="30"/>
  <c r="Z13" i="30"/>
  <c r="Y13" i="30"/>
  <c r="X13" i="30"/>
  <c r="W13" i="30"/>
  <c r="V13" i="30"/>
  <c r="U13" i="30"/>
  <c r="T13" i="30"/>
  <c r="S13" i="30"/>
  <c r="R13" i="30"/>
  <c r="Q13" i="30"/>
  <c r="P13" i="30"/>
  <c r="O13" i="30"/>
  <c r="N13" i="30"/>
  <c r="M13" i="30"/>
  <c r="L13" i="30"/>
  <c r="K13" i="30"/>
  <c r="J13" i="30"/>
  <c r="I13" i="30"/>
  <c r="H13" i="30"/>
  <c r="G13" i="30"/>
  <c r="F13" i="30"/>
  <c r="E13" i="30"/>
  <c r="D13" i="30"/>
  <c r="C13" i="30"/>
  <c r="AB12" i="30"/>
  <c r="AA12" i="30"/>
  <c r="Z12" i="30"/>
  <c r="Y12" i="30"/>
  <c r="X12" i="30"/>
  <c r="W12" i="30"/>
  <c r="V12" i="30"/>
  <c r="U12" i="30"/>
  <c r="T12" i="30"/>
  <c r="S12" i="30"/>
  <c r="R12" i="30"/>
  <c r="Q12" i="30"/>
  <c r="P12" i="30"/>
  <c r="O12" i="30"/>
  <c r="N12" i="30"/>
  <c r="M12" i="30"/>
  <c r="L12" i="30"/>
  <c r="K12" i="30"/>
  <c r="J12" i="30"/>
  <c r="I12" i="30"/>
  <c r="H12" i="30"/>
  <c r="G12" i="30"/>
  <c r="F12" i="30"/>
  <c r="E12" i="30"/>
  <c r="D12" i="30"/>
  <c r="C12" i="30"/>
  <c r="AB11" i="30"/>
  <c r="Z11" i="30"/>
  <c r="X11" i="30"/>
  <c r="V11" i="30"/>
  <c r="T11" i="30"/>
  <c r="R11" i="30"/>
  <c r="P11" i="30"/>
  <c r="N11" i="30"/>
  <c r="L11" i="30"/>
  <c r="J11" i="30"/>
  <c r="H11" i="30"/>
  <c r="F11" i="30"/>
  <c r="D11" i="30"/>
  <c r="AB10" i="30"/>
  <c r="Z10" i="30"/>
  <c r="X10" i="30"/>
  <c r="V10" i="30"/>
  <c r="T10" i="30"/>
  <c r="R10" i="30"/>
  <c r="P10" i="30"/>
  <c r="N10" i="30"/>
  <c r="L10" i="30"/>
  <c r="J10" i="30"/>
  <c r="H10" i="30"/>
  <c r="F10" i="30"/>
  <c r="D10" i="30"/>
  <c r="AB9" i="30"/>
  <c r="Z9" i="30"/>
  <c r="X9" i="30"/>
  <c r="V9" i="30"/>
  <c r="T9" i="30"/>
  <c r="R9" i="30"/>
  <c r="P9" i="30"/>
  <c r="N9" i="30"/>
  <c r="L9" i="30"/>
  <c r="J9" i="30"/>
  <c r="H9" i="30"/>
  <c r="F9" i="30"/>
  <c r="D9" i="30"/>
  <c r="AB8" i="30"/>
  <c r="AB14" i="30" s="1"/>
  <c r="AB16" i="30" s="1"/>
  <c r="Z8" i="30"/>
  <c r="Z14" i="30" s="1"/>
  <c r="X8" i="30"/>
  <c r="V8" i="30"/>
  <c r="V14" i="30" s="1"/>
  <c r="T8" i="30"/>
  <c r="T14" i="30" s="1"/>
  <c r="R8" i="30"/>
  <c r="R14" i="30" s="1"/>
  <c r="P8" i="30"/>
  <c r="N8" i="30"/>
  <c r="L8" i="30"/>
  <c r="L14" i="30" s="1"/>
  <c r="J8" i="30"/>
  <c r="J14" i="30" s="1"/>
  <c r="H8" i="30"/>
  <c r="F8" i="30"/>
  <c r="F14" i="30" s="1"/>
  <c r="G18" i="30" s="1"/>
  <c r="G21" i="30" s="1"/>
  <c r="D8" i="30"/>
  <c r="D14" i="30" s="1"/>
  <c r="E18" i="30" s="1"/>
  <c r="E21" i="30" s="1"/>
  <c r="AB4" i="30"/>
  <c r="AA4" i="30"/>
  <c r="AB31" i="29"/>
  <c r="AA31" i="29"/>
  <c r="Z31" i="29"/>
  <c r="Z16" i="29" s="1"/>
  <c r="Y31" i="29"/>
  <c r="Y16" i="29" s="1"/>
  <c r="X31" i="29"/>
  <c r="W31" i="29"/>
  <c r="V31" i="29"/>
  <c r="V16" i="29" s="1"/>
  <c r="U31" i="29"/>
  <c r="U16" i="29" s="1"/>
  <c r="T31" i="29"/>
  <c r="S31" i="29"/>
  <c r="R31" i="29"/>
  <c r="R16" i="29" s="1"/>
  <c r="Q31" i="29"/>
  <c r="Q16" i="29" s="1"/>
  <c r="P31" i="29"/>
  <c r="O31" i="29"/>
  <c r="N31" i="29"/>
  <c r="N16" i="29" s="1"/>
  <c r="AB30" i="29"/>
  <c r="AB32" i="29" s="1"/>
  <c r="Y30" i="29"/>
  <c r="Y32" i="29" s="1"/>
  <c r="U30" i="29"/>
  <c r="T30" i="29"/>
  <c r="T32" i="29" s="1"/>
  <c r="Q30" i="29"/>
  <c r="Q32" i="29" s="1"/>
  <c r="M30" i="29"/>
  <c r="M32" i="29" s="1"/>
  <c r="L30" i="29"/>
  <c r="L32" i="29" s="1"/>
  <c r="I30" i="29"/>
  <c r="I32" i="29" s="1"/>
  <c r="E30" i="29"/>
  <c r="E32" i="29" s="1"/>
  <c r="D30" i="29"/>
  <c r="D32" i="29" s="1"/>
  <c r="AB29" i="29"/>
  <c r="AA29" i="29"/>
  <c r="AA14" i="29" s="1"/>
  <c r="Z29" i="29"/>
  <c r="Z14" i="29" s="1"/>
  <c r="Y29" i="29"/>
  <c r="X29" i="29"/>
  <c r="W29" i="29"/>
  <c r="W14" i="29" s="1"/>
  <c r="V29" i="29"/>
  <c r="V14" i="29" s="1"/>
  <c r="U29" i="29"/>
  <c r="T29" i="29"/>
  <c r="S29" i="29"/>
  <c r="S14" i="29" s="1"/>
  <c r="R29" i="29"/>
  <c r="R14" i="29" s="1"/>
  <c r="Q29" i="29"/>
  <c r="P29" i="29"/>
  <c r="O29" i="29"/>
  <c r="O14" i="29" s="1"/>
  <c r="N29" i="29"/>
  <c r="M29" i="29"/>
  <c r="L29" i="29"/>
  <c r="K29" i="29"/>
  <c r="K14" i="29" s="1"/>
  <c r="J29" i="29"/>
  <c r="I29" i="29"/>
  <c r="H29" i="29"/>
  <c r="G29" i="29"/>
  <c r="G14" i="29" s="1"/>
  <c r="F29" i="29"/>
  <c r="E29" i="29"/>
  <c r="D29" i="29"/>
  <c r="C29" i="29"/>
  <c r="C14" i="29" s="1"/>
  <c r="AB28" i="29"/>
  <c r="AB13" i="29" s="1"/>
  <c r="AA28" i="29"/>
  <c r="Z28" i="29"/>
  <c r="Y28" i="29"/>
  <c r="Y13" i="29" s="1"/>
  <c r="X28" i="29"/>
  <c r="W28" i="29"/>
  <c r="V28" i="29"/>
  <c r="U28" i="29"/>
  <c r="U13" i="29" s="1"/>
  <c r="T28" i="29"/>
  <c r="S28" i="29"/>
  <c r="R28" i="29"/>
  <c r="Q28" i="29"/>
  <c r="Q13" i="29" s="1"/>
  <c r="P28" i="29"/>
  <c r="O28" i="29"/>
  <c r="N28" i="29"/>
  <c r="M28" i="29"/>
  <c r="M13" i="29" s="1"/>
  <c r="L28" i="29"/>
  <c r="L13" i="29" s="1"/>
  <c r="K28" i="29"/>
  <c r="J28" i="29"/>
  <c r="I28" i="29"/>
  <c r="I13" i="29" s="1"/>
  <c r="H28" i="29"/>
  <c r="G28" i="29"/>
  <c r="F28" i="29"/>
  <c r="E28" i="29"/>
  <c r="E13" i="29" s="1"/>
  <c r="D28" i="29"/>
  <c r="C28" i="29"/>
  <c r="AB27" i="29"/>
  <c r="AA27" i="29"/>
  <c r="AA12" i="29" s="1"/>
  <c r="Z27" i="29"/>
  <c r="Y27" i="29"/>
  <c r="X27" i="29"/>
  <c r="W27" i="29"/>
  <c r="W12" i="29" s="1"/>
  <c r="V27" i="29"/>
  <c r="V12" i="29" s="1"/>
  <c r="U27" i="29"/>
  <c r="T27" i="29"/>
  <c r="S27" i="29"/>
  <c r="S12" i="29" s="1"/>
  <c r="R27" i="29"/>
  <c r="Q27" i="29"/>
  <c r="P27" i="29"/>
  <c r="O27" i="29"/>
  <c r="O12" i="29" s="1"/>
  <c r="N27" i="29"/>
  <c r="M27" i="29"/>
  <c r="L27" i="29"/>
  <c r="K27" i="29"/>
  <c r="K12" i="29" s="1"/>
  <c r="J27" i="29"/>
  <c r="I27" i="29"/>
  <c r="H27" i="29"/>
  <c r="G27" i="29"/>
  <c r="G12" i="29" s="1"/>
  <c r="F27" i="29"/>
  <c r="F12" i="29" s="1"/>
  <c r="E27" i="29"/>
  <c r="D27" i="29"/>
  <c r="C27" i="29"/>
  <c r="C12" i="29" s="1"/>
  <c r="AB26" i="29"/>
  <c r="AA26" i="29"/>
  <c r="Z26" i="29"/>
  <c r="Y26" i="29"/>
  <c r="Y11" i="29" s="1"/>
  <c r="X26" i="29"/>
  <c r="W26" i="29"/>
  <c r="V26" i="29"/>
  <c r="U26" i="29"/>
  <c r="U11" i="29" s="1"/>
  <c r="T26" i="29"/>
  <c r="S26" i="29"/>
  <c r="R26" i="29"/>
  <c r="Q26" i="29"/>
  <c r="Q11" i="29" s="1"/>
  <c r="P26" i="29"/>
  <c r="P11" i="29" s="1"/>
  <c r="O26" i="29"/>
  <c r="N26" i="29"/>
  <c r="M26" i="29"/>
  <c r="M11" i="29" s="1"/>
  <c r="L26" i="29"/>
  <c r="K26" i="29"/>
  <c r="J26" i="29"/>
  <c r="I26" i="29"/>
  <c r="I11" i="29" s="1"/>
  <c r="H26" i="29"/>
  <c r="G26" i="29"/>
  <c r="F26" i="29"/>
  <c r="E26" i="29"/>
  <c r="E11" i="29" s="1"/>
  <c r="D26" i="29"/>
  <c r="C26" i="29"/>
  <c r="AB25" i="29"/>
  <c r="AA25" i="29"/>
  <c r="Z25" i="29"/>
  <c r="Y25" i="29"/>
  <c r="X25" i="29"/>
  <c r="W25" i="29"/>
  <c r="V25" i="29"/>
  <c r="U25" i="29"/>
  <c r="T25" i="29"/>
  <c r="S25" i="29"/>
  <c r="R25" i="29"/>
  <c r="Q25" i="29"/>
  <c r="P25" i="29"/>
  <c r="O25" i="29"/>
  <c r="N25" i="29"/>
  <c r="M25" i="29"/>
  <c r="L25" i="29"/>
  <c r="K25" i="29"/>
  <c r="J25" i="29"/>
  <c r="I25" i="29"/>
  <c r="H25" i="29"/>
  <c r="G25" i="29"/>
  <c r="F25" i="29"/>
  <c r="E25" i="29"/>
  <c r="D25" i="29"/>
  <c r="C25" i="29"/>
  <c r="AB24" i="29"/>
  <c r="AA24" i="29"/>
  <c r="AA30" i="29" s="1"/>
  <c r="AA32" i="29" s="1"/>
  <c r="Z24" i="29"/>
  <c r="Z30" i="29" s="1"/>
  <c r="Z32" i="29" s="1"/>
  <c r="Y24" i="29"/>
  <c r="X24" i="29"/>
  <c r="X30" i="29" s="1"/>
  <c r="X32" i="29" s="1"/>
  <c r="W24" i="29"/>
  <c r="W30" i="29" s="1"/>
  <c r="W32" i="29" s="1"/>
  <c r="V24" i="29"/>
  <c r="V30" i="29" s="1"/>
  <c r="V32" i="29" s="1"/>
  <c r="U24" i="29"/>
  <c r="T24" i="29"/>
  <c r="S24" i="29"/>
  <c r="S30" i="29" s="1"/>
  <c r="S32" i="29" s="1"/>
  <c r="R24" i="29"/>
  <c r="R30" i="29" s="1"/>
  <c r="R32" i="29" s="1"/>
  <c r="Q24" i="29"/>
  <c r="P24" i="29"/>
  <c r="P30" i="29" s="1"/>
  <c r="P32" i="29" s="1"/>
  <c r="O24" i="29"/>
  <c r="O30" i="29" s="1"/>
  <c r="O32" i="29" s="1"/>
  <c r="N24" i="29"/>
  <c r="N30" i="29" s="1"/>
  <c r="N32" i="29" s="1"/>
  <c r="M24" i="29"/>
  <c r="L24" i="29"/>
  <c r="K24" i="29"/>
  <c r="K30" i="29" s="1"/>
  <c r="K32" i="29" s="1"/>
  <c r="J24" i="29"/>
  <c r="J30" i="29" s="1"/>
  <c r="J32" i="29" s="1"/>
  <c r="I24" i="29"/>
  <c r="H24" i="29"/>
  <c r="H30" i="29" s="1"/>
  <c r="H32" i="29" s="1"/>
  <c r="G24" i="29"/>
  <c r="G30" i="29" s="1"/>
  <c r="G32" i="29" s="1"/>
  <c r="F24" i="29"/>
  <c r="F30" i="29" s="1"/>
  <c r="F32" i="29" s="1"/>
  <c r="E24" i="29"/>
  <c r="D24" i="29"/>
  <c r="C24" i="29"/>
  <c r="C30" i="29" s="1"/>
  <c r="C32" i="29" s="1"/>
  <c r="AB17" i="29"/>
  <c r="AA17" i="29"/>
  <c r="Z17" i="29"/>
  <c r="Y17" i="29"/>
  <c r="X17" i="29"/>
  <c r="W17" i="29"/>
  <c r="V17" i="29"/>
  <c r="U17" i="29"/>
  <c r="T17" i="29"/>
  <c r="S17" i="29"/>
  <c r="R17" i="29"/>
  <c r="Q17" i="29"/>
  <c r="P17" i="29"/>
  <c r="O17" i="29"/>
  <c r="N17" i="29"/>
  <c r="M17" i="29"/>
  <c r="L17" i="29"/>
  <c r="K17" i="29"/>
  <c r="J17" i="29"/>
  <c r="I17" i="29"/>
  <c r="H17" i="29"/>
  <c r="G17" i="29"/>
  <c r="F17" i="29"/>
  <c r="E17" i="29"/>
  <c r="D17" i="29"/>
  <c r="C17" i="29"/>
  <c r="AB16" i="29"/>
  <c r="AA16" i="29"/>
  <c r="X16" i="29"/>
  <c r="W16" i="29"/>
  <c r="T16" i="29"/>
  <c r="S16" i="29"/>
  <c r="P16" i="29"/>
  <c r="O16" i="29"/>
  <c r="AB15" i="29"/>
  <c r="AA15" i="29"/>
  <c r="AA18" i="29" s="1"/>
  <c r="AA19" i="30" s="1"/>
  <c r="Z15" i="29"/>
  <c r="Y15" i="29"/>
  <c r="X15" i="29"/>
  <c r="W15" i="29"/>
  <c r="V15" i="29"/>
  <c r="U15" i="29"/>
  <c r="T15" i="29"/>
  <c r="S15" i="29"/>
  <c r="R15" i="29"/>
  <c r="Q15" i="29"/>
  <c r="P15" i="29"/>
  <c r="O15" i="29"/>
  <c r="N15" i="29"/>
  <c r="M15" i="29"/>
  <c r="L15" i="29"/>
  <c r="K15" i="29"/>
  <c r="K18" i="29" s="1"/>
  <c r="J15" i="29"/>
  <c r="I15" i="29"/>
  <c r="H15" i="29"/>
  <c r="G15" i="29"/>
  <c r="F15" i="29"/>
  <c r="E15" i="29"/>
  <c r="D15" i="29"/>
  <c r="C15" i="29"/>
  <c r="AB14" i="29"/>
  <c r="Y14" i="29"/>
  <c r="X14" i="29"/>
  <c r="U14" i="29"/>
  <c r="T14" i="29"/>
  <c r="Q14" i="29"/>
  <c r="P14" i="29"/>
  <c r="N14" i="29"/>
  <c r="M14" i="29"/>
  <c r="L14" i="29"/>
  <c r="J14" i="29"/>
  <c r="I14" i="29"/>
  <c r="H14" i="29"/>
  <c r="F14" i="29"/>
  <c r="E14" i="29"/>
  <c r="D14" i="29"/>
  <c r="AA13" i="29"/>
  <c r="Z13" i="29"/>
  <c r="X13" i="29"/>
  <c r="W13" i="29"/>
  <c r="V13" i="29"/>
  <c r="T13" i="29"/>
  <c r="S13" i="29"/>
  <c r="R13" i="29"/>
  <c r="P13" i="29"/>
  <c r="O13" i="29"/>
  <c r="N13" i="29"/>
  <c r="K13" i="29"/>
  <c r="J13" i="29"/>
  <c r="H13" i="29"/>
  <c r="G13" i="29"/>
  <c r="F13" i="29"/>
  <c r="D13" i="29"/>
  <c r="C13" i="29"/>
  <c r="AB12" i="29"/>
  <c r="Z12" i="29"/>
  <c r="Y12" i="29"/>
  <c r="X12" i="29"/>
  <c r="U12" i="29"/>
  <c r="T12" i="29"/>
  <c r="R12" i="29"/>
  <c r="Q12" i="29"/>
  <c r="P12" i="29"/>
  <c r="N12" i="29"/>
  <c r="M12" i="29"/>
  <c r="L12" i="29"/>
  <c r="J12" i="29"/>
  <c r="I12" i="29"/>
  <c r="H12" i="29"/>
  <c r="E12" i="29"/>
  <c r="D12" i="29"/>
  <c r="AB11" i="29"/>
  <c r="AA11" i="29"/>
  <c r="Z11" i="29"/>
  <c r="X11" i="29"/>
  <c r="W11" i="29"/>
  <c r="W18" i="29" s="1"/>
  <c r="V11" i="29"/>
  <c r="T11" i="29"/>
  <c r="S11" i="29"/>
  <c r="S18" i="29" s="1"/>
  <c r="R11" i="29"/>
  <c r="O11" i="29"/>
  <c r="O18" i="29" s="1"/>
  <c r="N11" i="29"/>
  <c r="L11" i="29"/>
  <c r="K11" i="29"/>
  <c r="J11" i="29"/>
  <c r="H11" i="29"/>
  <c r="G11" i="29"/>
  <c r="G18" i="29" s="1"/>
  <c r="G19" i="30" s="1"/>
  <c r="F11" i="29"/>
  <c r="D11" i="29"/>
  <c r="C11" i="29"/>
  <c r="C18" i="29" s="1"/>
  <c r="C19" i="30" s="1"/>
  <c r="AB10" i="29"/>
  <c r="AB18" i="29" s="1"/>
  <c r="AB19" i="30" s="1"/>
  <c r="AA10" i="29"/>
  <c r="Z10" i="29"/>
  <c r="Y10" i="29"/>
  <c r="Y18" i="29" s="1"/>
  <c r="Y19" i="30" s="1"/>
  <c r="X10" i="29"/>
  <c r="X18" i="29" s="1"/>
  <c r="X19" i="30" s="1"/>
  <c r="W10" i="29"/>
  <c r="V10" i="29"/>
  <c r="U10" i="29"/>
  <c r="U18" i="29" s="1"/>
  <c r="U20" i="29" s="1"/>
  <c r="T10" i="29"/>
  <c r="T18" i="29" s="1"/>
  <c r="S10" i="29"/>
  <c r="R10" i="29"/>
  <c r="Q10" i="29"/>
  <c r="Q18" i="29" s="1"/>
  <c r="Q19" i="30" s="1"/>
  <c r="P10" i="29"/>
  <c r="P18" i="29" s="1"/>
  <c r="O10" i="29"/>
  <c r="N10" i="29"/>
  <c r="M10" i="29"/>
  <c r="L10" i="29"/>
  <c r="L18" i="29" s="1"/>
  <c r="K10" i="29"/>
  <c r="J10" i="29"/>
  <c r="I10" i="29"/>
  <c r="H10" i="29"/>
  <c r="H18" i="29" s="1"/>
  <c r="H19" i="30" s="1"/>
  <c r="G10" i="29"/>
  <c r="F10" i="29"/>
  <c r="E10" i="29"/>
  <c r="E18" i="29" s="1"/>
  <c r="D10" i="29"/>
  <c r="D18" i="29" s="1"/>
  <c r="D19" i="30" s="1"/>
  <c r="C10" i="29"/>
  <c r="I22" i="27" l="1"/>
  <c r="H22" i="27"/>
  <c r="G22" i="27"/>
  <c r="V16" i="30"/>
  <c r="W18" i="30"/>
  <c r="W21" i="30" s="1"/>
  <c r="L19" i="30"/>
  <c r="L21" i="30" s="1"/>
  <c r="L22" i="30" s="1"/>
  <c r="L20" i="29"/>
  <c r="T19" i="30"/>
  <c r="T20" i="29"/>
  <c r="S20" i="29"/>
  <c r="S19" i="30"/>
  <c r="O20" i="29"/>
  <c r="O19" i="30"/>
  <c r="E22" i="30"/>
  <c r="L16" i="30"/>
  <c r="M18" i="30"/>
  <c r="T16" i="30"/>
  <c r="U18" i="30"/>
  <c r="U21" i="30" s="1"/>
  <c r="U22" i="30" s="1"/>
  <c r="W20" i="29"/>
  <c r="W19" i="30"/>
  <c r="K19" i="30"/>
  <c r="K20" i="29"/>
  <c r="P19" i="30"/>
  <c r="P20" i="29"/>
  <c r="J16" i="30"/>
  <c r="K18" i="30"/>
  <c r="Z16" i="30"/>
  <c r="AA18" i="30"/>
  <c r="AA21" i="30" s="1"/>
  <c r="AA22" i="30" s="1"/>
  <c r="O18" i="30"/>
  <c r="O21" i="30" s="1"/>
  <c r="O22" i="30" s="1"/>
  <c r="O8" i="30"/>
  <c r="O14" i="30" s="1"/>
  <c r="O29" i="30"/>
  <c r="O31" i="30" s="1"/>
  <c r="O33" i="30" s="1"/>
  <c r="AB21" i="30"/>
  <c r="AB22" i="30" s="1"/>
  <c r="C29" i="30"/>
  <c r="C31" i="30" s="1"/>
  <c r="C33" i="30" s="1"/>
  <c r="I18" i="29"/>
  <c r="I19" i="30" s="1"/>
  <c r="M18" i="29"/>
  <c r="E29" i="30"/>
  <c r="E31" i="30" s="1"/>
  <c r="E33" i="30" s="1"/>
  <c r="U29" i="30"/>
  <c r="U31" i="30" s="1"/>
  <c r="U33" i="30" s="1"/>
  <c r="J18" i="29"/>
  <c r="R18" i="29"/>
  <c r="R19" i="30" s="1"/>
  <c r="V18" i="29"/>
  <c r="H14" i="30"/>
  <c r="I18" i="30" s="1"/>
  <c r="P14" i="30"/>
  <c r="X14" i="30"/>
  <c r="M29" i="30"/>
  <c r="M31" i="30" s="1"/>
  <c r="M33" i="30" s="1"/>
  <c r="R16" i="30"/>
  <c r="S18" i="30"/>
  <c r="S21" i="30" s="1"/>
  <c r="S22" i="30" s="1"/>
  <c r="D21" i="30"/>
  <c r="D22" i="30" s="1"/>
  <c r="G8" i="30"/>
  <c r="G14" i="30" s="1"/>
  <c r="H18" i="30" s="1"/>
  <c r="H21" i="30" s="1"/>
  <c r="H22" i="30" s="1"/>
  <c r="G29" i="30"/>
  <c r="G31" i="30" s="1"/>
  <c r="G33" i="30" s="1"/>
  <c r="T21" i="30"/>
  <c r="T22" i="30" s="1"/>
  <c r="W8" i="30"/>
  <c r="W14" i="30" s="1"/>
  <c r="W29" i="30"/>
  <c r="W31" i="30" s="1"/>
  <c r="W33" i="30" s="1"/>
  <c r="S29" i="30"/>
  <c r="S31" i="30" s="1"/>
  <c r="S33" i="30" s="1"/>
  <c r="C21" i="30"/>
  <c r="C22" i="30" s="1"/>
  <c r="F18" i="29"/>
  <c r="F19" i="30" s="1"/>
  <c r="N18" i="29"/>
  <c r="Z18" i="29"/>
  <c r="Z19" i="30" s="1"/>
  <c r="Q20" i="29"/>
  <c r="U32" i="29"/>
  <c r="S16" i="30"/>
  <c r="K29" i="30"/>
  <c r="K31" i="30" s="1"/>
  <c r="K33" i="30" s="1"/>
  <c r="AA29" i="30"/>
  <c r="AA31" i="30" s="1"/>
  <c r="AA33" i="30" s="1"/>
  <c r="I29" i="30"/>
  <c r="I31" i="30" s="1"/>
  <c r="I33" i="30" s="1"/>
  <c r="Q29" i="30"/>
  <c r="Q31" i="30" s="1"/>
  <c r="Q33" i="30" s="1"/>
  <c r="Y29" i="30"/>
  <c r="Y31" i="30" s="1"/>
  <c r="Y33" i="30" s="1"/>
  <c r="E14" i="30"/>
  <c r="F18" i="30" s="1"/>
  <c r="I14" i="30"/>
  <c r="J18" i="30" s="1"/>
  <c r="M14" i="30"/>
  <c r="Q14" i="30"/>
  <c r="U14" i="30"/>
  <c r="Y14" i="30"/>
  <c r="N19" i="30" l="1"/>
  <c r="N20" i="29"/>
  <c r="M19" i="30"/>
  <c r="M20" i="29"/>
  <c r="W22" i="30"/>
  <c r="V18" i="30"/>
  <c r="U16" i="30"/>
  <c r="F21" i="30"/>
  <c r="F22" i="30" s="1"/>
  <c r="P16" i="30"/>
  <c r="Q18" i="30"/>
  <c r="Q21" i="30" s="1"/>
  <c r="Q22" i="30" s="1"/>
  <c r="J19" i="30"/>
  <c r="J21" i="30" s="1"/>
  <c r="J22" i="30" s="1"/>
  <c r="J20" i="29"/>
  <c r="P18" i="30"/>
  <c r="P21" i="30" s="1"/>
  <c r="P22" i="30" s="1"/>
  <c r="O16" i="30"/>
  <c r="M21" i="30"/>
  <c r="M22" i="30" s="1"/>
  <c r="R18" i="30"/>
  <c r="R21" i="30" s="1"/>
  <c r="R22" i="30" s="1"/>
  <c r="Q16" i="30"/>
  <c r="I21" i="30"/>
  <c r="I22" i="30" s="1"/>
  <c r="K21" i="30"/>
  <c r="K22" i="30" s="1"/>
  <c r="G22" i="30"/>
  <c r="N18" i="30"/>
  <c r="N21" i="30" s="1"/>
  <c r="N22" i="30" s="1"/>
  <c r="M16" i="30"/>
  <c r="V19" i="30"/>
  <c r="V20" i="29"/>
  <c r="Z18" i="30"/>
  <c r="Z21" i="30" s="1"/>
  <c r="Z22" i="30" s="1"/>
  <c r="Y16" i="30"/>
  <c r="X18" i="30"/>
  <c r="X21" i="30" s="1"/>
  <c r="X22" i="30" s="1"/>
  <c r="W16" i="30"/>
  <c r="X16" i="30"/>
  <c r="Y18" i="30"/>
  <c r="Y21" i="30" s="1"/>
  <c r="Y22" i="30" s="1"/>
  <c r="V21" i="30" l="1"/>
  <c r="V22" i="30" s="1"/>
  <c r="F44" i="27" l="1"/>
  <c r="G44" i="27"/>
  <c r="H44" i="27"/>
  <c r="I44" i="27"/>
  <c r="E44" i="27"/>
  <c r="I9" i="27"/>
  <c r="E37" i="27"/>
  <c r="F37" i="27"/>
  <c r="G37" i="27"/>
  <c r="H37" i="27"/>
  <c r="I37" i="27"/>
  <c r="E38" i="27"/>
  <c r="E45" i="27" s="1"/>
  <c r="F38" i="27"/>
  <c r="F45" i="27" s="1"/>
  <c r="G38" i="27"/>
  <c r="G45" i="27" s="1"/>
  <c r="G46" i="27" s="1"/>
  <c r="H38" i="27"/>
  <c r="H45" i="27" s="1"/>
  <c r="I38" i="27"/>
  <c r="I45" i="27" s="1"/>
  <c r="E39" i="27"/>
  <c r="F39" i="27"/>
  <c r="G39" i="27"/>
  <c r="H39" i="27"/>
  <c r="I39" i="27"/>
  <c r="J40" i="28"/>
  <c r="I40" i="28"/>
  <c r="J32" i="28"/>
  <c r="C32" i="28"/>
  <c r="J30" i="28"/>
  <c r="I30" i="28"/>
  <c r="C30" i="28"/>
  <c r="J24" i="28"/>
  <c r="I24" i="28"/>
  <c r="F24" i="28"/>
  <c r="D24" i="28"/>
  <c r="C24" i="28"/>
  <c r="G23" i="28"/>
  <c r="G24" i="28" s="1"/>
  <c r="E23" i="28"/>
  <c r="O23" i="28" s="1"/>
  <c r="C23" i="28"/>
  <c r="L23" i="28" s="1"/>
  <c r="O22" i="28"/>
  <c r="N22" i="28"/>
  <c r="L22" i="28"/>
  <c r="O21" i="28"/>
  <c r="N21" i="28"/>
  <c r="L21" i="28"/>
  <c r="O20" i="28"/>
  <c r="N20" i="28"/>
  <c r="L20" i="28"/>
  <c r="O19" i="28"/>
  <c r="N19" i="28"/>
  <c r="L19" i="28"/>
  <c r="O18" i="28"/>
  <c r="N18" i="28"/>
  <c r="L18" i="28"/>
  <c r="N17" i="28"/>
  <c r="H17" i="28"/>
  <c r="H24" i="28" s="1"/>
  <c r="I14" i="28"/>
  <c r="G14" i="28"/>
  <c r="F14" i="28"/>
  <c r="C14" i="28"/>
  <c r="J13" i="28"/>
  <c r="J14" i="28" s="1"/>
  <c r="G13" i="28"/>
  <c r="O13" i="28" s="1"/>
  <c r="E13" i="28"/>
  <c r="E14" i="28" s="1"/>
  <c r="C13" i="28"/>
  <c r="N13" i="28" s="1"/>
  <c r="O12" i="28"/>
  <c r="N12" i="28"/>
  <c r="L12" i="28"/>
  <c r="O11" i="28"/>
  <c r="N11" i="28"/>
  <c r="L11" i="28"/>
  <c r="K10" i="28"/>
  <c r="K14" i="28" s="1"/>
  <c r="H10" i="28"/>
  <c r="O10" i="28" s="1"/>
  <c r="D10" i="28"/>
  <c r="D14" i="28" s="1"/>
  <c r="E46" i="27" l="1"/>
  <c r="F46" i="27"/>
  <c r="F40" i="27"/>
  <c r="H46" i="27"/>
  <c r="L10" i="28"/>
  <c r="H14" i="28"/>
  <c r="I46" i="27"/>
  <c r="I40" i="27"/>
  <c r="E40" i="27"/>
  <c r="G40" i="27"/>
  <c r="H40" i="27"/>
  <c r="O14" i="28"/>
  <c r="N10" i="28"/>
  <c r="N14" i="28" s="1"/>
  <c r="O17" i="28"/>
  <c r="O24" i="28" s="1"/>
  <c r="N23" i="28"/>
  <c r="N24" i="28" s="1"/>
  <c r="E24" i="28"/>
  <c r="L13" i="28"/>
  <c r="L14" i="28" s="1"/>
  <c r="L17" i="28"/>
  <c r="L24" i="28" s="1"/>
  <c r="I42" i="27" l="1"/>
  <c r="I15" i="27"/>
  <c r="I21" i="27" s="1"/>
  <c r="H42" i="27"/>
  <c r="H15" i="27"/>
  <c r="H21" i="27" s="1"/>
  <c r="F42" i="27"/>
  <c r="F15" i="27"/>
  <c r="F21" i="27" s="1"/>
  <c r="G42" i="27"/>
  <c r="G15" i="27"/>
  <c r="G21" i="27" s="1"/>
  <c r="E42" i="27"/>
  <c r="E15" i="27"/>
  <c r="E21" i="27" s="1"/>
  <c r="S83" i="26"/>
  <c r="R83" i="26"/>
  <c r="Q83" i="26"/>
  <c r="P83" i="26"/>
  <c r="O83" i="26"/>
  <c r="N83" i="26"/>
  <c r="S81" i="26"/>
  <c r="R81" i="26"/>
  <c r="Q81" i="26"/>
  <c r="P81" i="26"/>
  <c r="O81" i="26"/>
  <c r="N81" i="26"/>
  <c r="S78" i="26"/>
  <c r="R78" i="26"/>
  <c r="Q78" i="26"/>
  <c r="P78" i="26"/>
  <c r="O78" i="26"/>
  <c r="N78" i="26"/>
  <c r="S77" i="26"/>
  <c r="R77" i="26"/>
  <c r="Q77" i="26"/>
  <c r="P77" i="26"/>
  <c r="O77" i="26"/>
  <c r="N77" i="26"/>
  <c r="S76" i="26"/>
  <c r="R76" i="26"/>
  <c r="Q76" i="26"/>
  <c r="P76" i="26"/>
  <c r="O76" i="26"/>
  <c r="N76" i="26"/>
  <c r="Q75" i="26"/>
  <c r="Q79" i="26" s="1"/>
  <c r="P75" i="26"/>
  <c r="P79" i="26" s="1"/>
  <c r="O75" i="26"/>
  <c r="N75" i="26"/>
  <c r="S74" i="26"/>
  <c r="R74" i="26"/>
  <c r="Q74" i="26"/>
  <c r="P74" i="26"/>
  <c r="O74" i="26"/>
  <c r="O79" i="26" s="1"/>
  <c r="O85" i="26" s="1"/>
  <c r="N74" i="26"/>
  <c r="N79" i="26" s="1"/>
  <c r="N85" i="26" s="1"/>
  <c r="Q72" i="26"/>
  <c r="P72" i="26"/>
  <c r="P85" i="26" s="1"/>
  <c r="O72" i="26"/>
  <c r="N72" i="26"/>
  <c r="S68" i="26"/>
  <c r="R68" i="26"/>
  <c r="O68" i="26"/>
  <c r="N68" i="26"/>
  <c r="S63" i="26"/>
  <c r="R63" i="26"/>
  <c r="Q63" i="26"/>
  <c r="Q68" i="26" s="1"/>
  <c r="P63" i="26"/>
  <c r="P68" i="26" s="1"/>
  <c r="O63" i="26"/>
  <c r="N63" i="26"/>
  <c r="S50" i="26"/>
  <c r="R50" i="26"/>
  <c r="Q50" i="26"/>
  <c r="P50" i="26"/>
  <c r="O50" i="26"/>
  <c r="N50" i="26"/>
  <c r="S48" i="26"/>
  <c r="R48" i="26"/>
  <c r="O48" i="26"/>
  <c r="N48" i="26"/>
  <c r="S46" i="26"/>
  <c r="R46" i="26"/>
  <c r="Q46" i="26"/>
  <c r="Q48" i="26" s="1"/>
  <c r="P46" i="26"/>
  <c r="P48" i="26" s="1"/>
  <c r="O46" i="26"/>
  <c r="N46" i="26"/>
  <c r="S43" i="26"/>
  <c r="R43" i="26"/>
  <c r="Q43" i="26"/>
  <c r="P43" i="26"/>
  <c r="O43" i="26"/>
  <c r="N43" i="26"/>
  <c r="S42" i="26"/>
  <c r="R42" i="26"/>
  <c r="Q42" i="26"/>
  <c r="P42" i="26"/>
  <c r="O42" i="26"/>
  <c r="N42" i="26"/>
  <c r="S41" i="26"/>
  <c r="R41" i="26"/>
  <c r="Q41" i="26"/>
  <c r="P41" i="26"/>
  <c r="O41" i="26"/>
  <c r="N41" i="26"/>
  <c r="Q40" i="26"/>
  <c r="P40" i="26"/>
  <c r="O40" i="26"/>
  <c r="O44" i="26" s="1"/>
  <c r="N40" i="26"/>
  <c r="N44" i="26" s="1"/>
  <c r="Q39" i="26"/>
  <c r="Q44" i="26" s="1"/>
  <c r="P39" i="26"/>
  <c r="P44" i="26" s="1"/>
  <c r="O39" i="26"/>
  <c r="N39" i="26"/>
  <c r="Q37" i="26"/>
  <c r="P37" i="26"/>
  <c r="P52" i="26" s="1"/>
  <c r="O37" i="26"/>
  <c r="O52" i="26" s="1"/>
  <c r="N37" i="26"/>
  <c r="N52" i="26" s="1"/>
  <c r="Q34" i="26"/>
  <c r="P34" i="26"/>
  <c r="S29" i="26"/>
  <c r="S34" i="26" s="1"/>
  <c r="R29" i="26"/>
  <c r="R34" i="26" s="1"/>
  <c r="Q29" i="26"/>
  <c r="P29" i="26"/>
  <c r="O29" i="26"/>
  <c r="O34" i="26" s="1"/>
  <c r="N29" i="26"/>
  <c r="N34" i="26" s="1"/>
  <c r="E19" i="26"/>
  <c r="D19" i="26"/>
  <c r="Q14" i="26"/>
  <c r="Q19" i="26" s="1"/>
  <c r="P14" i="26"/>
  <c r="P19" i="26" s="1"/>
  <c r="O14" i="26"/>
  <c r="O19" i="26" s="1"/>
  <c r="N14" i="26"/>
  <c r="N19" i="26" s="1"/>
  <c r="M14" i="26"/>
  <c r="M19" i="26" s="1"/>
  <c r="L14" i="26"/>
  <c r="L19" i="26" s="1"/>
  <c r="K14" i="26"/>
  <c r="K19" i="26" s="1"/>
  <c r="J14" i="26"/>
  <c r="J19" i="26" s="1"/>
  <c r="I14" i="26"/>
  <c r="I19" i="26" s="1"/>
  <c r="H14" i="26"/>
  <c r="H19" i="26" s="1"/>
  <c r="G14" i="26"/>
  <c r="G19" i="26" s="1"/>
  <c r="F14" i="26"/>
  <c r="F19" i="26" s="1"/>
  <c r="R10" i="26"/>
  <c r="R40" i="26" s="1"/>
  <c r="S9" i="26"/>
  <c r="S39" i="26" s="1"/>
  <c r="R9" i="26"/>
  <c r="R39" i="26" s="1"/>
  <c r="R7" i="26"/>
  <c r="R72" i="26" s="1"/>
  <c r="R44" i="26" l="1"/>
  <c r="Q52" i="26"/>
  <c r="Q85" i="26"/>
  <c r="R79" i="26"/>
  <c r="R85" i="26" s="1"/>
  <c r="R37" i="26"/>
  <c r="S7" i="26"/>
  <c r="S10" i="26"/>
  <c r="R14" i="26"/>
  <c r="R19" i="26" s="1"/>
  <c r="R75" i="26"/>
  <c r="S14" i="26"/>
  <c r="S75" i="26" l="1"/>
  <c r="S79" i="26" s="1"/>
  <c r="S40" i="26"/>
  <c r="S44" i="26" s="1"/>
  <c r="S72" i="26"/>
  <c r="S85" i="26" s="1"/>
  <c r="S19" i="26"/>
  <c r="S37" i="26"/>
  <c r="R52" i="26"/>
  <c r="S52" i="26" l="1"/>
  <c r="N50" i="8" l="1"/>
  <c r="AB50" i="8"/>
  <c r="AB46" i="8"/>
  <c r="T32" i="10" l="1"/>
  <c r="T12" i="10"/>
  <c r="T11" i="10"/>
  <c r="T10" i="10"/>
  <c r="T27" i="10"/>
  <c r="T25" i="10"/>
  <c r="N39" i="8"/>
  <c r="N16" i="8"/>
  <c r="N15" i="8"/>
  <c r="N14" i="8"/>
  <c r="N12" i="8"/>
  <c r="N11" i="8"/>
  <c r="N10" i="8"/>
  <c r="N8" i="8"/>
  <c r="O12" i="10"/>
  <c r="O11" i="10"/>
  <c r="O10" i="10"/>
  <c r="O50" i="8" l="1"/>
  <c r="P50" i="8"/>
  <c r="Q50" i="8"/>
  <c r="R50" i="8"/>
  <c r="S50" i="8"/>
  <c r="T50" i="8"/>
  <c r="U50" i="8"/>
  <c r="V50" i="8"/>
  <c r="W50" i="8"/>
  <c r="X50" i="8"/>
  <c r="Y50" i="8"/>
  <c r="Z50" i="8"/>
  <c r="AA50" i="8"/>
  <c r="AC50" i="8"/>
  <c r="AD50" i="8"/>
  <c r="AE50" i="8"/>
  <c r="AF50" i="8"/>
  <c r="P48" i="8"/>
  <c r="Q48" i="8"/>
  <c r="R48" i="8"/>
  <c r="S48" i="8"/>
  <c r="P47" i="8"/>
  <c r="Q47" i="8"/>
  <c r="R47" i="8"/>
  <c r="S47" i="8"/>
  <c r="O44" i="8"/>
  <c r="P44" i="8"/>
  <c r="Q44" i="8"/>
  <c r="R44" i="8"/>
  <c r="S44" i="8"/>
  <c r="O43" i="8"/>
  <c r="P43" i="8"/>
  <c r="Q43" i="8"/>
  <c r="R43" i="8"/>
  <c r="S43" i="8"/>
  <c r="O46" i="8"/>
  <c r="P46" i="8"/>
  <c r="Q46" i="8"/>
  <c r="R46" i="8"/>
  <c r="S46" i="8"/>
  <c r="U46" i="8"/>
  <c r="V46" i="8"/>
  <c r="W46" i="8"/>
  <c r="X46" i="8"/>
  <c r="Y46" i="8"/>
  <c r="Z46" i="8"/>
  <c r="AA46" i="8"/>
  <c r="N46" i="8"/>
  <c r="O42" i="8"/>
  <c r="P42" i="8"/>
  <c r="Q42" i="8"/>
  <c r="R42" i="8"/>
  <c r="S42" i="8"/>
  <c r="D32" i="18" l="1"/>
  <c r="AC46" i="1" l="1"/>
  <c r="AU68" i="3" l="1"/>
  <c r="AS66" i="3"/>
  <c r="AT67" i="3"/>
  <c r="G17" i="18"/>
  <c r="H17" i="18" s="1"/>
  <c r="D62" i="18"/>
  <c r="C62" i="18"/>
  <c r="C59" i="18"/>
  <c r="D55" i="18"/>
  <c r="V35" i="15"/>
  <c r="D52" i="18" l="1"/>
  <c r="D54" i="18" s="1"/>
  <c r="AB43" i="17"/>
  <c r="AA43" i="17"/>
  <c r="AB21" i="10"/>
  <c r="C55" i="18" s="1"/>
  <c r="D53" i="18"/>
  <c r="W13" i="16"/>
  <c r="D30" i="18" l="1"/>
  <c r="D29" i="18"/>
  <c r="D23" i="18"/>
  <c r="D16" i="18"/>
  <c r="D15" i="18"/>
  <c r="D14" i="18"/>
  <c r="D13" i="18"/>
  <c r="D12" i="18"/>
  <c r="D11" i="18"/>
  <c r="D10" i="18"/>
  <c r="D9" i="18"/>
  <c r="D8" i="18"/>
  <c r="D7" i="18"/>
  <c r="E31" i="18" l="1"/>
  <c r="E30" i="18"/>
  <c r="E29" i="18"/>
  <c r="E27" i="18"/>
  <c r="E26" i="18"/>
  <c r="E23" i="18"/>
  <c r="E16" i="18"/>
  <c r="E15" i="18"/>
  <c r="E14" i="18"/>
  <c r="E13" i="18"/>
  <c r="E12" i="18"/>
  <c r="E11" i="18"/>
  <c r="E10" i="18"/>
  <c r="E9" i="18"/>
  <c r="E8" i="18"/>
  <c r="E7" i="18"/>
  <c r="H11" i="24" l="1"/>
  <c r="K8" i="24"/>
  <c r="H13" i="24" s="1"/>
  <c r="K7" i="24"/>
  <c r="B22" i="23"/>
  <c r="D38" i="23" s="1"/>
  <c r="B21" i="23"/>
  <c r="U21" i="23" s="1"/>
  <c r="B20" i="23"/>
  <c r="U20" i="23" s="1"/>
  <c r="B19" i="23"/>
  <c r="S19" i="23" s="1"/>
  <c r="P18" i="23"/>
  <c r="B18" i="23"/>
  <c r="D34" i="23" s="1"/>
  <c r="Y17" i="23"/>
  <c r="B17" i="23"/>
  <c r="D33" i="23" s="1"/>
  <c r="Q16" i="23"/>
  <c r="O16" i="23"/>
  <c r="M16" i="23"/>
  <c r="B16" i="23"/>
  <c r="P16" i="23" s="1"/>
  <c r="M15" i="23"/>
  <c r="B15" i="23"/>
  <c r="N15" i="23" s="1"/>
  <c r="O14" i="23"/>
  <c r="M14" i="23"/>
  <c r="L14" i="23"/>
  <c r="K14" i="23"/>
  <c r="Y14" i="23" s="1"/>
  <c r="B14" i="23"/>
  <c r="N14" i="23" s="1"/>
  <c r="N13" i="23"/>
  <c r="M13" i="23"/>
  <c r="L13" i="23"/>
  <c r="K13" i="23"/>
  <c r="Y13" i="23" s="1"/>
  <c r="J13" i="23"/>
  <c r="J12" i="23"/>
  <c r="B12" i="23"/>
  <c r="K12" i="23" s="1"/>
  <c r="L11" i="23"/>
  <c r="K11" i="23"/>
  <c r="J11" i="23"/>
  <c r="I11" i="23"/>
  <c r="H11" i="23"/>
  <c r="Y11" i="23" s="1"/>
  <c r="K10" i="23"/>
  <c r="J10" i="23"/>
  <c r="I10" i="23"/>
  <c r="H10" i="23"/>
  <c r="G10" i="23"/>
  <c r="Y10" i="23" s="1"/>
  <c r="J9" i="23"/>
  <c r="J27" i="23" s="1"/>
  <c r="I9" i="23"/>
  <c r="H9" i="23"/>
  <c r="G9" i="23"/>
  <c r="F9" i="23"/>
  <c r="Y9" i="23" s="1"/>
  <c r="I8" i="23"/>
  <c r="G8" i="23"/>
  <c r="E8" i="23"/>
  <c r="B8" i="23"/>
  <c r="D30" i="23" s="1"/>
  <c r="H7" i="23"/>
  <c r="G7" i="23"/>
  <c r="F7" i="23"/>
  <c r="E7" i="23"/>
  <c r="Y7" i="23" s="1"/>
  <c r="D7" i="23"/>
  <c r="G6" i="23"/>
  <c r="F6" i="23"/>
  <c r="E6" i="23"/>
  <c r="D6" i="23"/>
  <c r="C6" i="23"/>
  <c r="Y6" i="23" s="1"/>
  <c r="T19" i="23" l="1"/>
  <c r="T21" i="23"/>
  <c r="T22" i="23"/>
  <c r="S21" i="23"/>
  <c r="D37" i="23"/>
  <c r="P19" i="23"/>
  <c r="V21" i="23"/>
  <c r="R19" i="23"/>
  <c r="R21" i="23"/>
  <c r="I27" i="23"/>
  <c r="Y8" i="23"/>
  <c r="F25" i="23"/>
  <c r="M25" i="23"/>
  <c r="T20" i="23"/>
  <c r="L12" i="23"/>
  <c r="J25" i="23" s="1"/>
  <c r="O15" i="23"/>
  <c r="N25" i="23" s="1"/>
  <c r="R18" i="23"/>
  <c r="R20" i="23"/>
  <c r="V22" i="23"/>
  <c r="D31" i="23"/>
  <c r="D35" i="23"/>
  <c r="F8" i="23"/>
  <c r="I12" i="23"/>
  <c r="M12" i="23"/>
  <c r="L15" i="23"/>
  <c r="Y15" i="23" s="1"/>
  <c r="P15" i="23"/>
  <c r="N16" i="23"/>
  <c r="N27" i="23" s="1"/>
  <c r="O18" i="23"/>
  <c r="S18" i="23"/>
  <c r="Q19" i="23"/>
  <c r="S20" i="23"/>
  <c r="S22" i="23"/>
  <c r="W22" i="23"/>
  <c r="H25" i="23"/>
  <c r="G27" i="23"/>
  <c r="K27" i="23"/>
  <c r="D32" i="23"/>
  <c r="D36" i="23"/>
  <c r="H12" i="24"/>
  <c r="H14" i="24" s="1"/>
  <c r="H16" i="24" s="1"/>
  <c r="K16" i="24" s="1"/>
  <c r="K18" i="24" s="1"/>
  <c r="K20" i="24" s="1"/>
  <c r="B23" i="23" s="1"/>
  <c r="H8" i="23"/>
  <c r="Q18" i="23"/>
  <c r="Q20" i="23"/>
  <c r="U22" i="23"/>
  <c r="AR46" i="6"/>
  <c r="AT46" i="6" s="1"/>
  <c r="AU46" i="6" s="1"/>
  <c r="AT45" i="6"/>
  <c r="AT44" i="6"/>
  <c r="AT43" i="6"/>
  <c r="AS47" i="6"/>
  <c r="AF39" i="14"/>
  <c r="AG39" i="14" s="1"/>
  <c r="AG21" i="14"/>
  <c r="AG22" i="14"/>
  <c r="AG23" i="14"/>
  <c r="AG24" i="14"/>
  <c r="AG25" i="14"/>
  <c r="AG26" i="14"/>
  <c r="AG27" i="14"/>
  <c r="AG28" i="14"/>
  <c r="AG29" i="14"/>
  <c r="AG30" i="14"/>
  <c r="AG31" i="14"/>
  <c r="AG32" i="14"/>
  <c r="AG33" i="14"/>
  <c r="AG34" i="14"/>
  <c r="AG35" i="14"/>
  <c r="AG36" i="14"/>
  <c r="AG37" i="14"/>
  <c r="AG38" i="14"/>
  <c r="AG20" i="14"/>
  <c r="AN57" i="4"/>
  <c r="AN58" i="4"/>
  <c r="AN59" i="4"/>
  <c r="AN60" i="4"/>
  <c r="AN61" i="4"/>
  <c r="AN62" i="4"/>
  <c r="AN63" i="4"/>
  <c r="AN64" i="4"/>
  <c r="AN65" i="4"/>
  <c r="AN66" i="4"/>
  <c r="AN67" i="4"/>
  <c r="AN68" i="4"/>
  <c r="AN69" i="4"/>
  <c r="AN70" i="4"/>
  <c r="AN71" i="4"/>
  <c r="AN72" i="4"/>
  <c r="AN73" i="4"/>
  <c r="AN74" i="4"/>
  <c r="AN75" i="4"/>
  <c r="AN56" i="4"/>
  <c r="AC43" i="13"/>
  <c r="AB43" i="13"/>
  <c r="AA43" i="13"/>
  <c r="Z43" i="13"/>
  <c r="Y43" i="13"/>
  <c r="X43" i="13"/>
  <c r="W43" i="13"/>
  <c r="AL44" i="13"/>
  <c r="AL43" i="13"/>
  <c r="AK43" i="13"/>
  <c r="AK44" i="13" s="1"/>
  <c r="W17" i="11"/>
  <c r="Y19" i="23" l="1"/>
  <c r="Y21" i="23"/>
  <c r="Q27" i="23"/>
  <c r="W23" i="23"/>
  <c r="U23" i="23"/>
  <c r="U27" i="23" s="1"/>
  <c r="D39" i="23"/>
  <c r="X23" i="23"/>
  <c r="T23" i="23"/>
  <c r="T27" i="23" s="1"/>
  <c r="V23" i="23"/>
  <c r="V27" i="23" s="1"/>
  <c r="R25" i="23"/>
  <c r="S27" i="23"/>
  <c r="Y20" i="23"/>
  <c r="Y22" i="23"/>
  <c r="Y18" i="23"/>
  <c r="M27" i="23"/>
  <c r="L25" i="23"/>
  <c r="Q25" i="23"/>
  <c r="R27" i="23"/>
  <c r="I25" i="23"/>
  <c r="L27" i="23"/>
  <c r="P25" i="23"/>
  <c r="Y12" i="23"/>
  <c r="K25" i="23"/>
  <c r="Y16" i="23"/>
  <c r="S25" i="23"/>
  <c r="G25" i="23"/>
  <c r="H27" i="23"/>
  <c r="O27" i="23"/>
  <c r="O25" i="23"/>
  <c r="P27" i="23"/>
  <c r="AR47" i="6"/>
  <c r="AM43" i="13"/>
  <c r="AC43" i="1"/>
  <c r="V25" i="23" l="1"/>
  <c r="W27" i="23"/>
  <c r="T25" i="23"/>
  <c r="Y23" i="23"/>
  <c r="Z23" i="23" s="1"/>
  <c r="U25" i="23"/>
  <c r="W25" i="23"/>
  <c r="X27" i="23"/>
  <c r="AC35" i="1"/>
  <c r="AG18" i="1"/>
  <c r="AC18" i="1"/>
  <c r="AC14" i="1"/>
  <c r="AC19" i="1"/>
  <c r="AC20" i="1"/>
  <c r="AF37" i="17" l="1"/>
  <c r="AF34" i="17"/>
  <c r="AF15" i="17"/>
  <c r="AF14" i="17"/>
  <c r="AF9" i="17"/>
  <c r="AF35" i="8"/>
  <c r="AF14" i="8" s="1"/>
  <c r="AF30" i="8"/>
  <c r="AF15" i="8"/>
  <c r="AF9" i="8"/>
  <c r="Z26" i="15"/>
  <c r="Z14" i="15" s="1"/>
  <c r="Z25" i="15"/>
  <c r="Z13" i="15" s="1"/>
  <c r="AF33" i="17" s="1"/>
  <c r="O11" i="19"/>
  <c r="O7" i="19"/>
  <c r="AF31" i="10"/>
  <c r="AF15" i="10" s="1"/>
  <c r="AF29" i="10"/>
  <c r="AF13" i="10" s="1"/>
  <c r="AF26" i="10"/>
  <c r="AF25" i="10"/>
  <c r="AF16" i="10"/>
  <c r="AF14" i="10"/>
  <c r="N11" i="19"/>
  <c r="N7" i="19"/>
  <c r="AF9" i="9"/>
  <c r="AC9" i="6"/>
  <c r="AC10" i="6"/>
  <c r="AC11" i="6"/>
  <c r="AK75" i="4"/>
  <c r="AL75" i="4"/>
  <c r="Z70" i="13"/>
  <c r="Z11" i="13"/>
  <c r="AE82" i="3"/>
  <c r="AE86" i="3" s="1"/>
  <c r="AE101" i="3"/>
  <c r="AE9" i="3"/>
  <c r="AE10" i="3"/>
  <c r="AE11" i="3"/>
  <c r="AE12" i="3"/>
  <c r="AE14" i="3"/>
  <c r="AE16" i="3"/>
  <c r="AE22" i="3"/>
  <c r="AE25" i="3"/>
  <c r="Z10" i="12"/>
  <c r="AF36" i="17" l="1"/>
  <c r="AF8" i="8"/>
  <c r="AF10" i="10"/>
  <c r="Y10" i="12"/>
  <c r="AF28" i="2"/>
  <c r="AF23" i="2"/>
  <c r="AF21" i="2"/>
  <c r="AF14" i="2"/>
  <c r="AF12" i="2"/>
  <c r="AF11" i="2"/>
  <c r="AF10" i="2"/>
  <c r="AF9" i="2"/>
  <c r="AF8" i="2"/>
  <c r="AF13" i="2" s="1"/>
  <c r="AF21" i="1"/>
  <c r="AF22" i="1" s="1"/>
  <c r="AF28" i="1"/>
  <c r="AE20" i="3" s="1"/>
  <c r="AF38" i="1"/>
  <c r="AF46" i="1"/>
  <c r="AG46" i="1"/>
  <c r="AG38" i="1"/>
  <c r="AE23" i="3" s="1"/>
  <c r="AG28" i="1"/>
  <c r="AG21" i="1"/>
  <c r="AG22" i="1" s="1"/>
  <c r="AF23" i="8" l="1"/>
  <c r="AF18" i="9"/>
  <c r="AC8" i="6"/>
  <c r="AC12" i="6" s="1"/>
  <c r="AC15" i="6" s="1"/>
  <c r="AE27" i="3"/>
  <c r="AF32" i="8"/>
  <c r="AF18" i="2"/>
  <c r="AF20" i="2"/>
  <c r="AF22" i="2" s="1"/>
  <c r="AF24" i="2" s="1"/>
  <c r="AF27" i="2" s="1"/>
  <c r="AF15" i="2"/>
  <c r="AF10" i="8" l="1"/>
  <c r="AF33" i="8"/>
  <c r="AE24" i="3"/>
  <c r="AE26" i="3" s="1"/>
  <c r="AE28" i="3" s="1"/>
  <c r="AE32" i="3" s="1"/>
  <c r="AF26" i="2"/>
  <c r="AF29" i="2" s="1"/>
  <c r="AF28" i="10" s="1"/>
  <c r="AF12" i="10" s="1"/>
  <c r="AE13" i="3"/>
  <c r="AE15" i="3" s="1"/>
  <c r="AE17" i="3" s="1"/>
  <c r="AE31" i="3" s="1"/>
  <c r="AE33" i="3" l="1"/>
  <c r="AE100" i="3" s="1"/>
  <c r="D61" i="18" l="1"/>
  <c r="D59" i="18"/>
  <c r="E59" i="18" s="1"/>
  <c r="B59" i="18"/>
  <c r="G32" i="18" l="1"/>
  <c r="H32" i="18" s="1"/>
  <c r="V17" i="11"/>
  <c r="AB28" i="1"/>
  <c r="AC28" i="1"/>
  <c r="AB20" i="1" l="1"/>
  <c r="AA9" i="2" l="1"/>
  <c r="AE38" i="14" l="1"/>
  <c r="AD37" i="14"/>
  <c r="AD51" i="13"/>
  <c r="AE51" i="13"/>
  <c r="AE55" i="13" s="1"/>
  <c r="AF51" i="13"/>
  <c r="AF55" i="13" s="1"/>
  <c r="AG51" i="13"/>
  <c r="AG55" i="13" s="1"/>
  <c r="AH51" i="13"/>
  <c r="AH55" i="13" s="1"/>
  <c r="AB43" i="1"/>
  <c r="AB46" i="1" s="1"/>
  <c r="AB35" i="1"/>
  <c r="J17" i="18" l="1"/>
  <c r="K17" i="18" s="1"/>
  <c r="AA38" i="1" l="1"/>
  <c r="AA46" i="1"/>
  <c r="AA43" i="1"/>
  <c r="AA44" i="1"/>
  <c r="AA35" i="1"/>
  <c r="AE37" i="17" l="1"/>
  <c r="AE15" i="17"/>
  <c r="AE35" i="8"/>
  <c r="AE14" i="8" s="1"/>
  <c r="AE14" i="17" s="1"/>
  <c r="AE30" i="8"/>
  <c r="AE8" i="8" s="1"/>
  <c r="AE15" i="8"/>
  <c r="AE9" i="8"/>
  <c r="AE9" i="17" s="1"/>
  <c r="Y26" i="15"/>
  <c r="Y14" i="15" s="1"/>
  <c r="Y25" i="15"/>
  <c r="Y13" i="15" s="1"/>
  <c r="AE31" i="10"/>
  <c r="AE15" i="10" s="1"/>
  <c r="AE29" i="10"/>
  <c r="AE13" i="10" s="1"/>
  <c r="AE26" i="10"/>
  <c r="AE25" i="10"/>
  <c r="AE10" i="10" s="1"/>
  <c r="AE16" i="10"/>
  <c r="AE14" i="10"/>
  <c r="AE34" i="17" s="1"/>
  <c r="M11" i="19"/>
  <c r="M7" i="19"/>
  <c r="AE9" i="9"/>
  <c r="AB9" i="6"/>
  <c r="AB10" i="6"/>
  <c r="AB11" i="6"/>
  <c r="Y70" i="13"/>
  <c r="Y11" i="13"/>
  <c r="Y11" i="3"/>
  <c r="Z11" i="3"/>
  <c r="AA11" i="3"/>
  <c r="AB11" i="3"/>
  <c r="AC11" i="3"/>
  <c r="AD11" i="3"/>
  <c r="AE36" i="17" l="1"/>
  <c r="AE33" i="17"/>
  <c r="AD82" i="3"/>
  <c r="AD101" i="3"/>
  <c r="AD9" i="3"/>
  <c r="AD10" i="3"/>
  <c r="AD12" i="3"/>
  <c r="AD14" i="3"/>
  <c r="AD16" i="3"/>
  <c r="AD22" i="3"/>
  <c r="AD25" i="3"/>
  <c r="AD8" i="2"/>
  <c r="AD9" i="2"/>
  <c r="AD10" i="2"/>
  <c r="AD11" i="2"/>
  <c r="AD12" i="2"/>
  <c r="AD14" i="2"/>
  <c r="AD21" i="2"/>
  <c r="AD23" i="2"/>
  <c r="AD28" i="2"/>
  <c r="AE28" i="2"/>
  <c r="AE23" i="2"/>
  <c r="AE21" i="2"/>
  <c r="AE14" i="2"/>
  <c r="AE12" i="2"/>
  <c r="AE11" i="2"/>
  <c r="AE10" i="2"/>
  <c r="AE9" i="2"/>
  <c r="AE8" i="2"/>
  <c r="AD23" i="3"/>
  <c r="C18" i="18"/>
  <c r="D25" i="18"/>
  <c r="E25" i="18"/>
  <c r="C16" i="17"/>
  <c r="D16" i="17"/>
  <c r="E16" i="17"/>
  <c r="C31" i="17"/>
  <c r="C39" i="17"/>
  <c r="D39" i="17"/>
  <c r="E39" i="17"/>
  <c r="C10" i="16"/>
  <c r="K16" i="16"/>
  <c r="L16" i="16"/>
  <c r="M16" i="16"/>
  <c r="N16" i="16"/>
  <c r="O16" i="16"/>
  <c r="P16" i="16"/>
  <c r="Q16" i="16"/>
  <c r="R16" i="16"/>
  <c r="S16" i="16"/>
  <c r="C24" i="16"/>
  <c r="C8" i="16" s="1"/>
  <c r="D24" i="16"/>
  <c r="D8" i="16" s="1"/>
  <c r="E24" i="16"/>
  <c r="E8" i="16" s="1"/>
  <c r="F24" i="16"/>
  <c r="F8" i="16" s="1"/>
  <c r="G24" i="16"/>
  <c r="G8" i="16" s="1"/>
  <c r="H24" i="16"/>
  <c r="H8" i="16" s="1"/>
  <c r="I24" i="16"/>
  <c r="I8" i="16" s="1"/>
  <c r="J24" i="16"/>
  <c r="J8" i="16" s="1"/>
  <c r="K24" i="16"/>
  <c r="K8" i="16" s="1"/>
  <c r="M24" i="16"/>
  <c r="M8" i="16" s="1"/>
  <c r="N24" i="16"/>
  <c r="N8" i="16" s="1"/>
  <c r="O24" i="16"/>
  <c r="O8" i="16" s="1"/>
  <c r="P24" i="16"/>
  <c r="P8" i="16" s="1"/>
  <c r="Q24" i="16"/>
  <c r="Q8" i="16" s="1"/>
  <c r="R24" i="16"/>
  <c r="R8" i="16" s="1"/>
  <c r="S24" i="16"/>
  <c r="S8" i="16" s="1"/>
  <c r="C25" i="16"/>
  <c r="C9" i="16" s="1"/>
  <c r="D25" i="16"/>
  <c r="D9" i="16" s="1"/>
  <c r="E25" i="16"/>
  <c r="E9" i="16" s="1"/>
  <c r="F25" i="16"/>
  <c r="F9" i="16" s="1"/>
  <c r="G25" i="16"/>
  <c r="G9" i="16" s="1"/>
  <c r="H25" i="16"/>
  <c r="H9" i="16" s="1"/>
  <c r="I25" i="16"/>
  <c r="I9" i="16" s="1"/>
  <c r="J25" i="16"/>
  <c r="J9" i="16" s="1"/>
  <c r="K25" i="16"/>
  <c r="K9" i="16" s="1"/>
  <c r="L25" i="16"/>
  <c r="L9" i="16" s="1"/>
  <c r="M25" i="16"/>
  <c r="M9" i="16" s="1"/>
  <c r="N25" i="16"/>
  <c r="N9" i="16" s="1"/>
  <c r="O25" i="16"/>
  <c r="O9" i="16" s="1"/>
  <c r="P25" i="16"/>
  <c r="P9" i="16" s="1"/>
  <c r="Q25" i="16"/>
  <c r="Q9" i="16" s="1"/>
  <c r="R25" i="16"/>
  <c r="R9" i="16" s="1"/>
  <c r="S25" i="16"/>
  <c r="S9" i="16" s="1"/>
  <c r="C26" i="16"/>
  <c r="G26" i="16"/>
  <c r="K26" i="16"/>
  <c r="P26" i="16"/>
  <c r="C28" i="16"/>
  <c r="C9" i="8"/>
  <c r="C9" i="17"/>
  <c r="D9" i="8"/>
  <c r="D9" i="17"/>
  <c r="E9" i="8"/>
  <c r="E9" i="17"/>
  <c r="F9" i="8"/>
  <c r="F9" i="17"/>
  <c r="G9" i="8"/>
  <c r="G9" i="17"/>
  <c r="H9" i="8"/>
  <c r="H9" i="17"/>
  <c r="I9" i="8"/>
  <c r="I9" i="17"/>
  <c r="J9" i="8"/>
  <c r="J9" i="17"/>
  <c r="K9" i="8"/>
  <c r="K9" i="17"/>
  <c r="L9" i="8"/>
  <c r="L9" i="17"/>
  <c r="M9" i="8"/>
  <c r="M9" i="17"/>
  <c r="N9" i="8"/>
  <c r="N9" i="17"/>
  <c r="O9" i="8"/>
  <c r="O9" i="17"/>
  <c r="P9" i="8"/>
  <c r="P9" i="17"/>
  <c r="Q9" i="8"/>
  <c r="Q9" i="17"/>
  <c r="R9" i="8"/>
  <c r="R9" i="17"/>
  <c r="S9" i="8"/>
  <c r="S9" i="17"/>
  <c r="T9" i="8"/>
  <c r="T9" i="17"/>
  <c r="U9" i="8"/>
  <c r="U9" i="17"/>
  <c r="V9" i="8"/>
  <c r="V9" i="17"/>
  <c r="W9" i="8"/>
  <c r="W9" i="17"/>
  <c r="E24" i="18" s="1"/>
  <c r="X9" i="8"/>
  <c r="X9" i="17" s="1"/>
  <c r="D24" i="18" s="1"/>
  <c r="Y9" i="8"/>
  <c r="Y9" i="17"/>
  <c r="Z9" i="8"/>
  <c r="Z9" i="17" s="1"/>
  <c r="AA9" i="8"/>
  <c r="AA9" i="17"/>
  <c r="AB9" i="8"/>
  <c r="AB9" i="17"/>
  <c r="AC9" i="8"/>
  <c r="AC9" i="17"/>
  <c r="AD9" i="8"/>
  <c r="AD9" i="17"/>
  <c r="C15" i="8"/>
  <c r="C15" i="17"/>
  <c r="D15" i="8"/>
  <c r="D15" i="17"/>
  <c r="E15" i="8"/>
  <c r="E15" i="17"/>
  <c r="T15" i="8"/>
  <c r="T15" i="17"/>
  <c r="U15" i="8"/>
  <c r="U15" i="17"/>
  <c r="V15" i="8"/>
  <c r="V15" i="17"/>
  <c r="W15" i="8"/>
  <c r="W15" i="17"/>
  <c r="X15" i="8"/>
  <c r="X15" i="17" s="1"/>
  <c r="G30" i="18" s="1"/>
  <c r="Y15" i="8"/>
  <c r="Y15" i="17"/>
  <c r="Z15" i="8"/>
  <c r="Z15" i="17"/>
  <c r="AA15" i="8"/>
  <c r="AA15" i="17"/>
  <c r="AB15" i="8"/>
  <c r="AB15" i="17"/>
  <c r="AC15" i="8"/>
  <c r="AC15" i="17"/>
  <c r="AD15" i="8"/>
  <c r="AD15" i="17"/>
  <c r="C30" i="8"/>
  <c r="C33" i="8" s="1"/>
  <c r="C8" i="8"/>
  <c r="C8" i="17" s="1"/>
  <c r="D30" i="8"/>
  <c r="D8" i="8"/>
  <c r="E30" i="8"/>
  <c r="E8" i="8"/>
  <c r="E8" i="17" s="1"/>
  <c r="F30" i="8"/>
  <c r="F8" i="8"/>
  <c r="F8" i="17" s="1"/>
  <c r="G30" i="8"/>
  <c r="G8" i="8"/>
  <c r="H30" i="8"/>
  <c r="H8" i="8"/>
  <c r="H8" i="17" s="1"/>
  <c r="I30" i="8"/>
  <c r="I8" i="8"/>
  <c r="I8" i="17" s="1"/>
  <c r="J30" i="8"/>
  <c r="J8" i="8"/>
  <c r="J8" i="17" s="1"/>
  <c r="K30" i="8"/>
  <c r="K8" i="8"/>
  <c r="K8" i="17" s="1"/>
  <c r="L30" i="8"/>
  <c r="L8" i="8"/>
  <c r="M30" i="8"/>
  <c r="M8" i="8"/>
  <c r="M8" i="17" s="1"/>
  <c r="N30" i="8"/>
  <c r="N8" i="17"/>
  <c r="O30" i="8"/>
  <c r="O8" i="8"/>
  <c r="P30" i="8"/>
  <c r="P8" i="8"/>
  <c r="P8" i="17" s="1"/>
  <c r="Q30" i="8"/>
  <c r="Q8" i="8"/>
  <c r="Q8" i="17" s="1"/>
  <c r="R30" i="8"/>
  <c r="R8" i="8"/>
  <c r="R8" i="17" s="1"/>
  <c r="S30" i="8"/>
  <c r="S8" i="8"/>
  <c r="S8" i="17" s="1"/>
  <c r="T30" i="8"/>
  <c r="T8" i="8"/>
  <c r="U30" i="8"/>
  <c r="U8" i="8"/>
  <c r="U8" i="17" s="1"/>
  <c r="V30" i="8"/>
  <c r="V8" i="8"/>
  <c r="V8" i="17" s="1"/>
  <c r="W30" i="8"/>
  <c r="W8" i="8"/>
  <c r="W8" i="17" s="1"/>
  <c r="X30" i="8"/>
  <c r="X8" i="8"/>
  <c r="X8" i="17" s="1"/>
  <c r="Y30" i="8"/>
  <c r="Y8" i="8"/>
  <c r="Y8" i="17" s="1"/>
  <c r="Z30" i="8"/>
  <c r="Z8" i="8"/>
  <c r="Z8" i="17" s="1"/>
  <c r="AA30" i="8"/>
  <c r="AA8" i="8" s="1"/>
  <c r="AB30" i="8"/>
  <c r="AB8" i="8" s="1"/>
  <c r="AC30" i="8"/>
  <c r="AC8" i="8" s="1"/>
  <c r="AD30" i="8"/>
  <c r="AD8" i="8" s="1"/>
  <c r="C32" i="8"/>
  <c r="C10" i="8"/>
  <c r="C11" i="17" s="1"/>
  <c r="D32" i="8"/>
  <c r="D10" i="8" s="1"/>
  <c r="D11" i="17" s="1"/>
  <c r="E32" i="8"/>
  <c r="F32" i="8"/>
  <c r="F10" i="8" s="1"/>
  <c r="F11" i="17" s="1"/>
  <c r="D33" i="8"/>
  <c r="C34" i="8"/>
  <c r="C11" i="8" s="1"/>
  <c r="C12" i="17" s="1"/>
  <c r="C35" i="8"/>
  <c r="C14" i="8" s="1"/>
  <c r="C14" i="17" s="1"/>
  <c r="D35" i="8"/>
  <c r="D14" i="8" s="1"/>
  <c r="D14" i="17" s="1"/>
  <c r="E35" i="8"/>
  <c r="E14" i="8"/>
  <c r="E14" i="17" s="1"/>
  <c r="F35" i="8"/>
  <c r="F14" i="8" s="1"/>
  <c r="F14" i="17"/>
  <c r="G35" i="8"/>
  <c r="G14" i="8"/>
  <c r="G14" i="17" s="1"/>
  <c r="H35" i="8"/>
  <c r="H14" i="8" s="1"/>
  <c r="H14" i="17"/>
  <c r="I35" i="8"/>
  <c r="I14" i="8"/>
  <c r="I14" i="17" s="1"/>
  <c r="J35" i="8"/>
  <c r="J14" i="8" s="1"/>
  <c r="J14" i="17"/>
  <c r="K35" i="8"/>
  <c r="K14" i="8"/>
  <c r="K14" i="17" s="1"/>
  <c r="L35" i="8"/>
  <c r="L14" i="8" s="1"/>
  <c r="L14" i="17"/>
  <c r="M35" i="8"/>
  <c r="M14" i="8"/>
  <c r="M14" i="17" s="1"/>
  <c r="N35" i="8"/>
  <c r="N14" i="17"/>
  <c r="O35" i="8"/>
  <c r="O14" i="8"/>
  <c r="O14" i="17" s="1"/>
  <c r="P35" i="8"/>
  <c r="P14" i="8" s="1"/>
  <c r="P14" i="17"/>
  <c r="Q35" i="8"/>
  <c r="Q14" i="8"/>
  <c r="Q14" i="17" s="1"/>
  <c r="R35" i="8"/>
  <c r="R14" i="8" s="1"/>
  <c r="R14" i="17"/>
  <c r="S35" i="8"/>
  <c r="S14" i="8"/>
  <c r="S14" i="17" s="1"/>
  <c r="T35" i="8"/>
  <c r="T14" i="8" s="1"/>
  <c r="T14" i="17"/>
  <c r="U35" i="8"/>
  <c r="U14" i="8"/>
  <c r="U14" i="17" s="1"/>
  <c r="V35" i="8"/>
  <c r="V14" i="8" s="1"/>
  <c r="V14" i="17"/>
  <c r="W35" i="8"/>
  <c r="W14" i="8"/>
  <c r="W14" i="17" s="1"/>
  <c r="X35" i="8"/>
  <c r="X14" i="8"/>
  <c r="X14" i="17" s="1"/>
  <c r="Y35" i="8"/>
  <c r="Y14" i="8"/>
  <c r="Y14" i="17" s="1"/>
  <c r="Z35" i="8"/>
  <c r="Z14" i="8" s="1"/>
  <c r="Z14" i="17" s="1"/>
  <c r="AA35" i="8"/>
  <c r="AA14" i="8" s="1"/>
  <c r="AA14" i="17" s="1"/>
  <c r="AB35" i="8"/>
  <c r="AB14" i="8" s="1"/>
  <c r="AB14" i="17" s="1"/>
  <c r="AC35" i="8"/>
  <c r="AC14" i="8" s="1"/>
  <c r="AC14" i="17" s="1"/>
  <c r="AD35" i="8"/>
  <c r="AD14" i="8" s="1"/>
  <c r="AD14" i="17" s="1"/>
  <c r="Q18" i="15"/>
  <c r="C21" i="15"/>
  <c r="C10" i="15" s="1"/>
  <c r="D21" i="15"/>
  <c r="D10" i="15" s="1"/>
  <c r="E21" i="15"/>
  <c r="E10" i="15" s="1"/>
  <c r="F21" i="15"/>
  <c r="F10" i="15" s="1"/>
  <c r="G21" i="15"/>
  <c r="G10" i="15" s="1"/>
  <c r="H21" i="15"/>
  <c r="H10" i="15" s="1"/>
  <c r="I21" i="15"/>
  <c r="I10" i="15" s="1"/>
  <c r="J21" i="15"/>
  <c r="J10" i="15" s="1"/>
  <c r="K21" i="15"/>
  <c r="K10" i="15" s="1"/>
  <c r="L21" i="15"/>
  <c r="L10" i="15" s="1"/>
  <c r="M21" i="15"/>
  <c r="M10" i="15" s="1"/>
  <c r="N21" i="15"/>
  <c r="N10" i="15" s="1"/>
  <c r="O21" i="15"/>
  <c r="O10" i="15" s="1"/>
  <c r="P21" i="15"/>
  <c r="P10" i="15" s="1"/>
  <c r="Q21" i="15"/>
  <c r="Q10" i="15" s="1"/>
  <c r="R21" i="15"/>
  <c r="R10" i="15" s="1"/>
  <c r="C22" i="15"/>
  <c r="D22" i="15"/>
  <c r="E22" i="15"/>
  <c r="F22" i="15"/>
  <c r="G22" i="15"/>
  <c r="H22" i="15"/>
  <c r="I22" i="15"/>
  <c r="J22" i="15"/>
  <c r="K22" i="15"/>
  <c r="L22" i="15"/>
  <c r="M22" i="15"/>
  <c r="N22" i="15"/>
  <c r="O22" i="15"/>
  <c r="P22" i="15"/>
  <c r="Q22" i="15"/>
  <c r="R22" i="15"/>
  <c r="C25" i="15"/>
  <c r="C13" i="15" s="1"/>
  <c r="D25" i="15"/>
  <c r="D13" i="15" s="1"/>
  <c r="E25" i="15"/>
  <c r="E13" i="15" s="1"/>
  <c r="F25" i="15"/>
  <c r="F13" i="15" s="1"/>
  <c r="G25" i="15"/>
  <c r="G13" i="15" s="1"/>
  <c r="H25" i="15"/>
  <c r="H13" i="15" s="1"/>
  <c r="I25" i="15"/>
  <c r="I13" i="15" s="1"/>
  <c r="J25" i="15"/>
  <c r="J13" i="15" s="1"/>
  <c r="K25" i="15"/>
  <c r="K13" i="15" s="1"/>
  <c r="L25" i="15"/>
  <c r="L13" i="15" s="1"/>
  <c r="M25" i="15"/>
  <c r="M13" i="15" s="1"/>
  <c r="N25" i="15"/>
  <c r="N13" i="15" s="1"/>
  <c r="O25" i="15"/>
  <c r="O13" i="15" s="1"/>
  <c r="P25" i="15"/>
  <c r="P13" i="15" s="1"/>
  <c r="Q25" i="15"/>
  <c r="Q13" i="15" s="1"/>
  <c r="R25" i="15"/>
  <c r="R13" i="15" s="1"/>
  <c r="S25" i="15"/>
  <c r="S13" i="15" s="1"/>
  <c r="T25" i="15"/>
  <c r="T13" i="15" s="1"/>
  <c r="U25" i="15"/>
  <c r="U13" i="15" s="1"/>
  <c r="V25" i="15"/>
  <c r="V13" i="15" s="1"/>
  <c r="W25" i="15"/>
  <c r="W13" i="15" s="1"/>
  <c r="X25" i="15"/>
  <c r="X13" i="15" s="1"/>
  <c r="U26" i="15"/>
  <c r="U14" i="15" s="1"/>
  <c r="V26" i="15"/>
  <c r="V14" i="15" s="1"/>
  <c r="W26" i="15"/>
  <c r="W14" i="15" s="1"/>
  <c r="X26" i="15"/>
  <c r="X14" i="15" s="1"/>
  <c r="C14" i="10"/>
  <c r="C34" i="17" s="1"/>
  <c r="D14" i="10"/>
  <c r="D34" i="17" s="1"/>
  <c r="E14" i="10"/>
  <c r="E34" i="17" s="1"/>
  <c r="F14" i="10"/>
  <c r="F34" i="17" s="1"/>
  <c r="G14" i="10"/>
  <c r="G34" i="17" s="1"/>
  <c r="H14" i="10"/>
  <c r="H34" i="17" s="1"/>
  <c r="I14" i="10"/>
  <c r="I34" i="17" s="1"/>
  <c r="J14" i="10"/>
  <c r="J34" i="17" s="1"/>
  <c r="K14" i="10"/>
  <c r="K34" i="17" s="1"/>
  <c r="L14" i="10"/>
  <c r="L34" i="17" s="1"/>
  <c r="M14" i="10"/>
  <c r="M34" i="17" s="1"/>
  <c r="N14" i="10"/>
  <c r="N34" i="17" s="1"/>
  <c r="O14" i="10"/>
  <c r="O34" i="17" s="1"/>
  <c r="P14" i="10"/>
  <c r="P34" i="17" s="1"/>
  <c r="Q14" i="10"/>
  <c r="Q34" i="17" s="1"/>
  <c r="R14" i="10"/>
  <c r="R34" i="17" s="1"/>
  <c r="S14" i="10"/>
  <c r="S34" i="17" s="1"/>
  <c r="T14" i="10"/>
  <c r="T34" i="17" s="1"/>
  <c r="U14" i="10"/>
  <c r="U34" i="17" s="1"/>
  <c r="V14" i="10"/>
  <c r="V34" i="17" s="1"/>
  <c r="W14" i="10"/>
  <c r="W34" i="17" s="1"/>
  <c r="X14" i="10"/>
  <c r="X34" i="17" s="1"/>
  <c r="Y14" i="10"/>
  <c r="Y34" i="17"/>
  <c r="G11" i="18" s="1"/>
  <c r="Z14" i="10"/>
  <c r="Z34" i="17"/>
  <c r="AA14" i="10"/>
  <c r="AA34" i="17"/>
  <c r="AB14" i="10"/>
  <c r="AB34" i="17"/>
  <c r="AC14" i="10"/>
  <c r="AC34" i="17"/>
  <c r="AD14" i="10"/>
  <c r="AD34" i="17" s="1"/>
  <c r="C16" i="10"/>
  <c r="C37" i="17"/>
  <c r="D16" i="10"/>
  <c r="D37" i="17"/>
  <c r="E16" i="10"/>
  <c r="E37" i="17"/>
  <c r="T16" i="10"/>
  <c r="T37" i="17"/>
  <c r="U16" i="10"/>
  <c r="U37" i="17"/>
  <c r="V16" i="10"/>
  <c r="V37" i="17"/>
  <c r="W16" i="10"/>
  <c r="W37" i="17"/>
  <c r="X16" i="10"/>
  <c r="X37" i="17" s="1"/>
  <c r="Y16" i="10"/>
  <c r="Y37" i="17" s="1"/>
  <c r="Z16" i="10"/>
  <c r="Z37" i="17" s="1"/>
  <c r="AA16" i="10"/>
  <c r="AA37" i="17" s="1"/>
  <c r="AB16" i="10"/>
  <c r="AB37" i="17" s="1"/>
  <c r="AC16" i="10"/>
  <c r="AC37" i="17" s="1"/>
  <c r="AD16" i="10"/>
  <c r="AD37" i="17" s="1"/>
  <c r="C25" i="10"/>
  <c r="C10" i="10" s="1"/>
  <c r="C30" i="17" s="1"/>
  <c r="D25" i="10"/>
  <c r="D10" i="10" s="1"/>
  <c r="D30" i="17" s="1"/>
  <c r="E25" i="10"/>
  <c r="E10" i="10" s="1"/>
  <c r="E30" i="17" s="1"/>
  <c r="F25" i="10"/>
  <c r="F10" i="10" s="1"/>
  <c r="F30" i="17" s="1"/>
  <c r="G25" i="10"/>
  <c r="G10" i="10" s="1"/>
  <c r="G30" i="17" s="1"/>
  <c r="H25" i="10"/>
  <c r="H10" i="10" s="1"/>
  <c r="I25" i="10"/>
  <c r="I10" i="10" s="1"/>
  <c r="I30" i="17" s="1"/>
  <c r="J25" i="10"/>
  <c r="J10" i="10" s="1"/>
  <c r="K25" i="10"/>
  <c r="K10" i="10" s="1"/>
  <c r="K30" i="17" s="1"/>
  <c r="L25" i="10"/>
  <c r="L10" i="10" s="1"/>
  <c r="M25" i="10"/>
  <c r="M10" i="10" s="1"/>
  <c r="N25" i="10"/>
  <c r="N10" i="10" s="1"/>
  <c r="N30" i="17" s="1"/>
  <c r="O25" i="10"/>
  <c r="O30" i="17" s="1"/>
  <c r="P25" i="10"/>
  <c r="P10" i="10" s="1"/>
  <c r="P30" i="17" s="1"/>
  <c r="Q25" i="10"/>
  <c r="Q10" i="10" s="1"/>
  <c r="R25" i="10"/>
  <c r="R10" i="10" s="1"/>
  <c r="R30" i="17" s="1"/>
  <c r="U25" i="10"/>
  <c r="U10" i="10" s="1"/>
  <c r="U30" i="17" s="1"/>
  <c r="V25" i="10"/>
  <c r="V10" i="10" s="1"/>
  <c r="V30" i="17" s="1"/>
  <c r="W25" i="10"/>
  <c r="W10" i="10" s="1"/>
  <c r="W30" i="17" s="1"/>
  <c r="X25" i="10"/>
  <c r="X10" i="10" s="1"/>
  <c r="X30" i="17" s="1"/>
  <c r="Y25" i="10"/>
  <c r="Y10" i="10" s="1"/>
  <c r="Z25" i="10"/>
  <c r="Z10" i="10" s="1"/>
  <c r="AA25" i="10"/>
  <c r="AA10" i="10" s="1"/>
  <c r="AB25" i="10"/>
  <c r="AB10" i="10" s="1"/>
  <c r="AC25" i="10"/>
  <c r="AC10" i="10" s="1"/>
  <c r="AD25" i="10"/>
  <c r="AD10" i="10" s="1"/>
  <c r="C26" i="10"/>
  <c r="D26" i="10"/>
  <c r="E26" i="10"/>
  <c r="F26" i="10"/>
  <c r="G26" i="10"/>
  <c r="H26" i="10"/>
  <c r="I26" i="10"/>
  <c r="J26" i="10"/>
  <c r="K26" i="10"/>
  <c r="L26" i="10"/>
  <c r="M26" i="10"/>
  <c r="N26" i="10"/>
  <c r="O26" i="10"/>
  <c r="P26" i="10"/>
  <c r="Q26" i="10"/>
  <c r="R26" i="10"/>
  <c r="S26" i="10"/>
  <c r="T26" i="10"/>
  <c r="U26" i="10"/>
  <c r="V26" i="10"/>
  <c r="W26" i="10"/>
  <c r="Y26" i="10"/>
  <c r="Z26" i="10"/>
  <c r="AA26" i="10"/>
  <c r="AB26" i="10"/>
  <c r="AC26" i="10"/>
  <c r="AD26" i="10"/>
  <c r="C29" i="10"/>
  <c r="C13" i="10" s="1"/>
  <c r="C33" i="17" s="1"/>
  <c r="D29" i="10"/>
  <c r="D13" i="10" s="1"/>
  <c r="D33" i="17" s="1"/>
  <c r="E29" i="10"/>
  <c r="E13" i="10" s="1"/>
  <c r="E33" i="17" s="1"/>
  <c r="F29" i="10"/>
  <c r="F13" i="10" s="1"/>
  <c r="F33" i="17" s="1"/>
  <c r="G29" i="10"/>
  <c r="G13" i="10"/>
  <c r="G33" i="17" s="1"/>
  <c r="H29" i="10"/>
  <c r="H13" i="10" s="1"/>
  <c r="H33" i="17" s="1"/>
  <c r="I29" i="10"/>
  <c r="I13" i="10" s="1"/>
  <c r="I33" i="17" s="1"/>
  <c r="J29" i="10"/>
  <c r="J13" i="10" s="1"/>
  <c r="J33" i="17" s="1"/>
  <c r="K29" i="10"/>
  <c r="K13" i="10" s="1"/>
  <c r="K33" i="17" s="1"/>
  <c r="L29" i="10"/>
  <c r="L13" i="10" s="1"/>
  <c r="M29" i="10"/>
  <c r="M13" i="10" s="1"/>
  <c r="N29" i="10"/>
  <c r="N13" i="10" s="1"/>
  <c r="O29" i="10"/>
  <c r="O13" i="10"/>
  <c r="P29" i="10"/>
  <c r="P13" i="10" s="1"/>
  <c r="Q29" i="10"/>
  <c r="Q13" i="10" s="1"/>
  <c r="Q33" i="17" s="1"/>
  <c r="R29" i="10"/>
  <c r="R13" i="10" s="1"/>
  <c r="S29" i="10"/>
  <c r="S13" i="10" s="1"/>
  <c r="T29" i="10"/>
  <c r="T13" i="10" s="1"/>
  <c r="U29" i="10"/>
  <c r="U13" i="10" s="1"/>
  <c r="V29" i="10"/>
  <c r="V13" i="10" s="1"/>
  <c r="W29" i="10"/>
  <c r="W13" i="10"/>
  <c r="X29" i="10"/>
  <c r="X13" i="10" s="1"/>
  <c r="Y29" i="10"/>
  <c r="Y13" i="10" s="1"/>
  <c r="Z29" i="10"/>
  <c r="Z13" i="10"/>
  <c r="AA29" i="10"/>
  <c r="AA13" i="10" s="1"/>
  <c r="AB29" i="10"/>
  <c r="AB13" i="10" s="1"/>
  <c r="AC29" i="10"/>
  <c r="AC13" i="10" s="1"/>
  <c r="AD29" i="10"/>
  <c r="AD13" i="10" s="1"/>
  <c r="C31" i="10"/>
  <c r="D31" i="10"/>
  <c r="D15" i="10" s="1"/>
  <c r="D36" i="17" s="1"/>
  <c r="AA31" i="10"/>
  <c r="AA15" i="10" s="1"/>
  <c r="AB31" i="10"/>
  <c r="AB15" i="10" s="1"/>
  <c r="AC31" i="10"/>
  <c r="AC15" i="10" s="1"/>
  <c r="AD31" i="10"/>
  <c r="AD15" i="10" s="1"/>
  <c r="C7" i="19"/>
  <c r="D7" i="19"/>
  <c r="E7" i="19"/>
  <c r="F7" i="19"/>
  <c r="G7" i="19"/>
  <c r="H7" i="19"/>
  <c r="I7" i="19"/>
  <c r="J7" i="19"/>
  <c r="K7" i="19"/>
  <c r="L7" i="19"/>
  <c r="C11" i="19"/>
  <c r="D11" i="19"/>
  <c r="E11" i="19"/>
  <c r="F11" i="19"/>
  <c r="G11" i="19"/>
  <c r="H11" i="19"/>
  <c r="I11" i="19"/>
  <c r="J11" i="19"/>
  <c r="K11" i="19"/>
  <c r="L11" i="19"/>
  <c r="C13" i="19"/>
  <c r="C9" i="9"/>
  <c r="D9" i="9"/>
  <c r="E9" i="9"/>
  <c r="F9" i="9"/>
  <c r="G9" i="9"/>
  <c r="H9" i="9"/>
  <c r="I9" i="9"/>
  <c r="J9" i="9"/>
  <c r="K9" i="9"/>
  <c r="L9" i="9"/>
  <c r="M9" i="9"/>
  <c r="N9" i="9"/>
  <c r="O9" i="9"/>
  <c r="P9" i="9"/>
  <c r="Q9" i="9"/>
  <c r="R9" i="9"/>
  <c r="S9" i="9"/>
  <c r="T9" i="9"/>
  <c r="U9" i="9"/>
  <c r="V9" i="9"/>
  <c r="W9" i="9"/>
  <c r="Y9" i="9"/>
  <c r="Z9" i="9"/>
  <c r="AA9" i="9"/>
  <c r="AB9" i="9"/>
  <c r="AC9" i="9"/>
  <c r="AD9" i="9"/>
  <c r="C10" i="9"/>
  <c r="D10" i="9"/>
  <c r="E10" i="9"/>
  <c r="F10" i="9"/>
  <c r="G10" i="9"/>
  <c r="H10" i="9"/>
  <c r="I10" i="9"/>
  <c r="J10" i="9"/>
  <c r="K10" i="9"/>
  <c r="L10" i="9"/>
  <c r="M10" i="9"/>
  <c r="N10" i="9"/>
  <c r="O10" i="9"/>
  <c r="P10" i="9"/>
  <c r="Q10" i="9"/>
  <c r="R10" i="9"/>
  <c r="S25" i="9"/>
  <c r="U9" i="6"/>
  <c r="V9" i="6"/>
  <c r="W9" i="6"/>
  <c r="X9" i="6"/>
  <c r="Y9" i="6"/>
  <c r="Z9" i="6"/>
  <c r="AA9" i="6"/>
  <c r="C10" i="6"/>
  <c r="D10" i="6"/>
  <c r="E10" i="6"/>
  <c r="F10" i="6"/>
  <c r="G10" i="6"/>
  <c r="H10" i="6"/>
  <c r="I10" i="6"/>
  <c r="J10" i="6"/>
  <c r="K10" i="6"/>
  <c r="L10" i="6"/>
  <c r="M10" i="6"/>
  <c r="N10" i="6"/>
  <c r="O10" i="6"/>
  <c r="P10" i="6"/>
  <c r="Q10" i="6"/>
  <c r="R10" i="6"/>
  <c r="S10" i="6"/>
  <c r="T10" i="6"/>
  <c r="V10" i="6"/>
  <c r="W10" i="6"/>
  <c r="X10" i="6"/>
  <c r="Y10" i="6"/>
  <c r="Z10" i="6"/>
  <c r="AA10" i="6"/>
  <c r="C11" i="6"/>
  <c r="D11" i="6"/>
  <c r="E11" i="6"/>
  <c r="F11" i="6"/>
  <c r="G11" i="6"/>
  <c r="H11" i="6"/>
  <c r="I11" i="6"/>
  <c r="J11" i="6"/>
  <c r="K11" i="6"/>
  <c r="L11" i="6"/>
  <c r="M11" i="6"/>
  <c r="N11" i="6"/>
  <c r="O11" i="6"/>
  <c r="P11" i="6"/>
  <c r="Q11" i="6"/>
  <c r="R11" i="6"/>
  <c r="S11" i="6"/>
  <c r="T11" i="6"/>
  <c r="U11" i="6"/>
  <c r="V11" i="6"/>
  <c r="W11" i="6"/>
  <c r="X11" i="6"/>
  <c r="Y11" i="6"/>
  <c r="Z11" i="6"/>
  <c r="AA11" i="6"/>
  <c r="C16" i="6"/>
  <c r="D16" i="6"/>
  <c r="E16" i="6"/>
  <c r="F16" i="6"/>
  <c r="G16" i="6"/>
  <c r="H16" i="6"/>
  <c r="I16" i="6"/>
  <c r="J16" i="6"/>
  <c r="K16" i="6"/>
  <c r="L16" i="6"/>
  <c r="M16" i="6"/>
  <c r="N16" i="6"/>
  <c r="O16" i="6"/>
  <c r="P16" i="6"/>
  <c r="Q16" i="6"/>
  <c r="R16" i="6"/>
  <c r="S16" i="6"/>
  <c r="T16" i="6"/>
  <c r="U16" i="6"/>
  <c r="V16" i="6"/>
  <c r="F9" i="5"/>
  <c r="AH3" i="14"/>
  <c r="L8" i="14"/>
  <c r="M8" i="14"/>
  <c r="N8" i="14"/>
  <c r="O8" i="14"/>
  <c r="P8" i="14"/>
  <c r="Q8" i="14"/>
  <c r="L9" i="14"/>
  <c r="M9" i="14"/>
  <c r="N9" i="14"/>
  <c r="O9" i="14"/>
  <c r="P9" i="14"/>
  <c r="Q9" i="14"/>
  <c r="M10" i="14"/>
  <c r="N10" i="14"/>
  <c r="O10" i="14"/>
  <c r="P10" i="14"/>
  <c r="Q10" i="14"/>
  <c r="O11" i="14"/>
  <c r="P11" i="14"/>
  <c r="Q11" i="14"/>
  <c r="P12" i="14"/>
  <c r="Q12" i="14"/>
  <c r="AH13" i="14"/>
  <c r="AG16" i="14"/>
  <c r="L21" i="14"/>
  <c r="M21" i="14"/>
  <c r="N21" i="14"/>
  <c r="O21" i="14"/>
  <c r="M22" i="14"/>
  <c r="N22" i="14"/>
  <c r="O22" i="14"/>
  <c r="O23" i="14"/>
  <c r="Y32" i="14"/>
  <c r="AH40" i="14"/>
  <c r="AO3" i="4"/>
  <c r="L8" i="4"/>
  <c r="L20" i="4" s="1"/>
  <c r="M8" i="4"/>
  <c r="M20" i="4" s="1"/>
  <c r="M29" i="4" s="1"/>
  <c r="M31" i="4" s="1"/>
  <c r="N8" i="4"/>
  <c r="N20" i="4" s="1"/>
  <c r="N35" i="4" s="1"/>
  <c r="O8" i="4"/>
  <c r="O20" i="4" s="1"/>
  <c r="O35" i="4" s="1"/>
  <c r="M9" i="4"/>
  <c r="N9" i="4"/>
  <c r="O9" i="4"/>
  <c r="N10" i="4"/>
  <c r="O10" i="4"/>
  <c r="O11" i="4"/>
  <c r="AO13" i="4"/>
  <c r="AN16" i="4"/>
  <c r="AO18" i="4"/>
  <c r="P20" i="4"/>
  <c r="P35" i="4" s="1"/>
  <c r="M21" i="4"/>
  <c r="N21" i="4"/>
  <c r="O21" i="4"/>
  <c r="P21" i="4"/>
  <c r="N22" i="4"/>
  <c r="O22" i="4"/>
  <c r="O37" i="4" s="1"/>
  <c r="O48" i="4" s="1"/>
  <c r="T77" i="3" s="1"/>
  <c r="P22" i="4"/>
  <c r="P37" i="4" s="1"/>
  <c r="P48" i="4" s="1"/>
  <c r="U77" i="3" s="1"/>
  <c r="O23" i="4"/>
  <c r="P23" i="4"/>
  <c r="P24" i="4"/>
  <c r="Q26" i="4"/>
  <c r="R26" i="4"/>
  <c r="S26" i="4"/>
  <c r="T26" i="4"/>
  <c r="AO26" i="4"/>
  <c r="AO33" i="4"/>
  <c r="Q35" i="4"/>
  <c r="R35" i="4"/>
  <c r="S35" i="4"/>
  <c r="T35" i="4"/>
  <c r="M36" i="4"/>
  <c r="N36" i="4"/>
  <c r="O36" i="4"/>
  <c r="P36" i="4"/>
  <c r="Q36" i="4"/>
  <c r="R36" i="4"/>
  <c r="S36" i="4"/>
  <c r="T36" i="4"/>
  <c r="N37" i="4"/>
  <c r="N48" i="4" s="1"/>
  <c r="S77" i="3" s="1"/>
  <c r="Q37" i="4"/>
  <c r="R37" i="4"/>
  <c r="S37" i="4"/>
  <c r="T37" i="4"/>
  <c r="O38" i="4"/>
  <c r="P38" i="4"/>
  <c r="Q38" i="4"/>
  <c r="R38" i="4"/>
  <c r="S38" i="4"/>
  <c r="T38" i="4"/>
  <c r="P39" i="4"/>
  <c r="P49" i="4" s="1"/>
  <c r="U78" i="3" s="1"/>
  <c r="Q39" i="4"/>
  <c r="R39" i="4"/>
  <c r="S39" i="4"/>
  <c r="T39" i="4"/>
  <c r="Q40" i="4"/>
  <c r="R40" i="4"/>
  <c r="S40" i="4"/>
  <c r="T40" i="4"/>
  <c r="Q41" i="4"/>
  <c r="R41" i="4"/>
  <c r="S41" i="4"/>
  <c r="T41" i="4"/>
  <c r="R42" i="4"/>
  <c r="S42" i="4"/>
  <c r="T42" i="4"/>
  <c r="E43" i="4"/>
  <c r="T43" i="4"/>
  <c r="E44" i="4"/>
  <c r="F44" i="4"/>
  <c r="AO45" i="4"/>
  <c r="AN51" i="4"/>
  <c r="R59" i="4"/>
  <c r="S59" i="4"/>
  <c r="T59" i="4"/>
  <c r="T60" i="4"/>
  <c r="W64" i="4"/>
  <c r="C9" i="13"/>
  <c r="D9" i="13"/>
  <c r="E9" i="13"/>
  <c r="F9" i="13"/>
  <c r="G9" i="13"/>
  <c r="H9" i="13"/>
  <c r="I9" i="13"/>
  <c r="J9" i="13"/>
  <c r="K9" i="13"/>
  <c r="M9" i="13"/>
  <c r="N9" i="13"/>
  <c r="O9" i="13"/>
  <c r="P9" i="13"/>
  <c r="Q9" i="13"/>
  <c r="R9" i="13"/>
  <c r="S9" i="13"/>
  <c r="C10" i="13"/>
  <c r="D10" i="13"/>
  <c r="E10" i="13"/>
  <c r="F10" i="13"/>
  <c r="G10" i="13"/>
  <c r="H10" i="13"/>
  <c r="I10" i="13"/>
  <c r="J10" i="13"/>
  <c r="K10" i="13"/>
  <c r="L10" i="13"/>
  <c r="M10" i="13"/>
  <c r="N10" i="13"/>
  <c r="O10" i="13"/>
  <c r="P10" i="13"/>
  <c r="Q10" i="13"/>
  <c r="R10" i="13"/>
  <c r="C11" i="13"/>
  <c r="D11" i="13"/>
  <c r="E11" i="13"/>
  <c r="F11" i="13"/>
  <c r="G11" i="13"/>
  <c r="H11" i="13"/>
  <c r="I11" i="13"/>
  <c r="J11" i="13"/>
  <c r="K11" i="13"/>
  <c r="L11" i="13"/>
  <c r="M11" i="13"/>
  <c r="N11" i="13"/>
  <c r="O11" i="13"/>
  <c r="P11" i="13"/>
  <c r="Q11" i="13"/>
  <c r="R11" i="13"/>
  <c r="S11" i="13"/>
  <c r="T11" i="13"/>
  <c r="U11" i="13"/>
  <c r="V11" i="13"/>
  <c r="W11" i="13"/>
  <c r="X11" i="13"/>
  <c r="C13" i="13"/>
  <c r="D13" i="13"/>
  <c r="E13" i="13"/>
  <c r="F13" i="13"/>
  <c r="G13" i="13"/>
  <c r="H13" i="13"/>
  <c r="I13" i="13"/>
  <c r="J13" i="13"/>
  <c r="K13" i="13"/>
  <c r="L13" i="13"/>
  <c r="M13" i="13"/>
  <c r="N13" i="13"/>
  <c r="O13" i="13"/>
  <c r="P13" i="13"/>
  <c r="Q13" i="13"/>
  <c r="R13" i="13"/>
  <c r="C15" i="13"/>
  <c r="D15" i="13"/>
  <c r="E15" i="13"/>
  <c r="F15" i="13"/>
  <c r="G15" i="13"/>
  <c r="H15" i="13"/>
  <c r="I15" i="13"/>
  <c r="J15" i="13"/>
  <c r="L15" i="13"/>
  <c r="M15" i="13"/>
  <c r="N15" i="13"/>
  <c r="O15" i="13"/>
  <c r="P15" i="13"/>
  <c r="Q15" i="13"/>
  <c r="R15" i="13"/>
  <c r="Q18" i="13"/>
  <c r="C46" i="13"/>
  <c r="D46" i="13"/>
  <c r="D26" i="15" s="1"/>
  <c r="D14" i="15" s="1"/>
  <c r="E46" i="13"/>
  <c r="E26" i="15" s="1"/>
  <c r="E14" i="15" s="1"/>
  <c r="F46" i="13"/>
  <c r="F70" i="13" s="1"/>
  <c r="G46" i="13"/>
  <c r="G26" i="15" s="1"/>
  <c r="G14" i="15" s="1"/>
  <c r="H46" i="13"/>
  <c r="H26" i="15" s="1"/>
  <c r="H14" i="15" s="1"/>
  <c r="I46" i="13"/>
  <c r="I26" i="15" s="1"/>
  <c r="I14" i="15" s="1"/>
  <c r="J46" i="13"/>
  <c r="J26" i="15" s="1"/>
  <c r="J14" i="15" s="1"/>
  <c r="K46" i="13"/>
  <c r="K26" i="15" s="1"/>
  <c r="K14" i="15" s="1"/>
  <c r="L46" i="13"/>
  <c r="L26" i="15" s="1"/>
  <c r="L14" i="15" s="1"/>
  <c r="M46" i="13"/>
  <c r="M26" i="15" s="1"/>
  <c r="M14" i="15" s="1"/>
  <c r="N46" i="13"/>
  <c r="N26" i="15" s="1"/>
  <c r="N14" i="15" s="1"/>
  <c r="O46" i="13"/>
  <c r="O26" i="15" s="1"/>
  <c r="O14" i="15" s="1"/>
  <c r="P46" i="13"/>
  <c r="P70" i="13" s="1"/>
  <c r="Q46" i="13"/>
  <c r="R46" i="13"/>
  <c r="R70" i="13" s="1"/>
  <c r="S46" i="13"/>
  <c r="S26" i="15" s="1"/>
  <c r="S14" i="15" s="1"/>
  <c r="T46" i="13"/>
  <c r="T70" i="13" s="1"/>
  <c r="H49" i="13"/>
  <c r="H51" i="13" s="1"/>
  <c r="I49" i="13"/>
  <c r="I51" i="13" s="1"/>
  <c r="J49" i="13"/>
  <c r="J51" i="13" s="1"/>
  <c r="J55" i="13" s="1"/>
  <c r="K49" i="13"/>
  <c r="K51" i="13" s="1"/>
  <c r="K55" i="13" s="1"/>
  <c r="L49" i="13"/>
  <c r="L51" i="13" s="1"/>
  <c r="L55" i="13" s="1"/>
  <c r="M49" i="13"/>
  <c r="M51" i="13" s="1"/>
  <c r="M55" i="13" s="1"/>
  <c r="N49" i="13"/>
  <c r="O49" i="13"/>
  <c r="O51" i="13" s="1"/>
  <c r="O55" i="13" s="1"/>
  <c r="P49" i="13"/>
  <c r="P51" i="13" s="1"/>
  <c r="P55" i="13" s="1"/>
  <c r="C51" i="13"/>
  <c r="D51" i="13"/>
  <c r="E51" i="13"/>
  <c r="E55" i="13" s="1"/>
  <c r="F51" i="13"/>
  <c r="F55" i="13" s="1"/>
  <c r="G51" i="13"/>
  <c r="N51" i="13"/>
  <c r="N55" i="13" s="1"/>
  <c r="Q51" i="13"/>
  <c r="R51" i="13"/>
  <c r="R55" i="13" s="1"/>
  <c r="S51" i="13"/>
  <c r="T51" i="13"/>
  <c r="T55" i="13" s="1"/>
  <c r="U51" i="13"/>
  <c r="U55" i="13" s="1"/>
  <c r="V51" i="13"/>
  <c r="V55" i="13" s="1"/>
  <c r="W51" i="13"/>
  <c r="X51" i="13"/>
  <c r="X55" i="13" s="1"/>
  <c r="Y51" i="13"/>
  <c r="Y55" i="13" s="1"/>
  <c r="Z51" i="13"/>
  <c r="AA51" i="13"/>
  <c r="AA55" i="13" s="1"/>
  <c r="AB51" i="13"/>
  <c r="AB55" i="13"/>
  <c r="AC51" i="13"/>
  <c r="C55" i="13"/>
  <c r="G55" i="13"/>
  <c r="Q55" i="13"/>
  <c r="S55" i="13"/>
  <c r="W55" i="13"/>
  <c r="AC55" i="13"/>
  <c r="AD55" i="13"/>
  <c r="C67" i="13"/>
  <c r="U70" i="13"/>
  <c r="V70" i="13"/>
  <c r="W70" i="13"/>
  <c r="X70" i="13"/>
  <c r="C9" i="3"/>
  <c r="D9" i="3"/>
  <c r="E9" i="3"/>
  <c r="F9" i="3"/>
  <c r="G9" i="3"/>
  <c r="H9" i="3"/>
  <c r="I9" i="3"/>
  <c r="J9" i="3"/>
  <c r="K9" i="3"/>
  <c r="L9" i="3"/>
  <c r="M9" i="3"/>
  <c r="N9" i="3"/>
  <c r="O9" i="3"/>
  <c r="P9" i="3"/>
  <c r="Q9" i="3"/>
  <c r="R9" i="3"/>
  <c r="S9" i="3"/>
  <c r="T9" i="3"/>
  <c r="U9" i="3"/>
  <c r="V9" i="3"/>
  <c r="W9" i="3"/>
  <c r="X9" i="3"/>
  <c r="Y9" i="3"/>
  <c r="Z9" i="3"/>
  <c r="AA9" i="3"/>
  <c r="AB9" i="3"/>
  <c r="AC9" i="3"/>
  <c r="C10" i="3"/>
  <c r="D10" i="3"/>
  <c r="E10" i="3"/>
  <c r="F10" i="3"/>
  <c r="G10" i="3"/>
  <c r="H10" i="3"/>
  <c r="I10" i="3"/>
  <c r="J10" i="3"/>
  <c r="K10" i="3"/>
  <c r="L10" i="3"/>
  <c r="M10" i="3"/>
  <c r="N10" i="3"/>
  <c r="O10" i="3"/>
  <c r="P10" i="3"/>
  <c r="Q10" i="3"/>
  <c r="T10" i="3"/>
  <c r="U10" i="3"/>
  <c r="V10" i="3"/>
  <c r="W10" i="3"/>
  <c r="X10" i="3"/>
  <c r="Y10" i="3"/>
  <c r="Z10" i="3"/>
  <c r="AA10" i="3"/>
  <c r="AB10" i="3"/>
  <c r="AC10" i="3"/>
  <c r="T11" i="3"/>
  <c r="U11" i="3"/>
  <c r="V11" i="3"/>
  <c r="W11" i="3"/>
  <c r="X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C14" i="3"/>
  <c r="D14" i="3"/>
  <c r="E14" i="3"/>
  <c r="F14" i="3"/>
  <c r="G14" i="3"/>
  <c r="H14" i="3"/>
  <c r="I14" i="3"/>
  <c r="J14" i="3"/>
  <c r="K14" i="3"/>
  <c r="L14" i="3"/>
  <c r="M14" i="3"/>
  <c r="N14" i="3"/>
  <c r="O14" i="3"/>
  <c r="Q14" i="3"/>
  <c r="T14" i="3"/>
  <c r="U14" i="3"/>
  <c r="V14" i="3"/>
  <c r="W14" i="3"/>
  <c r="X14" i="3"/>
  <c r="Y14" i="3"/>
  <c r="Z14" i="3"/>
  <c r="AA14" i="3"/>
  <c r="AB14" i="3"/>
  <c r="AC14" i="3"/>
  <c r="C16" i="3"/>
  <c r="D16" i="3"/>
  <c r="E16" i="3"/>
  <c r="F16" i="3"/>
  <c r="G16" i="3"/>
  <c r="H16" i="3"/>
  <c r="I16" i="3"/>
  <c r="J16" i="3"/>
  <c r="K16" i="3"/>
  <c r="L16" i="3"/>
  <c r="M16" i="3"/>
  <c r="N16" i="3"/>
  <c r="O16" i="3"/>
  <c r="P16" i="3"/>
  <c r="Q16" i="3"/>
  <c r="R16" i="3"/>
  <c r="S16" i="3"/>
  <c r="T16" i="3"/>
  <c r="U16" i="3"/>
  <c r="V16" i="3"/>
  <c r="W16" i="3"/>
  <c r="X16" i="3"/>
  <c r="Y16" i="3"/>
  <c r="Z16" i="3"/>
  <c r="AA16" i="3"/>
  <c r="AB16" i="3"/>
  <c r="AC16" i="3"/>
  <c r="C20" i="3"/>
  <c r="D20" i="3"/>
  <c r="E20" i="3"/>
  <c r="F20" i="3"/>
  <c r="G22" i="3"/>
  <c r="H22" i="3"/>
  <c r="I22" i="3"/>
  <c r="J22" i="3"/>
  <c r="K22" i="3"/>
  <c r="L22" i="3"/>
  <c r="M22" i="3"/>
  <c r="N22" i="3"/>
  <c r="O22" i="3"/>
  <c r="P22" i="3"/>
  <c r="Q22" i="3"/>
  <c r="R22" i="3"/>
  <c r="S22" i="3"/>
  <c r="T22" i="3"/>
  <c r="U22" i="3"/>
  <c r="V22" i="3"/>
  <c r="W22" i="3"/>
  <c r="X22" i="3"/>
  <c r="Y22" i="3"/>
  <c r="Z22" i="3"/>
  <c r="AA22" i="3"/>
  <c r="AB22" i="3"/>
  <c r="AC22" i="3"/>
  <c r="C25" i="3"/>
  <c r="D25" i="3"/>
  <c r="E25" i="3"/>
  <c r="F25" i="3"/>
  <c r="G25" i="3"/>
  <c r="H25" i="3"/>
  <c r="I25" i="3"/>
  <c r="J25" i="3"/>
  <c r="K25" i="3"/>
  <c r="L25" i="3"/>
  <c r="M25" i="3"/>
  <c r="N25" i="3"/>
  <c r="O25" i="3"/>
  <c r="Q25" i="3"/>
  <c r="T25" i="3"/>
  <c r="U25" i="3"/>
  <c r="V25" i="3"/>
  <c r="W25" i="3"/>
  <c r="X25" i="3"/>
  <c r="Y25" i="3"/>
  <c r="Z25" i="3"/>
  <c r="AA25" i="3"/>
  <c r="AB25" i="3"/>
  <c r="AC25" i="3"/>
  <c r="C27" i="3"/>
  <c r="D27" i="3"/>
  <c r="E27" i="3"/>
  <c r="C34" i="3"/>
  <c r="D34" i="3"/>
  <c r="E34" i="3"/>
  <c r="F34" i="3"/>
  <c r="G34" i="3"/>
  <c r="H34" i="3"/>
  <c r="I34" i="3"/>
  <c r="J34" i="3"/>
  <c r="K34" i="3"/>
  <c r="L34" i="3"/>
  <c r="M34" i="3"/>
  <c r="N34" i="3"/>
  <c r="O34" i="3"/>
  <c r="P34" i="3"/>
  <c r="Q34" i="3"/>
  <c r="R34" i="3"/>
  <c r="S34" i="3"/>
  <c r="T34" i="3"/>
  <c r="U34" i="3"/>
  <c r="V34" i="3"/>
  <c r="W34" i="3"/>
  <c r="X34" i="3"/>
  <c r="AL60" i="3"/>
  <c r="AG72" i="4" s="1"/>
  <c r="D71" i="3"/>
  <c r="D101" i="3" s="1"/>
  <c r="E71" i="3"/>
  <c r="E101" i="3" s="1"/>
  <c r="F71" i="3"/>
  <c r="G71" i="3"/>
  <c r="H71" i="3"/>
  <c r="I31" i="10" s="1"/>
  <c r="I15" i="10" s="1"/>
  <c r="I36" i="17" s="1"/>
  <c r="I71" i="3"/>
  <c r="J31" i="10" s="1"/>
  <c r="J15" i="10" s="1"/>
  <c r="J36" i="17" s="1"/>
  <c r="J71" i="3"/>
  <c r="K31" i="10" s="1"/>
  <c r="K15" i="10" s="1"/>
  <c r="K71" i="3"/>
  <c r="L31" i="10" s="1"/>
  <c r="L15" i="10" s="1"/>
  <c r="L71" i="3"/>
  <c r="M31" i="10" s="1"/>
  <c r="M15" i="10" s="1"/>
  <c r="M71" i="3"/>
  <c r="N71" i="3"/>
  <c r="O31" i="10" s="1"/>
  <c r="O15" i="10" s="1"/>
  <c r="O71" i="3"/>
  <c r="O101" i="3" s="1"/>
  <c r="P71" i="3"/>
  <c r="Q31" i="10" s="1"/>
  <c r="Q15" i="10" s="1"/>
  <c r="Q71" i="3"/>
  <c r="Q101" i="3" s="1"/>
  <c r="R71" i="3"/>
  <c r="S31" i="10" s="1"/>
  <c r="S15" i="10" s="1"/>
  <c r="S71" i="3"/>
  <c r="T31" i="10" s="1"/>
  <c r="T15" i="10" s="1"/>
  <c r="T71" i="3"/>
  <c r="U31" i="10" s="1"/>
  <c r="U15" i="10" s="1"/>
  <c r="U71" i="3"/>
  <c r="V71" i="3"/>
  <c r="W31" i="10" s="1"/>
  <c r="W15" i="10" s="1"/>
  <c r="W71" i="3"/>
  <c r="X31" i="10" s="1"/>
  <c r="X15" i="10" s="1"/>
  <c r="X71" i="3"/>
  <c r="Y31" i="10" s="1"/>
  <c r="Y15" i="10" s="1"/>
  <c r="Y71" i="3"/>
  <c r="Z31" i="10" s="1"/>
  <c r="Z15" i="10" s="1"/>
  <c r="H74" i="3"/>
  <c r="H82" i="3" s="1"/>
  <c r="I74" i="3"/>
  <c r="J74" i="3"/>
  <c r="K74" i="3"/>
  <c r="L74" i="3"/>
  <c r="M74" i="3"/>
  <c r="N74" i="3"/>
  <c r="O74" i="3"/>
  <c r="P74" i="3"/>
  <c r="I76" i="3"/>
  <c r="J76" i="3"/>
  <c r="K76" i="3"/>
  <c r="L76" i="3"/>
  <c r="M76" i="3"/>
  <c r="N76" i="3"/>
  <c r="O76" i="3"/>
  <c r="P76" i="3"/>
  <c r="Q76" i="3"/>
  <c r="R76" i="3"/>
  <c r="M80" i="3"/>
  <c r="N80" i="3"/>
  <c r="O80" i="3"/>
  <c r="P80" i="3"/>
  <c r="Q80" i="3"/>
  <c r="R80" i="3"/>
  <c r="S80" i="3"/>
  <c r="T80" i="3"/>
  <c r="U80" i="3"/>
  <c r="C82" i="3"/>
  <c r="D82" i="3"/>
  <c r="D86" i="3" s="1"/>
  <c r="E82" i="3"/>
  <c r="F82" i="3"/>
  <c r="F86" i="3" s="1"/>
  <c r="G82" i="3"/>
  <c r="V82" i="3"/>
  <c r="V86" i="3" s="1"/>
  <c r="W82" i="3"/>
  <c r="W86" i="3" s="1"/>
  <c r="X82" i="3"/>
  <c r="X86" i="3" s="1"/>
  <c r="Y82" i="3"/>
  <c r="Y86" i="3" s="1"/>
  <c r="Z82" i="3"/>
  <c r="Z86" i="3" s="1"/>
  <c r="AA82" i="3"/>
  <c r="AA86" i="3" s="1"/>
  <c r="AB82" i="3"/>
  <c r="AB86" i="3" s="1"/>
  <c r="AC82" i="3"/>
  <c r="C86" i="3"/>
  <c r="E86" i="3"/>
  <c r="G86" i="3"/>
  <c r="C93" i="3"/>
  <c r="C94" i="3"/>
  <c r="C101" i="3"/>
  <c r="V101" i="3"/>
  <c r="Z101" i="3"/>
  <c r="AA101" i="3"/>
  <c r="AB101" i="3"/>
  <c r="AC101" i="3"/>
  <c r="C8" i="12"/>
  <c r="D8" i="12"/>
  <c r="E8" i="12"/>
  <c r="F8" i="12"/>
  <c r="G8" i="12"/>
  <c r="H8" i="12"/>
  <c r="I8" i="12"/>
  <c r="J8" i="12"/>
  <c r="K8" i="12"/>
  <c r="M8" i="12"/>
  <c r="N8" i="12"/>
  <c r="O8" i="12"/>
  <c r="P8" i="12"/>
  <c r="Q8" i="12"/>
  <c r="R8" i="12"/>
  <c r="S8" i="12"/>
  <c r="C9" i="12"/>
  <c r="D9" i="12"/>
  <c r="E9" i="12"/>
  <c r="F9" i="12"/>
  <c r="G9" i="12"/>
  <c r="H9" i="12"/>
  <c r="I9" i="12"/>
  <c r="J9" i="12"/>
  <c r="K9" i="12"/>
  <c r="L9" i="12"/>
  <c r="M9" i="12"/>
  <c r="N9" i="12"/>
  <c r="O9" i="12"/>
  <c r="P9" i="12"/>
  <c r="Q9" i="12"/>
  <c r="R9" i="12"/>
  <c r="C10" i="12"/>
  <c r="D10" i="12"/>
  <c r="E10" i="12"/>
  <c r="F10" i="12"/>
  <c r="G10" i="12"/>
  <c r="H10" i="12"/>
  <c r="I10" i="12"/>
  <c r="J10" i="12"/>
  <c r="K10" i="12"/>
  <c r="L10" i="12"/>
  <c r="M10" i="12"/>
  <c r="N10" i="12"/>
  <c r="O10" i="12"/>
  <c r="P10" i="12"/>
  <c r="Q10" i="12"/>
  <c r="R10" i="12"/>
  <c r="S10" i="12"/>
  <c r="T10" i="12"/>
  <c r="U10" i="12"/>
  <c r="V10" i="12"/>
  <c r="W10" i="12"/>
  <c r="X10" i="12"/>
  <c r="C11" i="12"/>
  <c r="D11" i="12"/>
  <c r="E11" i="12"/>
  <c r="F11" i="12"/>
  <c r="G11" i="12"/>
  <c r="H11" i="12"/>
  <c r="I11" i="12"/>
  <c r="J11" i="12"/>
  <c r="K11" i="12"/>
  <c r="L11" i="12"/>
  <c r="M11" i="12"/>
  <c r="N11" i="12"/>
  <c r="O11" i="12"/>
  <c r="P11" i="12"/>
  <c r="Q11" i="12"/>
  <c r="R11" i="12"/>
  <c r="C12" i="12"/>
  <c r="D12" i="12"/>
  <c r="E12" i="12"/>
  <c r="F12" i="12"/>
  <c r="G12" i="12"/>
  <c r="H12" i="12"/>
  <c r="I12" i="12"/>
  <c r="J12" i="12"/>
  <c r="K12" i="12"/>
  <c r="P12" i="12"/>
  <c r="C13" i="12"/>
  <c r="D13" i="12"/>
  <c r="D14" i="12" s="1"/>
  <c r="E13" i="12"/>
  <c r="F13" i="12"/>
  <c r="F14" i="12"/>
  <c r="G13" i="12"/>
  <c r="H13" i="12"/>
  <c r="H14" i="12" s="1"/>
  <c r="I13" i="12"/>
  <c r="J13" i="12"/>
  <c r="J14" i="12"/>
  <c r="K13" i="12"/>
  <c r="L13" i="12"/>
  <c r="M13" i="12"/>
  <c r="N13" i="12"/>
  <c r="O13" i="12"/>
  <c r="P13" i="12"/>
  <c r="Q13" i="12"/>
  <c r="R13" i="12"/>
  <c r="S13" i="12"/>
  <c r="E14" i="12"/>
  <c r="I14" i="12"/>
  <c r="C8" i="2"/>
  <c r="D8" i="2"/>
  <c r="D13" i="2" s="1"/>
  <c r="E8" i="2"/>
  <c r="F8" i="2"/>
  <c r="F13" i="2" s="1"/>
  <c r="F15" i="2" s="1"/>
  <c r="G8" i="2"/>
  <c r="H8" i="2"/>
  <c r="I8" i="2"/>
  <c r="J8" i="2"/>
  <c r="J13" i="2" s="1"/>
  <c r="K8" i="2"/>
  <c r="L8" i="2"/>
  <c r="M8" i="2"/>
  <c r="N8" i="2"/>
  <c r="N13" i="2" s="1"/>
  <c r="N15" i="2" s="1"/>
  <c r="O8" i="2"/>
  <c r="P8" i="2"/>
  <c r="Q8" i="2"/>
  <c r="R8" i="2"/>
  <c r="R13" i="2" s="1"/>
  <c r="R15" i="2" s="1"/>
  <c r="R26" i="2" s="1"/>
  <c r="S8" i="2"/>
  <c r="T8" i="2"/>
  <c r="U8" i="2"/>
  <c r="V8" i="2"/>
  <c r="V13" i="2" s="1"/>
  <c r="V15" i="2" s="1"/>
  <c r="W8" i="2"/>
  <c r="X8" i="2"/>
  <c r="X13" i="2" s="1"/>
  <c r="X15" i="2" s="1"/>
  <c r="W13" i="3" s="1"/>
  <c r="Y8" i="2"/>
  <c r="Z8" i="2"/>
  <c r="AA8" i="2"/>
  <c r="AB8" i="2"/>
  <c r="AC8" i="2"/>
  <c r="C9" i="2"/>
  <c r="D9" i="2"/>
  <c r="E9" i="2"/>
  <c r="F9" i="2"/>
  <c r="G9" i="2"/>
  <c r="H9" i="2"/>
  <c r="I9" i="2"/>
  <c r="J9" i="2"/>
  <c r="K9" i="2"/>
  <c r="L9" i="2"/>
  <c r="M9" i="2"/>
  <c r="N9" i="2"/>
  <c r="O9" i="2"/>
  <c r="P9" i="2"/>
  <c r="Q9" i="2"/>
  <c r="Q13" i="2" s="1"/>
  <c r="Q15" i="2" s="1"/>
  <c r="R9" i="2"/>
  <c r="U9" i="2"/>
  <c r="V9" i="2"/>
  <c r="W9" i="2"/>
  <c r="W13" i="2" s="1"/>
  <c r="W15" i="2" s="1"/>
  <c r="X9" i="2"/>
  <c r="Y9" i="2"/>
  <c r="Z9" i="2"/>
  <c r="AB9" i="2"/>
  <c r="AC9" i="2"/>
  <c r="U10" i="2"/>
  <c r="V10" i="2"/>
  <c r="W10" i="2"/>
  <c r="X10" i="2"/>
  <c r="Y10" i="2"/>
  <c r="Z10" i="2"/>
  <c r="AA10" i="2"/>
  <c r="AB10" i="2"/>
  <c r="AC10" i="2"/>
  <c r="C11" i="2"/>
  <c r="D11" i="2"/>
  <c r="E11" i="2"/>
  <c r="F11" i="2"/>
  <c r="G11" i="2"/>
  <c r="H11" i="2"/>
  <c r="I11" i="2"/>
  <c r="J11" i="2"/>
  <c r="K11" i="2"/>
  <c r="L11" i="2"/>
  <c r="M11" i="2"/>
  <c r="N11" i="2"/>
  <c r="O11" i="2"/>
  <c r="P11" i="2"/>
  <c r="Q11" i="2"/>
  <c r="R11" i="2"/>
  <c r="S11" i="2"/>
  <c r="T11" i="2"/>
  <c r="U11" i="2"/>
  <c r="V11" i="2"/>
  <c r="W11" i="2"/>
  <c r="X11" i="2"/>
  <c r="Y11" i="2"/>
  <c r="Z11" i="2"/>
  <c r="AA11" i="2"/>
  <c r="AB11" i="2"/>
  <c r="AC11" i="2"/>
  <c r="C12" i="2"/>
  <c r="D12" i="2"/>
  <c r="E12" i="2"/>
  <c r="F12" i="2"/>
  <c r="G12" i="2"/>
  <c r="H12" i="2"/>
  <c r="I12" i="2"/>
  <c r="J12" i="2"/>
  <c r="K12" i="2"/>
  <c r="L12" i="2"/>
  <c r="M12" i="2"/>
  <c r="N12" i="2"/>
  <c r="O12" i="2"/>
  <c r="P12" i="2"/>
  <c r="R12" i="2"/>
  <c r="U12" i="2"/>
  <c r="V12" i="2"/>
  <c r="W12" i="2"/>
  <c r="X12" i="2"/>
  <c r="Y12" i="2"/>
  <c r="Z12" i="2"/>
  <c r="AA12" i="2"/>
  <c r="AB12" i="2"/>
  <c r="AC12" i="2"/>
  <c r="C13" i="2"/>
  <c r="H13" i="2"/>
  <c r="H15" i="2" s="1"/>
  <c r="H26" i="2" s="1"/>
  <c r="L13" i="2"/>
  <c r="L15" i="2" s="1"/>
  <c r="K13" i="3" s="1"/>
  <c r="P13" i="2"/>
  <c r="P15" i="2" s="1"/>
  <c r="O13" i="3" s="1"/>
  <c r="C14" i="2"/>
  <c r="D14" i="2"/>
  <c r="E14" i="2"/>
  <c r="F14" i="2"/>
  <c r="G14" i="2"/>
  <c r="H14" i="2"/>
  <c r="I14" i="2"/>
  <c r="J14" i="2"/>
  <c r="K14" i="2"/>
  <c r="L14" i="2"/>
  <c r="M14" i="2"/>
  <c r="N14" i="2"/>
  <c r="O14" i="2"/>
  <c r="P14" i="2"/>
  <c r="Q14" i="2"/>
  <c r="R14" i="2"/>
  <c r="S14" i="2"/>
  <c r="T14" i="2"/>
  <c r="U14" i="2"/>
  <c r="V14" i="2"/>
  <c r="W14" i="2"/>
  <c r="X14" i="2"/>
  <c r="Y14" i="2"/>
  <c r="Z14" i="2"/>
  <c r="AA14" i="2"/>
  <c r="AB14" i="2"/>
  <c r="AC14" i="2"/>
  <c r="C18" i="2"/>
  <c r="D18" i="2"/>
  <c r="E18" i="2"/>
  <c r="F18" i="2"/>
  <c r="G18" i="2"/>
  <c r="C21" i="2"/>
  <c r="D21" i="2"/>
  <c r="E21" i="2"/>
  <c r="F21" i="2"/>
  <c r="G21" i="2"/>
  <c r="H21" i="2"/>
  <c r="I21" i="2"/>
  <c r="J21" i="2"/>
  <c r="K21" i="2"/>
  <c r="L21" i="2"/>
  <c r="M21" i="2"/>
  <c r="N21" i="2"/>
  <c r="O21" i="2"/>
  <c r="P21" i="2"/>
  <c r="R21" i="2"/>
  <c r="U21" i="2"/>
  <c r="V21" i="2"/>
  <c r="W21" i="2"/>
  <c r="X21" i="2"/>
  <c r="Y21" i="2"/>
  <c r="Z21" i="2"/>
  <c r="AA21" i="2"/>
  <c r="AB21" i="2"/>
  <c r="AC21" i="2"/>
  <c r="C23" i="2"/>
  <c r="D23" i="2"/>
  <c r="E23" i="2"/>
  <c r="F23" i="2"/>
  <c r="G23" i="2"/>
  <c r="H23" i="2"/>
  <c r="I23" i="2"/>
  <c r="J23" i="2"/>
  <c r="K23" i="2"/>
  <c r="L23" i="2"/>
  <c r="M23" i="2"/>
  <c r="N23" i="2"/>
  <c r="O23" i="2"/>
  <c r="P23" i="2"/>
  <c r="Q23" i="2"/>
  <c r="R23" i="2"/>
  <c r="S23" i="2"/>
  <c r="T23" i="2"/>
  <c r="U23" i="2"/>
  <c r="V23" i="2"/>
  <c r="W23" i="2"/>
  <c r="X23" i="2"/>
  <c r="Y23" i="2"/>
  <c r="Z23" i="2"/>
  <c r="AA23" i="2"/>
  <c r="AB23" i="2"/>
  <c r="AC23" i="2"/>
  <c r="C28" i="2"/>
  <c r="D28" i="2"/>
  <c r="E28" i="2"/>
  <c r="F28" i="2"/>
  <c r="G28" i="2"/>
  <c r="H28" i="2"/>
  <c r="I28" i="2"/>
  <c r="J28" i="2"/>
  <c r="K28" i="2"/>
  <c r="L28" i="2"/>
  <c r="M28" i="2"/>
  <c r="N28" i="2"/>
  <c r="O28" i="2"/>
  <c r="P28" i="2"/>
  <c r="Q28" i="2"/>
  <c r="R28" i="2"/>
  <c r="S28" i="2"/>
  <c r="T28" i="2"/>
  <c r="U28" i="2"/>
  <c r="V28" i="2"/>
  <c r="W28" i="2"/>
  <c r="X28" i="2"/>
  <c r="Y28" i="2"/>
  <c r="Z28" i="2"/>
  <c r="AA28" i="2"/>
  <c r="AB28" i="2"/>
  <c r="AC28" i="2"/>
  <c r="U6" i="11"/>
  <c r="R7" i="11"/>
  <c r="U7" i="11"/>
  <c r="V7" i="11" s="1"/>
  <c r="R8" i="11"/>
  <c r="U8" i="11"/>
  <c r="V8" i="11"/>
  <c r="L11" i="11"/>
  <c r="S13" i="13"/>
  <c r="T13" i="13"/>
  <c r="M18" i="11"/>
  <c r="C19" i="11"/>
  <c r="D19" i="11"/>
  <c r="E19" i="11"/>
  <c r="E20" i="11"/>
  <c r="F19" i="11"/>
  <c r="G19" i="11"/>
  <c r="G20" i="11" s="1"/>
  <c r="H19" i="11"/>
  <c r="I19" i="11"/>
  <c r="I20" i="11"/>
  <c r="J19" i="11"/>
  <c r="K19" i="11"/>
  <c r="K20" i="11" s="1"/>
  <c r="L19" i="11"/>
  <c r="M19" i="11"/>
  <c r="N19" i="11"/>
  <c r="O19" i="11"/>
  <c r="O20" i="11"/>
  <c r="P19" i="11"/>
  <c r="Q19" i="11"/>
  <c r="Q20" i="11" s="1"/>
  <c r="R19" i="11"/>
  <c r="S19" i="11"/>
  <c r="S20" i="11"/>
  <c r="T19" i="11"/>
  <c r="D20" i="11"/>
  <c r="F20" i="11"/>
  <c r="H20" i="11"/>
  <c r="J20" i="11"/>
  <c r="L20" i="11"/>
  <c r="N20" i="11"/>
  <c r="P20" i="11"/>
  <c r="R20" i="11"/>
  <c r="C29" i="11"/>
  <c r="D29" i="11"/>
  <c r="E29" i="11"/>
  <c r="F29" i="11"/>
  <c r="G29" i="11"/>
  <c r="H29" i="11"/>
  <c r="I29" i="11"/>
  <c r="J29" i="11"/>
  <c r="K29" i="11"/>
  <c r="L29" i="11"/>
  <c r="M29" i="11"/>
  <c r="N29" i="11"/>
  <c r="O29" i="11"/>
  <c r="P29" i="11"/>
  <c r="Q29" i="11"/>
  <c r="R29" i="11"/>
  <c r="S29" i="11"/>
  <c r="T29" i="11"/>
  <c r="C31" i="11"/>
  <c r="D31" i="11"/>
  <c r="C18" i="13" s="1"/>
  <c r="E31" i="11"/>
  <c r="D18" i="13" s="1"/>
  <c r="F31" i="11"/>
  <c r="E18" i="13" s="1"/>
  <c r="G31" i="11"/>
  <c r="F18" i="13" s="1"/>
  <c r="H31" i="11"/>
  <c r="G18" i="13" s="1"/>
  <c r="I31" i="11"/>
  <c r="H18" i="13" s="1"/>
  <c r="J31" i="11"/>
  <c r="I18" i="13" s="1"/>
  <c r="K31" i="11"/>
  <c r="J18" i="13" s="1"/>
  <c r="L31" i="11"/>
  <c r="K18" i="13" s="1"/>
  <c r="M31" i="11"/>
  <c r="L18" i="13" s="1"/>
  <c r="N31" i="11"/>
  <c r="M18" i="13" s="1"/>
  <c r="O31" i="11"/>
  <c r="N18" i="13" s="1"/>
  <c r="P31" i="11"/>
  <c r="O18" i="13" s="1"/>
  <c r="Q31" i="11"/>
  <c r="P18" i="13" s="1"/>
  <c r="S31" i="11"/>
  <c r="R18" i="13" s="1"/>
  <c r="T31" i="11"/>
  <c r="S18" i="13" s="1"/>
  <c r="T16" i="16"/>
  <c r="U14" i="1"/>
  <c r="T15" i="1"/>
  <c r="R11" i="3" s="1"/>
  <c r="U15" i="1"/>
  <c r="S11" i="3" s="1"/>
  <c r="R18" i="1"/>
  <c r="T18" i="1"/>
  <c r="U18" i="1"/>
  <c r="S14" i="3"/>
  <c r="P19" i="1"/>
  <c r="P21" i="1"/>
  <c r="P22" i="1" s="1"/>
  <c r="S20" i="1"/>
  <c r="Z20" i="1"/>
  <c r="D21" i="1"/>
  <c r="E21" i="1"/>
  <c r="F21" i="1"/>
  <c r="F22" i="1" s="1"/>
  <c r="G21" i="1"/>
  <c r="H21" i="1"/>
  <c r="H22" i="1" s="1"/>
  <c r="I21" i="1"/>
  <c r="I22" i="1" s="1"/>
  <c r="J21" i="1"/>
  <c r="J22" i="1" s="1"/>
  <c r="K21" i="1"/>
  <c r="L21" i="1"/>
  <c r="L22" i="1"/>
  <c r="M21" i="1"/>
  <c r="N21" i="1"/>
  <c r="N22" i="1" s="1"/>
  <c r="O21" i="1"/>
  <c r="Q21" i="1"/>
  <c r="Q22" i="1" s="1"/>
  <c r="R21" i="1"/>
  <c r="R22" i="1" s="1"/>
  <c r="S21" i="1"/>
  <c r="S22" i="1" s="1"/>
  <c r="V21" i="1"/>
  <c r="V22" i="1" s="1"/>
  <c r="W21" i="1"/>
  <c r="X21" i="1"/>
  <c r="X22" i="1" s="1"/>
  <c r="Y21" i="1"/>
  <c r="Y22" i="1" s="1"/>
  <c r="Z21" i="1"/>
  <c r="Z22" i="1" s="1"/>
  <c r="AA21" i="1"/>
  <c r="AA22" i="1" s="1"/>
  <c r="AB21" i="1"/>
  <c r="AB22" i="1" s="1"/>
  <c r="AC21" i="1"/>
  <c r="AC22" i="1" s="1"/>
  <c r="AD21" i="1"/>
  <c r="AD22" i="1" s="1"/>
  <c r="AE21" i="1"/>
  <c r="AE22" i="1" s="1"/>
  <c r="E22" i="1"/>
  <c r="G22" i="1"/>
  <c r="K22" i="1"/>
  <c r="M22" i="1"/>
  <c r="O22" i="1"/>
  <c r="W22" i="1"/>
  <c r="H28" i="1"/>
  <c r="H18" i="2" s="1"/>
  <c r="H22" i="2" s="1"/>
  <c r="H24" i="2" s="1"/>
  <c r="G24" i="3" s="1"/>
  <c r="I28" i="1"/>
  <c r="J28" i="1"/>
  <c r="K28" i="1"/>
  <c r="J20" i="3" s="1"/>
  <c r="L28" i="1"/>
  <c r="L18" i="2" s="1"/>
  <c r="L22" i="2" s="1"/>
  <c r="L24" i="2" s="1"/>
  <c r="M28" i="1"/>
  <c r="N28" i="1"/>
  <c r="O28" i="1"/>
  <c r="N20" i="3"/>
  <c r="P28" i="1"/>
  <c r="Q28" i="1"/>
  <c r="P20" i="3" s="1"/>
  <c r="R28" i="1"/>
  <c r="S28" i="1"/>
  <c r="S18" i="2" s="1"/>
  <c r="S22" i="2" s="1"/>
  <c r="S24" i="2" s="1"/>
  <c r="T28" i="1"/>
  <c r="U28" i="1"/>
  <c r="S27" i="3" s="1"/>
  <c r="V28" i="1"/>
  <c r="W28" i="1"/>
  <c r="X28" i="1"/>
  <c r="Y28" i="1"/>
  <c r="Z28" i="1"/>
  <c r="AA28" i="1"/>
  <c r="AA32" i="8"/>
  <c r="AB20" i="3"/>
  <c r="AD28" i="1"/>
  <c r="AD18" i="2" s="1"/>
  <c r="AE28" i="1"/>
  <c r="AC27" i="3" s="1"/>
  <c r="Y32" i="1"/>
  <c r="Y35" i="1"/>
  <c r="X9" i="9"/>
  <c r="D38" i="1"/>
  <c r="C20" i="2"/>
  <c r="E38" i="1"/>
  <c r="F38" i="1"/>
  <c r="G38" i="1"/>
  <c r="E23" i="3" s="1"/>
  <c r="H38" i="1"/>
  <c r="I38" i="1"/>
  <c r="J38" i="1"/>
  <c r="K38" i="1"/>
  <c r="I23" i="3" s="1"/>
  <c r="L38" i="1"/>
  <c r="J23" i="3" s="1"/>
  <c r="M38" i="1"/>
  <c r="N38" i="1"/>
  <c r="O38" i="1"/>
  <c r="M23" i="3" s="1"/>
  <c r="P38" i="1"/>
  <c r="Q38" i="1"/>
  <c r="R38" i="1"/>
  <c r="S38" i="1"/>
  <c r="Q23" i="3" s="1"/>
  <c r="T38" i="1"/>
  <c r="R23" i="3" s="1"/>
  <c r="U38" i="1"/>
  <c r="V38" i="1"/>
  <c r="W38" i="1"/>
  <c r="U23" i="3" s="1"/>
  <c r="X38" i="1"/>
  <c r="Y38" i="1"/>
  <c r="Z38" i="1"/>
  <c r="Y23" i="3"/>
  <c r="AB38" i="1"/>
  <c r="Z23" i="3" s="1"/>
  <c r="AC38" i="1"/>
  <c r="AB20" i="2" s="1"/>
  <c r="AD38" i="1"/>
  <c r="AB23" i="3" s="1"/>
  <c r="AE38" i="1"/>
  <c r="AD20" i="2" s="1"/>
  <c r="W16" i="6"/>
  <c r="Y43" i="1"/>
  <c r="D46" i="1"/>
  <c r="C18" i="9" s="1"/>
  <c r="E46" i="1"/>
  <c r="D18" i="9" s="1"/>
  <c r="F46" i="1"/>
  <c r="E18" i="9" s="1"/>
  <c r="G46" i="1"/>
  <c r="F18" i="9"/>
  <c r="H46" i="1"/>
  <c r="I46" i="1"/>
  <c r="J46" i="1"/>
  <c r="K46" i="1"/>
  <c r="J23" i="8" s="1"/>
  <c r="L46" i="1"/>
  <c r="M46" i="1"/>
  <c r="N46" i="1"/>
  <c r="O46" i="1"/>
  <c r="N23" i="8" s="1"/>
  <c r="P46" i="1"/>
  <c r="Q46" i="1"/>
  <c r="R46" i="1"/>
  <c r="S46" i="1"/>
  <c r="R18" i="9" s="1"/>
  <c r="T46" i="1"/>
  <c r="S23" i="8" s="1"/>
  <c r="U46" i="1"/>
  <c r="T23" i="8"/>
  <c r="V46" i="1"/>
  <c r="W46" i="1"/>
  <c r="V23" i="17" s="1"/>
  <c r="X46" i="1"/>
  <c r="Y46" i="1"/>
  <c r="Z46" i="1"/>
  <c r="Z45" i="17"/>
  <c r="AA18" i="9"/>
  <c r="AD46" i="1"/>
  <c r="AC18" i="9" s="1"/>
  <c r="AE46" i="1"/>
  <c r="AD23" i="8" s="1"/>
  <c r="I24" i="15"/>
  <c r="I12" i="15" s="1"/>
  <c r="I12" i="13"/>
  <c r="E24" i="15"/>
  <c r="E12" i="15" s="1"/>
  <c r="E12" i="13"/>
  <c r="J24" i="15"/>
  <c r="J12" i="15" s="1"/>
  <c r="J12" i="13"/>
  <c r="F24" i="15"/>
  <c r="F12" i="15" s="1"/>
  <c r="F12" i="13"/>
  <c r="Q30" i="17"/>
  <c r="M30" i="17"/>
  <c r="T8" i="17"/>
  <c r="L8" i="17"/>
  <c r="D8" i="17"/>
  <c r="L30" i="17"/>
  <c r="J30" i="17"/>
  <c r="H30" i="17"/>
  <c r="O8" i="17"/>
  <c r="G8" i="17"/>
  <c r="U16" i="16"/>
  <c r="T25" i="16"/>
  <c r="T9" i="16"/>
  <c r="T24" i="16"/>
  <c r="S15" i="13"/>
  <c r="T9" i="13"/>
  <c r="T8" i="12"/>
  <c r="T20" i="11"/>
  <c r="P23" i="17"/>
  <c r="L23" i="8"/>
  <c r="E8" i="6"/>
  <c r="D45" i="17"/>
  <c r="Y27" i="3"/>
  <c r="X20" i="3"/>
  <c r="V32" i="8"/>
  <c r="V10" i="8" s="1"/>
  <c r="V11" i="17" s="1"/>
  <c r="N32" i="8"/>
  <c r="N11" i="17" s="1"/>
  <c r="M27" i="3"/>
  <c r="L20" i="3"/>
  <c r="J32" i="8"/>
  <c r="I27" i="3"/>
  <c r="H20" i="3"/>
  <c r="S25" i="3"/>
  <c r="P14" i="3"/>
  <c r="P25" i="3"/>
  <c r="T14" i="1"/>
  <c r="U31" i="11"/>
  <c r="T18" i="13" s="1"/>
  <c r="S22" i="15"/>
  <c r="S21" i="15"/>
  <c r="S10" i="13"/>
  <c r="Q21" i="2"/>
  <c r="S20" i="2"/>
  <c r="K20" i="2"/>
  <c r="K22" i="2" s="1"/>
  <c r="K24" i="2" s="1"/>
  <c r="J24" i="3" s="1"/>
  <c r="W18" i="2"/>
  <c r="O18" i="2"/>
  <c r="K18" i="2"/>
  <c r="I18" i="2"/>
  <c r="Q12" i="2"/>
  <c r="S10" i="2"/>
  <c r="S11" i="12"/>
  <c r="S9" i="12"/>
  <c r="S12" i="12" s="1"/>
  <c r="S14" i="12" s="1"/>
  <c r="AA23" i="8"/>
  <c r="Y23" i="17"/>
  <c r="Y45" i="17"/>
  <c r="Y23" i="8"/>
  <c r="Y18" i="9"/>
  <c r="V8" i="6"/>
  <c r="W23" i="17"/>
  <c r="W45" i="17"/>
  <c r="W23" i="8"/>
  <c r="W18" i="9"/>
  <c r="T8" i="6"/>
  <c r="U23" i="17"/>
  <c r="U45" i="17"/>
  <c r="U23" i="8"/>
  <c r="U18" i="9"/>
  <c r="R8" i="6"/>
  <c r="S23" i="17"/>
  <c r="Q18" i="9"/>
  <c r="O23" i="17"/>
  <c r="O45" i="17"/>
  <c r="O23" i="8"/>
  <c r="O18" i="9"/>
  <c r="L8" i="6"/>
  <c r="M23" i="17"/>
  <c r="M45" i="17"/>
  <c r="M23" i="8"/>
  <c r="M18" i="9"/>
  <c r="J8" i="6"/>
  <c r="K23" i="17"/>
  <c r="K45" i="17"/>
  <c r="K23" i="8"/>
  <c r="K18" i="9"/>
  <c r="H8" i="6"/>
  <c r="I23" i="17"/>
  <c r="I45" i="17"/>
  <c r="I23" i="8"/>
  <c r="I18" i="9"/>
  <c r="F8" i="6"/>
  <c r="G23" i="17"/>
  <c r="G45" i="17"/>
  <c r="G23" i="8"/>
  <c r="G18" i="9"/>
  <c r="D8" i="6"/>
  <c r="E45" i="17"/>
  <c r="C45" i="17"/>
  <c r="X26" i="10"/>
  <c r="U10" i="6"/>
  <c r="Y32" i="8"/>
  <c r="Y10" i="8" s="1"/>
  <c r="Y11" i="17" s="1"/>
  <c r="Y20" i="3"/>
  <c r="V27" i="3"/>
  <c r="U32" i="8"/>
  <c r="U10" i="8" s="1"/>
  <c r="T27" i="3"/>
  <c r="U20" i="3"/>
  <c r="S32" i="8"/>
  <c r="R27" i="3"/>
  <c r="S20" i="3"/>
  <c r="Q32" i="8"/>
  <c r="Q10" i="8" s="1"/>
  <c r="Q11" i="17" s="1"/>
  <c r="P27" i="3"/>
  <c r="Q20" i="3"/>
  <c r="O32" i="8"/>
  <c r="N27" i="3"/>
  <c r="O20" i="3"/>
  <c r="M32" i="8"/>
  <c r="M10" i="8" s="1"/>
  <c r="M11" i="17" s="1"/>
  <c r="J27" i="3"/>
  <c r="I20" i="3"/>
  <c r="R14" i="3"/>
  <c r="T30" i="17"/>
  <c r="T22" i="15"/>
  <c r="T21" i="15"/>
  <c r="T10" i="13"/>
  <c r="L24" i="16"/>
  <c r="K15" i="13"/>
  <c r="L9" i="13"/>
  <c r="T21" i="2"/>
  <c r="Z20" i="2"/>
  <c r="V20" i="2"/>
  <c r="V22" i="2" s="1"/>
  <c r="R20" i="2"/>
  <c r="N20" i="2"/>
  <c r="J20" i="2"/>
  <c r="F20" i="2"/>
  <c r="F22" i="2" s="1"/>
  <c r="F24" i="2" s="1"/>
  <c r="X18" i="2"/>
  <c r="V18" i="2"/>
  <c r="T18" i="2"/>
  <c r="R18" i="2"/>
  <c r="R22" i="2"/>
  <c r="P18" i="2"/>
  <c r="P22" i="2" s="1"/>
  <c r="P24" i="2" s="1"/>
  <c r="O24" i="3" s="1"/>
  <c r="T12" i="2"/>
  <c r="T10" i="2"/>
  <c r="T13" i="2" s="1"/>
  <c r="T15" i="2" s="1"/>
  <c r="T9" i="2"/>
  <c r="T11" i="12"/>
  <c r="T9" i="12"/>
  <c r="L8" i="12"/>
  <c r="L12" i="12" s="1"/>
  <c r="L14" i="12" s="1"/>
  <c r="Y34" i="3"/>
  <c r="Q33" i="8"/>
  <c r="Y33" i="8"/>
  <c r="T8" i="16"/>
  <c r="T26" i="16"/>
  <c r="L8" i="16"/>
  <c r="L26" i="16"/>
  <c r="T10" i="15"/>
  <c r="O10" i="8"/>
  <c r="O11" i="17" s="1"/>
  <c r="O33" i="8"/>
  <c r="S10" i="8"/>
  <c r="S11" i="17" s="1"/>
  <c r="S33" i="8"/>
  <c r="S10" i="15"/>
  <c r="S25" i="10"/>
  <c r="S10" i="10" s="1"/>
  <c r="S30" i="17" s="1"/>
  <c r="R10" i="3"/>
  <c r="S9" i="2"/>
  <c r="T21" i="1"/>
  <c r="T22" i="1"/>
  <c r="J10" i="8"/>
  <c r="J33" i="8"/>
  <c r="N33" i="8"/>
  <c r="X16" i="6"/>
  <c r="Z34" i="3"/>
  <c r="W31" i="11"/>
  <c r="V18" i="13" s="1"/>
  <c r="V31" i="11"/>
  <c r="U18" i="13" s="1"/>
  <c r="J11" i="17"/>
  <c r="Y30" i="17"/>
  <c r="U11" i="17"/>
  <c r="G12" i="18"/>
  <c r="E51" i="18"/>
  <c r="AD32" i="8"/>
  <c r="AD10" i="8" s="1"/>
  <c r="Z20" i="3"/>
  <c r="AA18" i="2"/>
  <c r="Z32" i="8"/>
  <c r="Z33" i="8" s="1"/>
  <c r="P14" i="12"/>
  <c r="P12" i="13"/>
  <c r="K14" i="12"/>
  <c r="G14" i="12"/>
  <c r="G24" i="15" s="1"/>
  <c r="G12" i="15" s="1"/>
  <c r="C14" i="12"/>
  <c r="R12" i="12"/>
  <c r="R14" i="12" s="1"/>
  <c r="R24" i="15" s="1"/>
  <c r="R12" i="15" s="1"/>
  <c r="N12" i="12"/>
  <c r="N14" i="12" s="1"/>
  <c r="J15" i="2"/>
  <c r="I13" i="3" s="1"/>
  <c r="S24" i="15"/>
  <c r="S12" i="15" s="1"/>
  <c r="S12" i="13"/>
  <c r="V24" i="2"/>
  <c r="U24" i="3" s="1"/>
  <c r="Z23" i="8"/>
  <c r="X23" i="17"/>
  <c r="T45" i="17"/>
  <c r="T18" i="9"/>
  <c r="T23" i="17"/>
  <c r="Q8" i="6"/>
  <c r="R23" i="17"/>
  <c r="R23" i="8"/>
  <c r="O8" i="6"/>
  <c r="R45" i="17"/>
  <c r="P45" i="17"/>
  <c r="P23" i="8"/>
  <c r="N18" i="9"/>
  <c r="L18" i="9"/>
  <c r="I8" i="6"/>
  <c r="J45" i="17"/>
  <c r="H18" i="9"/>
  <c r="F45" i="17"/>
  <c r="C8" i="6"/>
  <c r="W23" i="3"/>
  <c r="X20" i="2"/>
  <c r="X22" i="2"/>
  <c r="X24" i="2" s="1"/>
  <c r="W24" i="3" s="1"/>
  <c r="S23" i="3"/>
  <c r="T20" i="2"/>
  <c r="O23" i="3"/>
  <c r="P20" i="2"/>
  <c r="K23" i="3"/>
  <c r="L20" i="2"/>
  <c r="G23" i="3"/>
  <c r="H20" i="2"/>
  <c r="C23" i="3"/>
  <c r="D20" i="2"/>
  <c r="D22" i="2" s="1"/>
  <c r="D24" i="2" s="1"/>
  <c r="S12" i="2"/>
  <c r="S21" i="2"/>
  <c r="R25" i="3"/>
  <c r="U21" i="1"/>
  <c r="U22" i="1"/>
  <c r="S10" i="3"/>
  <c r="U29" i="11"/>
  <c r="U25" i="16" s="1"/>
  <c r="U13" i="12"/>
  <c r="P26" i="2"/>
  <c r="D15" i="2"/>
  <c r="G12" i="13"/>
  <c r="C24" i="15"/>
  <c r="C12" i="15" s="1"/>
  <c r="C12" i="13"/>
  <c r="Q12" i="12"/>
  <c r="Q14" i="12"/>
  <c r="O12" i="12"/>
  <c r="O14" i="12"/>
  <c r="M12" i="12"/>
  <c r="M14" i="12"/>
  <c r="U19" i="11"/>
  <c r="U20" i="11" s="1"/>
  <c r="X23" i="3"/>
  <c r="Y20" i="2"/>
  <c r="T23" i="3"/>
  <c r="U20" i="2"/>
  <c r="P23" i="3"/>
  <c r="Q20" i="2"/>
  <c r="L23" i="3"/>
  <c r="M20" i="2"/>
  <c r="H23" i="3"/>
  <c r="I20" i="2"/>
  <c r="I22" i="2" s="1"/>
  <c r="I24" i="2" s="1"/>
  <c r="D23" i="3"/>
  <c r="E20" i="2"/>
  <c r="E22" i="2" s="1"/>
  <c r="E24" i="2" s="1"/>
  <c r="D24" i="3" s="1"/>
  <c r="X32" i="8"/>
  <c r="W27" i="3"/>
  <c r="Y18" i="2"/>
  <c r="T32" i="8"/>
  <c r="T10" i="8" s="1"/>
  <c r="T11" i="17" s="1"/>
  <c r="U18" i="2"/>
  <c r="U22" i="2" s="1"/>
  <c r="U24" i="2" s="1"/>
  <c r="O27" i="3"/>
  <c r="L32" i="8"/>
  <c r="K27" i="3"/>
  <c r="M18" i="2"/>
  <c r="H32" i="8"/>
  <c r="H33" i="8" s="1"/>
  <c r="G27" i="3"/>
  <c r="M20" i="11"/>
  <c r="Y8" i="11"/>
  <c r="Z8" i="11" s="1"/>
  <c r="AA8" i="11" s="1"/>
  <c r="U11" i="12"/>
  <c r="V16" i="16"/>
  <c r="T13" i="12"/>
  <c r="P24" i="15"/>
  <c r="P12" i="15" s="1"/>
  <c r="D94" i="3"/>
  <c r="G94" i="3"/>
  <c r="C63" i="13"/>
  <c r="E63" i="13"/>
  <c r="D63" i="13"/>
  <c r="Y101" i="3"/>
  <c r="R31" i="10"/>
  <c r="R15" i="10" s="1"/>
  <c r="P31" i="10"/>
  <c r="P15" i="10" s="1"/>
  <c r="P26" i="15"/>
  <c r="P14" i="15" s="1"/>
  <c r="U37" i="8"/>
  <c r="U13" i="8" s="1"/>
  <c r="D13" i="19"/>
  <c r="G14" i="18"/>
  <c r="C11" i="16"/>
  <c r="D15" i="16"/>
  <c r="S26" i="16"/>
  <c r="Q26" i="16"/>
  <c r="O26" i="16"/>
  <c r="M26" i="16"/>
  <c r="J26" i="16"/>
  <c r="H26" i="16"/>
  <c r="F26" i="16"/>
  <c r="D26" i="16"/>
  <c r="K24" i="15"/>
  <c r="K12" i="15" s="1"/>
  <c r="K12" i="13"/>
  <c r="R12" i="13"/>
  <c r="Y22" i="2"/>
  <c r="Y24" i="2" s="1"/>
  <c r="X24" i="3" s="1"/>
  <c r="J26" i="2"/>
  <c r="G13" i="3"/>
  <c r="L26" i="2"/>
  <c r="H10" i="8"/>
  <c r="H11" i="17" s="1"/>
  <c r="X33" i="8"/>
  <c r="X10" i="8"/>
  <c r="U21" i="15"/>
  <c r="U10" i="15" s="1"/>
  <c r="U10" i="13"/>
  <c r="V10" i="13"/>
  <c r="U9" i="12"/>
  <c r="Y7" i="11"/>
  <c r="L10" i="8"/>
  <c r="L11" i="17" s="1"/>
  <c r="L33" i="8"/>
  <c r="T33" i="8"/>
  <c r="E27" i="2"/>
  <c r="U9" i="13"/>
  <c r="U24" i="16"/>
  <c r="T15" i="13"/>
  <c r="U8" i="12"/>
  <c r="M24" i="15"/>
  <c r="M12" i="15" s="1"/>
  <c r="M12" i="13"/>
  <c r="Q24" i="15"/>
  <c r="Q12" i="15" s="1"/>
  <c r="Q12" i="13"/>
  <c r="Q13" i="3"/>
  <c r="X26" i="2"/>
  <c r="V13" i="12"/>
  <c r="V27" i="2"/>
  <c r="V13" i="13"/>
  <c r="U13" i="13"/>
  <c r="O24" i="15"/>
  <c r="O12" i="15" s="1"/>
  <c r="O12" i="13"/>
  <c r="P27" i="2"/>
  <c r="P29" i="2" s="1"/>
  <c r="P28" i="10" s="1"/>
  <c r="P12" i="10" s="1"/>
  <c r="W13" i="12"/>
  <c r="Y6" i="11"/>
  <c r="Z6" i="11" s="1"/>
  <c r="V21" i="15"/>
  <c r="V10" i="15" s="1"/>
  <c r="AB30" i="17" s="1"/>
  <c r="V9" i="12"/>
  <c r="X11" i="17"/>
  <c r="X16" i="11"/>
  <c r="W13" i="13" s="1"/>
  <c r="U8" i="16"/>
  <c r="X13" i="12"/>
  <c r="G25" i="18" l="1"/>
  <c r="H25" i="18" s="1"/>
  <c r="R24" i="9"/>
  <c r="C12" i="6"/>
  <c r="C15" i="6" s="1"/>
  <c r="D70" i="13"/>
  <c r="G63" i="13"/>
  <c r="H70" i="13"/>
  <c r="H63" i="13"/>
  <c r="D55" i="13"/>
  <c r="F63" i="13"/>
  <c r="AB36" i="17"/>
  <c r="M70" i="13"/>
  <c r="R33" i="17"/>
  <c r="J101" i="3"/>
  <c r="AC23" i="8"/>
  <c r="AA6" i="11"/>
  <c r="Z13" i="12" s="1"/>
  <c r="Y13" i="12"/>
  <c r="T12" i="6"/>
  <c r="T15" i="6" s="1"/>
  <c r="T17" i="6" s="1"/>
  <c r="AB37" i="6" s="1"/>
  <c r="I12" i="6"/>
  <c r="I15" i="6" s="1"/>
  <c r="I17" i="6" s="1"/>
  <c r="E12" i="6"/>
  <c r="E15" i="6" s="1"/>
  <c r="E17" i="6" s="1"/>
  <c r="Q12" i="6"/>
  <c r="Q15" i="6" s="1"/>
  <c r="Q17" i="6" s="1"/>
  <c r="J12" i="6"/>
  <c r="J15" i="6" s="1"/>
  <c r="J17" i="6" s="1"/>
  <c r="L27" i="6" s="1"/>
  <c r="T26" i="15"/>
  <c r="T14" i="15" s="1"/>
  <c r="Z36" i="17" s="1"/>
  <c r="S70" i="13"/>
  <c r="E70" i="13"/>
  <c r="C26" i="15"/>
  <c r="C14" i="15" s="1"/>
  <c r="Z62" i="13"/>
  <c r="K14" i="13"/>
  <c r="K16" i="13" s="1"/>
  <c r="K69" i="13" s="1"/>
  <c r="I14" i="13"/>
  <c r="I16" i="13" s="1"/>
  <c r="I69" i="13" s="1"/>
  <c r="E14" i="13"/>
  <c r="E16" i="13" s="1"/>
  <c r="E69" i="13" s="1"/>
  <c r="AD33" i="17"/>
  <c r="W33" i="17"/>
  <c r="W62" i="13"/>
  <c r="I70" i="13"/>
  <c r="AA33" i="17"/>
  <c r="O14" i="13"/>
  <c r="O16" i="13" s="1"/>
  <c r="O19" i="13" s="1"/>
  <c r="L70" i="13"/>
  <c r="O70" i="13"/>
  <c r="AA36" i="17"/>
  <c r="S33" i="17"/>
  <c r="O33" i="17"/>
  <c r="Z55" i="13"/>
  <c r="Z63" i="13"/>
  <c r="S93" i="3"/>
  <c r="D93" i="3"/>
  <c r="P101" i="3"/>
  <c r="AE93" i="3"/>
  <c r="J26" i="3"/>
  <c r="J28" i="3" s="1"/>
  <c r="J32" i="3" s="1"/>
  <c r="H101" i="3"/>
  <c r="R36" i="17"/>
  <c r="K101" i="3"/>
  <c r="N101" i="3"/>
  <c r="AA93" i="3"/>
  <c r="W15" i="3"/>
  <c r="W17" i="3" s="1"/>
  <c r="W31" i="3" s="1"/>
  <c r="AD86" i="3"/>
  <c r="V26" i="2"/>
  <c r="V29" i="2" s="1"/>
  <c r="V28" i="10" s="1"/>
  <c r="V12" i="10" s="1"/>
  <c r="V32" i="17" s="1"/>
  <c r="U13" i="3"/>
  <c r="U15" i="3" s="1"/>
  <c r="U17" i="3" s="1"/>
  <c r="U31" i="3" s="1"/>
  <c r="R24" i="3"/>
  <c r="S27" i="2"/>
  <c r="H27" i="2"/>
  <c r="H29" i="2" s="1"/>
  <c r="H28" i="10" s="1"/>
  <c r="H12" i="10" s="1"/>
  <c r="H32" i="17" s="1"/>
  <c r="T26" i="2"/>
  <c r="S13" i="3"/>
  <c r="S15" i="3" s="1"/>
  <c r="S17" i="3" s="1"/>
  <c r="S31" i="3" s="1"/>
  <c r="F27" i="2"/>
  <c r="E24" i="3"/>
  <c r="E13" i="19"/>
  <c r="V37" i="8"/>
  <c r="V13" i="8" s="1"/>
  <c r="I27" i="2"/>
  <c r="H24" i="3"/>
  <c r="H26" i="3" s="1"/>
  <c r="D26" i="2"/>
  <c r="D29" i="2" s="1"/>
  <c r="D28" i="10" s="1"/>
  <c r="D12" i="10" s="1"/>
  <c r="D32" i="17" s="1"/>
  <c r="C13" i="3"/>
  <c r="C15" i="3" s="1"/>
  <c r="C17" i="3" s="1"/>
  <c r="C31" i="3" s="1"/>
  <c r="C24" i="3"/>
  <c r="D27" i="2"/>
  <c r="X27" i="2"/>
  <c r="X29" i="2" s="1"/>
  <c r="X28" i="10" s="1"/>
  <c r="X12" i="10" s="1"/>
  <c r="X32" i="17" s="1"/>
  <c r="U27" i="2"/>
  <c r="T24" i="3"/>
  <c r="K27" i="2"/>
  <c r="V13" i="3"/>
  <c r="W26" i="2"/>
  <c r="K24" i="3"/>
  <c r="K26" i="3" s="1"/>
  <c r="K28" i="3" s="1"/>
  <c r="K32" i="3" s="1"/>
  <c r="L27" i="2"/>
  <c r="L29" i="2" s="1"/>
  <c r="L28" i="10" s="1"/>
  <c r="L12" i="10" s="1"/>
  <c r="L32" i="17" s="1"/>
  <c r="M13" i="3"/>
  <c r="N26" i="2"/>
  <c r="E13" i="3"/>
  <c r="E15" i="3" s="1"/>
  <c r="E17" i="3" s="1"/>
  <c r="E31" i="3" s="1"/>
  <c r="F26" i="2"/>
  <c r="F29" i="2" s="1"/>
  <c r="F28" i="10" s="1"/>
  <c r="F12" i="10" s="1"/>
  <c r="F32" i="17" s="1"/>
  <c r="V27" i="6"/>
  <c r="S8" i="6"/>
  <c r="S12" i="6" s="1"/>
  <c r="S15" i="6" s="1"/>
  <c r="S17" i="6" s="1"/>
  <c r="V33" i="8"/>
  <c r="P8" i="6"/>
  <c r="AE37" i="6"/>
  <c r="AH37" i="6"/>
  <c r="Q27" i="3"/>
  <c r="Y8" i="6"/>
  <c r="Y12" i="6" s="1"/>
  <c r="Y15" i="6" s="1"/>
  <c r="AB18" i="9"/>
  <c r="U8" i="6"/>
  <c r="U12" i="6" s="1"/>
  <c r="U15" i="6" s="1"/>
  <c r="U17" i="6" s="1"/>
  <c r="X23" i="8"/>
  <c r="X18" i="9"/>
  <c r="Q23" i="17"/>
  <c r="N8" i="6"/>
  <c r="N12" i="6" s="1"/>
  <c r="N15" i="6" s="1"/>
  <c r="Q23" i="8"/>
  <c r="L27" i="3"/>
  <c r="N18" i="2"/>
  <c r="N22" i="2" s="1"/>
  <c r="N24" i="2" s="1"/>
  <c r="J18" i="2"/>
  <c r="J22" i="2" s="1"/>
  <c r="J24" i="2" s="1"/>
  <c r="H27" i="3"/>
  <c r="M13" i="2"/>
  <c r="M15" i="2" s="1"/>
  <c r="I13" i="2"/>
  <c r="I15" i="2" s="1"/>
  <c r="E13" i="2"/>
  <c r="E15" i="2" s="1"/>
  <c r="AB93" i="3"/>
  <c r="P12" i="6"/>
  <c r="P15" i="6" s="1"/>
  <c r="P17" i="6" s="1"/>
  <c r="U33" i="6" s="1"/>
  <c r="E10" i="8"/>
  <c r="E11" i="17" s="1"/>
  <c r="E33" i="8"/>
  <c r="K93" i="3"/>
  <c r="S101" i="3"/>
  <c r="P32" i="8"/>
  <c r="S13" i="2"/>
  <c r="S15" i="2" s="1"/>
  <c r="R13" i="3" s="1"/>
  <c r="R15" i="3" s="1"/>
  <c r="R17" i="3" s="1"/>
  <c r="R31" i="3" s="1"/>
  <c r="AB23" i="8"/>
  <c r="C53" i="18" s="1"/>
  <c r="C61" i="18" s="1"/>
  <c r="U33" i="8"/>
  <c r="T22" i="2"/>
  <c r="T24" i="2" s="1"/>
  <c r="I32" i="8"/>
  <c r="T20" i="3"/>
  <c r="T26" i="3" s="1"/>
  <c r="T28" i="3" s="1"/>
  <c r="T32" i="3" s="1"/>
  <c r="M8" i="6"/>
  <c r="M12" i="6" s="1"/>
  <c r="M15" i="6" s="1"/>
  <c r="M17" i="6" s="1"/>
  <c r="R30" i="6" s="1"/>
  <c r="P18" i="9"/>
  <c r="L45" i="17"/>
  <c r="L23" i="17"/>
  <c r="H23" i="17"/>
  <c r="H45" i="17"/>
  <c r="H23" i="8"/>
  <c r="V23" i="3"/>
  <c r="W20" i="2"/>
  <c r="N23" i="3"/>
  <c r="O20" i="2"/>
  <c r="O22" i="2" s="1"/>
  <c r="O24" i="2" s="1"/>
  <c r="O27" i="2" s="1"/>
  <c r="F23" i="3"/>
  <c r="G20" i="2"/>
  <c r="G22" i="2" s="1"/>
  <c r="G24" i="2" s="1"/>
  <c r="C22" i="2"/>
  <c r="C24" i="2" s="1"/>
  <c r="C27" i="2" s="1"/>
  <c r="W32" i="8"/>
  <c r="W20" i="3"/>
  <c r="W26" i="3" s="1"/>
  <c r="W28" i="3" s="1"/>
  <c r="W32" i="3" s="1"/>
  <c r="W33" i="3" s="1"/>
  <c r="E53" i="18"/>
  <c r="W22" i="2"/>
  <c r="W24" i="2" s="1"/>
  <c r="W27" i="2" s="1"/>
  <c r="W29" i="2" s="1"/>
  <c r="W28" i="10" s="1"/>
  <c r="W12" i="10" s="1"/>
  <c r="W32" i="17" s="1"/>
  <c r="V45" i="17"/>
  <c r="V18" i="9"/>
  <c r="V23" i="8"/>
  <c r="S45" i="17"/>
  <c r="S18" i="9"/>
  <c r="U27" i="3"/>
  <c r="V20" i="3"/>
  <c r="R20" i="3"/>
  <c r="R32" i="8"/>
  <c r="K20" i="3"/>
  <c r="K32" i="8"/>
  <c r="G32" i="8"/>
  <c r="G20" i="3"/>
  <c r="G26" i="3" s="1"/>
  <c r="G28" i="3" s="1"/>
  <c r="G32" i="3" s="1"/>
  <c r="C15" i="2"/>
  <c r="C26" i="2" s="1"/>
  <c r="Y13" i="2"/>
  <c r="Y15" i="2" s="1"/>
  <c r="U13" i="2"/>
  <c r="U15" i="2" s="1"/>
  <c r="O13" i="2"/>
  <c r="O15" i="2" s="1"/>
  <c r="K13" i="2"/>
  <c r="K15" i="2" s="1"/>
  <c r="G13" i="2"/>
  <c r="G15" i="2" s="1"/>
  <c r="S27" i="9"/>
  <c r="I101" i="3"/>
  <c r="W101" i="3"/>
  <c r="M22" i="2"/>
  <c r="M24" i="2" s="1"/>
  <c r="Q18" i="2"/>
  <c r="Q22" i="2" s="1"/>
  <c r="Q24" i="2" s="1"/>
  <c r="X45" i="17"/>
  <c r="M33" i="8"/>
  <c r="R24" i="2"/>
  <c r="F27" i="3"/>
  <c r="M20" i="3"/>
  <c r="Q45" i="17"/>
  <c r="N45" i="17"/>
  <c r="N23" i="17"/>
  <c r="K8" i="6"/>
  <c r="J23" i="17"/>
  <c r="J18" i="9"/>
  <c r="G8" i="6"/>
  <c r="G12" i="6" s="1"/>
  <c r="G15" i="6" s="1"/>
  <c r="X27" i="3"/>
  <c r="Z18" i="2"/>
  <c r="Z22" i="2" s="1"/>
  <c r="Z24" i="2" s="1"/>
  <c r="C36" i="8"/>
  <c r="D7" i="9" s="1"/>
  <c r="Z30" i="17"/>
  <c r="K12" i="6"/>
  <c r="K15" i="6" s="1"/>
  <c r="K17" i="6" s="1"/>
  <c r="Q28" i="6" s="1"/>
  <c r="H12" i="6"/>
  <c r="H15" i="6" s="1"/>
  <c r="H17" i="6" s="1"/>
  <c r="H25" i="6" s="1"/>
  <c r="V12" i="6"/>
  <c r="V15" i="6" s="1"/>
  <c r="V17" i="6" s="1"/>
  <c r="W39" i="6" s="1"/>
  <c r="G24" i="18"/>
  <c r="H24" i="18" s="1"/>
  <c r="X13" i="11"/>
  <c r="W10" i="13" s="1"/>
  <c r="Z8" i="6"/>
  <c r="Z12" i="6" s="1"/>
  <c r="Z15" i="6" s="1"/>
  <c r="AA23" i="3"/>
  <c r="AA27" i="3"/>
  <c r="Q33" i="6"/>
  <c r="W37" i="6"/>
  <c r="O12" i="6"/>
  <c r="O15" i="6" s="1"/>
  <c r="O17" i="6" s="1"/>
  <c r="P32" i="6" s="1"/>
  <c r="D12" i="6"/>
  <c r="D15" i="6" s="1"/>
  <c r="D17" i="6" s="1"/>
  <c r="O27" i="6"/>
  <c r="J25" i="6"/>
  <c r="F12" i="6"/>
  <c r="F15" i="6" s="1"/>
  <c r="F17" i="6" s="1"/>
  <c r="R23" i="6" s="1"/>
  <c r="L12" i="6"/>
  <c r="L15" i="6" s="1"/>
  <c r="P28" i="6"/>
  <c r="C50" i="6"/>
  <c r="C17" i="6"/>
  <c r="V30" i="6"/>
  <c r="S30" i="6"/>
  <c r="O30" i="6"/>
  <c r="T30" i="6"/>
  <c r="Q30" i="6"/>
  <c r="W30" i="6"/>
  <c r="M27" i="6"/>
  <c r="W33" i="6"/>
  <c r="Z37" i="6"/>
  <c r="K27" i="6"/>
  <c r="I25" i="6"/>
  <c r="R25" i="6"/>
  <c r="AF37" i="6"/>
  <c r="T27" i="6"/>
  <c r="Q27" i="6"/>
  <c r="N25" i="6"/>
  <c r="R12" i="6"/>
  <c r="R15" i="6" s="1"/>
  <c r="L62" i="13"/>
  <c r="E62" i="13"/>
  <c r="N70" i="13"/>
  <c r="R26" i="15"/>
  <c r="R14" i="15" s="1"/>
  <c r="X36" i="17" s="1"/>
  <c r="C70" i="13"/>
  <c r="D62" i="13"/>
  <c r="AD36" i="17"/>
  <c r="O62" i="13"/>
  <c r="J14" i="13"/>
  <c r="J16" i="13" s="1"/>
  <c r="J69" i="13" s="1"/>
  <c r="M14" i="13"/>
  <c r="M16" i="13" s="1"/>
  <c r="M69" i="13" s="1"/>
  <c r="Z33" i="17"/>
  <c r="N33" i="17"/>
  <c r="J70" i="13"/>
  <c r="G14" i="13"/>
  <c r="G16" i="13" s="1"/>
  <c r="G69" i="13" s="1"/>
  <c r="S14" i="13"/>
  <c r="S16" i="13" s="1"/>
  <c r="S19" i="13" s="1"/>
  <c r="AB40" i="13" s="1"/>
  <c r="W36" i="14" s="1"/>
  <c r="K70" i="13"/>
  <c r="C62" i="13"/>
  <c r="V33" i="17"/>
  <c r="Q26" i="15"/>
  <c r="Q14" i="15" s="1"/>
  <c r="W36" i="17" s="1"/>
  <c r="Q70" i="13"/>
  <c r="F62" i="13"/>
  <c r="N62" i="13"/>
  <c r="X62" i="13"/>
  <c r="I62" i="13"/>
  <c r="Q62" i="13"/>
  <c r="J62" i="13"/>
  <c r="R62" i="13"/>
  <c r="F26" i="15"/>
  <c r="F14" i="15" s="1"/>
  <c r="L36" i="17" s="1"/>
  <c r="M62" i="13"/>
  <c r="U62" i="13"/>
  <c r="G62" i="13"/>
  <c r="J19" i="13"/>
  <c r="T62" i="13"/>
  <c r="H55" i="13"/>
  <c r="P32" i="17"/>
  <c r="S36" i="17"/>
  <c r="M33" i="17"/>
  <c r="R14" i="13"/>
  <c r="R16" i="13" s="1"/>
  <c r="R69" i="13" s="1"/>
  <c r="S62" i="13"/>
  <c r="K62" i="13"/>
  <c r="C14" i="13"/>
  <c r="C16" i="13" s="1"/>
  <c r="G70" i="13"/>
  <c r="P62" i="13"/>
  <c r="H62" i="13"/>
  <c r="AC36" i="17"/>
  <c r="Y33" i="17"/>
  <c r="Q14" i="13"/>
  <c r="Q16" i="13" s="1"/>
  <c r="Q19" i="13" s="1"/>
  <c r="P14" i="13"/>
  <c r="P16" i="13" s="1"/>
  <c r="F14" i="13"/>
  <c r="F16" i="13" s="1"/>
  <c r="U33" i="17"/>
  <c r="X28" i="11"/>
  <c r="Y28" i="11" s="1"/>
  <c r="X27" i="11"/>
  <c r="Y27" i="11" s="1"/>
  <c r="Y16" i="11"/>
  <c r="V11" i="12"/>
  <c r="AD18" i="9"/>
  <c r="AD40" i="1"/>
  <c r="AA34" i="3"/>
  <c r="AC20" i="2"/>
  <c r="AC20" i="3"/>
  <c r="AC18" i="2"/>
  <c r="AA13" i="2"/>
  <c r="AA15" i="2" s="1"/>
  <c r="Z13" i="3" s="1"/>
  <c r="Z15" i="3" s="1"/>
  <c r="Z17" i="3" s="1"/>
  <c r="Z31" i="3" s="1"/>
  <c r="AC32" i="8"/>
  <c r="AA20" i="3"/>
  <c r="G29" i="18"/>
  <c r="H29" i="18" s="1"/>
  <c r="W11" i="12"/>
  <c r="V19" i="11"/>
  <c r="V20" i="11" s="1"/>
  <c r="T12" i="12"/>
  <c r="T14" i="12" s="1"/>
  <c r="T12" i="13" s="1"/>
  <c r="T14" i="13" s="1"/>
  <c r="T16" i="13" s="1"/>
  <c r="U12" i="12"/>
  <c r="U14" i="12" s="1"/>
  <c r="T24" i="15"/>
  <c r="T12" i="15" s="1"/>
  <c r="AA30" i="17"/>
  <c r="U9" i="16"/>
  <c r="U26" i="16"/>
  <c r="W8" i="6"/>
  <c r="W12" i="6" s="1"/>
  <c r="W15" i="6" s="1"/>
  <c r="AA23" i="17"/>
  <c r="AE18" i="9"/>
  <c r="AE23" i="8"/>
  <c r="AB8" i="6"/>
  <c r="AB12" i="6" s="1"/>
  <c r="AB15" i="6" s="1"/>
  <c r="AA45" i="17"/>
  <c r="Z23" i="17"/>
  <c r="AA8" i="6"/>
  <c r="AA12" i="6" s="1"/>
  <c r="AA15" i="6" s="1"/>
  <c r="X8" i="6"/>
  <c r="X12" i="6" s="1"/>
  <c r="X15" i="6" s="1"/>
  <c r="Z18" i="9"/>
  <c r="X31" i="11"/>
  <c r="W18" i="13" s="1"/>
  <c r="Y16" i="6"/>
  <c r="AA20" i="2"/>
  <c r="AA22" i="2" s="1"/>
  <c r="AA24" i="2" s="1"/>
  <c r="Z24" i="3" s="1"/>
  <c r="Z26" i="3" s="1"/>
  <c r="Z10" i="8"/>
  <c r="Z27" i="3"/>
  <c r="AB27" i="3"/>
  <c r="AA10" i="8"/>
  <c r="AA33" i="8"/>
  <c r="AD33" i="8"/>
  <c r="AB32" i="8"/>
  <c r="AB18" i="2"/>
  <c r="AB22" i="2" s="1"/>
  <c r="AB24" i="2" s="1"/>
  <c r="AD27" i="3"/>
  <c r="AE32" i="8"/>
  <c r="Z13" i="2"/>
  <c r="Z15" i="2" s="1"/>
  <c r="AB13" i="2"/>
  <c r="AB15" i="2" s="1"/>
  <c r="AB26" i="2" s="1"/>
  <c r="AC13" i="2"/>
  <c r="AC15" i="2" s="1"/>
  <c r="AC26" i="2" s="1"/>
  <c r="AE13" i="2"/>
  <c r="AE15" i="2" s="1"/>
  <c r="AE26" i="2" s="1"/>
  <c r="Y13" i="3"/>
  <c r="Y15" i="3" s="1"/>
  <c r="Y17" i="3" s="1"/>
  <c r="Y31" i="3" s="1"/>
  <c r="Z26" i="2"/>
  <c r="AA13" i="3"/>
  <c r="AA15" i="3" s="1"/>
  <c r="AA17" i="3" s="1"/>
  <c r="AA31" i="3" s="1"/>
  <c r="AD13" i="2"/>
  <c r="AD15" i="2" s="1"/>
  <c r="AC33" i="17"/>
  <c r="Y36" i="17"/>
  <c r="O36" i="17"/>
  <c r="K36" i="17"/>
  <c r="G19" i="13"/>
  <c r="I55" i="13"/>
  <c r="K63" i="13"/>
  <c r="O63" i="13"/>
  <c r="S63" i="13"/>
  <c r="W63" i="13"/>
  <c r="P63" i="13"/>
  <c r="X63" i="13"/>
  <c r="N63" i="13"/>
  <c r="R63" i="13"/>
  <c r="I63" i="13"/>
  <c r="M63" i="13"/>
  <c r="Q63" i="13"/>
  <c r="U63" i="13"/>
  <c r="L63" i="13"/>
  <c r="T63" i="13"/>
  <c r="V62" i="13"/>
  <c r="AB33" i="17"/>
  <c r="X33" i="17"/>
  <c r="T33" i="17"/>
  <c r="P33" i="17"/>
  <c r="L33" i="17"/>
  <c r="P36" i="17"/>
  <c r="T36" i="17"/>
  <c r="U36" i="17"/>
  <c r="Q36" i="17"/>
  <c r="M36" i="17"/>
  <c r="J63" i="13"/>
  <c r="Y62" i="13"/>
  <c r="V63" i="13"/>
  <c r="Y63" i="13"/>
  <c r="E94" i="3"/>
  <c r="L93" i="3"/>
  <c r="K15" i="3"/>
  <c r="K17" i="3" s="1"/>
  <c r="K31" i="3" s="1"/>
  <c r="G15" i="3"/>
  <c r="G17" i="3" s="1"/>
  <c r="G31" i="3" s="1"/>
  <c r="X26" i="3"/>
  <c r="I15" i="3"/>
  <c r="I17" i="3" s="1"/>
  <c r="I31" i="3" s="1"/>
  <c r="W93" i="3"/>
  <c r="O93" i="3"/>
  <c r="G93" i="3"/>
  <c r="F31" i="10"/>
  <c r="F15" i="10" s="1"/>
  <c r="F36" i="17" s="1"/>
  <c r="F94" i="3"/>
  <c r="O15" i="3"/>
  <c r="O17" i="3" s="1"/>
  <c r="O31" i="3" s="1"/>
  <c r="R101" i="3"/>
  <c r="H94" i="3"/>
  <c r="D26" i="3"/>
  <c r="D28" i="3" s="1"/>
  <c r="D32" i="3" s="1"/>
  <c r="X101" i="3"/>
  <c r="T93" i="3"/>
  <c r="U26" i="3"/>
  <c r="U28" i="3" s="1"/>
  <c r="U32" i="3" s="1"/>
  <c r="H31" i="10"/>
  <c r="H15" i="10" s="1"/>
  <c r="H36" i="17" s="1"/>
  <c r="G101" i="3"/>
  <c r="C15" i="10"/>
  <c r="C26" i="3"/>
  <c r="C28" i="3" s="1"/>
  <c r="C32" i="3" s="1"/>
  <c r="H86" i="3"/>
  <c r="T101" i="3"/>
  <c r="L101" i="3"/>
  <c r="X93" i="3"/>
  <c r="P93" i="3"/>
  <c r="H93" i="3"/>
  <c r="V31" i="10"/>
  <c r="V15" i="10" s="1"/>
  <c r="V36" i="17" s="1"/>
  <c r="U101" i="3"/>
  <c r="N31" i="10"/>
  <c r="N15" i="10" s="1"/>
  <c r="N36" i="17" s="1"/>
  <c r="M101" i="3"/>
  <c r="G31" i="10"/>
  <c r="G15" i="10" s="1"/>
  <c r="G36" i="17" s="1"/>
  <c r="F101" i="3"/>
  <c r="F93" i="3"/>
  <c r="J93" i="3"/>
  <c r="N93" i="3"/>
  <c r="R93" i="3"/>
  <c r="V93" i="3"/>
  <c r="Z93" i="3"/>
  <c r="E31" i="10"/>
  <c r="E15" i="10" s="1"/>
  <c r="E36" i="17" s="1"/>
  <c r="E93" i="3"/>
  <c r="I93" i="3"/>
  <c r="M93" i="3"/>
  <c r="Q93" i="3"/>
  <c r="U93" i="3"/>
  <c r="Y93" i="3"/>
  <c r="AC93" i="3"/>
  <c r="O26" i="3"/>
  <c r="O28" i="3" s="1"/>
  <c r="O32" i="3" s="1"/>
  <c r="V15" i="3"/>
  <c r="V17" i="3" s="1"/>
  <c r="V31" i="3" s="1"/>
  <c r="Q15" i="3"/>
  <c r="Q17" i="3" s="1"/>
  <c r="Q31" i="3" s="1"/>
  <c r="M15" i="3"/>
  <c r="M17" i="3" s="1"/>
  <c r="M31" i="3" s="1"/>
  <c r="L29" i="4"/>
  <c r="M35" i="4"/>
  <c r="R75" i="3"/>
  <c r="E26" i="3"/>
  <c r="E28" i="3" s="1"/>
  <c r="E32" i="3" s="1"/>
  <c r="Z7" i="11"/>
  <c r="AA7" i="11" s="1"/>
  <c r="M19" i="13"/>
  <c r="Y27" i="2"/>
  <c r="S26" i="2"/>
  <c r="S29" i="2" s="1"/>
  <c r="S28" i="10" s="1"/>
  <c r="S12" i="10" s="1"/>
  <c r="S32" i="17" s="1"/>
  <c r="N12" i="13"/>
  <c r="N14" i="13" s="1"/>
  <c r="N16" i="13" s="1"/>
  <c r="N24" i="15"/>
  <c r="N12" i="15" s="1"/>
  <c r="L24" i="15"/>
  <c r="L12" i="15" s="1"/>
  <c r="L12" i="13"/>
  <c r="L14" i="13" s="1"/>
  <c r="L16" i="13" s="1"/>
  <c r="I24" i="3"/>
  <c r="I26" i="3" s="1"/>
  <c r="I28" i="3" s="1"/>
  <c r="I32" i="3" s="1"/>
  <c r="J27" i="2"/>
  <c r="J29" i="2" s="1"/>
  <c r="J28" i="10" s="1"/>
  <c r="J12" i="10" s="1"/>
  <c r="J32" i="17" s="1"/>
  <c r="N24" i="3"/>
  <c r="D24" i="15"/>
  <c r="D12" i="15" s="1"/>
  <c r="D12" i="13"/>
  <c r="D14" i="13" s="1"/>
  <c r="D16" i="13" s="1"/>
  <c r="L17" i="6"/>
  <c r="L29" i="6" s="1"/>
  <c r="AT29" i="6" s="1"/>
  <c r="AU29" i="6" s="1"/>
  <c r="P13" i="3"/>
  <c r="P15" i="3" s="1"/>
  <c r="P17" i="3" s="1"/>
  <c r="P31" i="3" s="1"/>
  <c r="Q26" i="2"/>
  <c r="V24" i="3"/>
  <c r="H24" i="15"/>
  <c r="H12" i="15" s="1"/>
  <c r="H12" i="13"/>
  <c r="H14" i="13" s="1"/>
  <c r="H16" i="13" s="1"/>
  <c r="AD22" i="2"/>
  <c r="AD24" i="2" s="1"/>
  <c r="AD93" i="3"/>
  <c r="AC23" i="3"/>
  <c r="AE18" i="2"/>
  <c r="AD20" i="3"/>
  <c r="AE20" i="2"/>
  <c r="F33" i="8"/>
  <c r="R26" i="16"/>
  <c r="N26" i="16"/>
  <c r="I26" i="16"/>
  <c r="E26" i="16"/>
  <c r="AC86" i="3"/>
  <c r="V26" i="6" l="1"/>
  <c r="K26" i="6"/>
  <c r="O26" i="6"/>
  <c r="N23" i="6"/>
  <c r="M25" i="6"/>
  <c r="U37" i="6"/>
  <c r="Y37" i="6"/>
  <c r="P27" i="6"/>
  <c r="M26" i="6"/>
  <c r="S26" i="6"/>
  <c r="AG37" i="6"/>
  <c r="V37" i="6"/>
  <c r="N27" i="6"/>
  <c r="R26" i="6"/>
  <c r="N26" i="6"/>
  <c r="AD37" i="6"/>
  <c r="U27" i="6"/>
  <c r="AH39" i="6"/>
  <c r="S27" i="6"/>
  <c r="W32" i="6"/>
  <c r="AC37" i="6"/>
  <c r="AA37" i="6"/>
  <c r="K19" i="13"/>
  <c r="O69" i="13"/>
  <c r="R19" i="13"/>
  <c r="AC39" i="13" s="1"/>
  <c r="X35" i="14" s="1"/>
  <c r="S69" i="13"/>
  <c r="Y13" i="11"/>
  <c r="G33" i="3"/>
  <c r="U33" i="3"/>
  <c r="O33" i="3"/>
  <c r="O100" i="3" s="1"/>
  <c r="AD13" i="3"/>
  <c r="AD15" i="3" s="1"/>
  <c r="AD17" i="3" s="1"/>
  <c r="AD31" i="3" s="1"/>
  <c r="P25" i="6"/>
  <c r="W27" i="6"/>
  <c r="AB39" i="6"/>
  <c r="R27" i="6"/>
  <c r="X37" i="6"/>
  <c r="J27" i="6"/>
  <c r="AG39" i="6"/>
  <c r="L25" i="6"/>
  <c r="F23" i="6"/>
  <c r="T25" i="6"/>
  <c r="O25" i="6"/>
  <c r="K50" i="6"/>
  <c r="F22" i="6"/>
  <c r="G22" i="6"/>
  <c r="O22" i="6"/>
  <c r="P22" i="6"/>
  <c r="Q22" i="6"/>
  <c r="G17" i="6"/>
  <c r="I24" i="6" s="1"/>
  <c r="L50" i="6"/>
  <c r="R50" i="6"/>
  <c r="AD38" i="6"/>
  <c r="AG38" i="6"/>
  <c r="AH38" i="6"/>
  <c r="Z38" i="6"/>
  <c r="AB34" i="6"/>
  <c r="X34" i="6"/>
  <c r="K23" i="6"/>
  <c r="AD39" i="6"/>
  <c r="M30" i="6"/>
  <c r="G23" i="6"/>
  <c r="L23" i="6"/>
  <c r="H23" i="6"/>
  <c r="U30" i="6"/>
  <c r="P30" i="6"/>
  <c r="S28" i="6"/>
  <c r="U28" i="6"/>
  <c r="AC39" i="6"/>
  <c r="F50" i="6"/>
  <c r="P23" i="6"/>
  <c r="O23" i="6"/>
  <c r="R28" i="6"/>
  <c r="E50" i="6"/>
  <c r="N28" i="6"/>
  <c r="Z39" i="6"/>
  <c r="AF39" i="6"/>
  <c r="AE39" i="6"/>
  <c r="L28" i="6"/>
  <c r="Q23" i="6"/>
  <c r="I23" i="6"/>
  <c r="N30" i="6"/>
  <c r="D50" i="6"/>
  <c r="V28" i="6"/>
  <c r="S33" i="6"/>
  <c r="AC50" i="6"/>
  <c r="X36" i="13"/>
  <c r="S32" i="14" s="1"/>
  <c r="AB36" i="13"/>
  <c r="W32" i="14" s="1"/>
  <c r="Y36" i="13"/>
  <c r="T32" i="14" s="1"/>
  <c r="V36" i="13"/>
  <c r="Q32" i="14" s="1"/>
  <c r="R36" i="13"/>
  <c r="M32" i="14" s="1"/>
  <c r="AC36" i="13"/>
  <c r="X32" i="14" s="1"/>
  <c r="E19" i="13"/>
  <c r="Q26" i="13" s="1"/>
  <c r="Y40" i="13"/>
  <c r="T36" i="14" s="1"/>
  <c r="AF40" i="13"/>
  <c r="AA36" i="14" s="1"/>
  <c r="Q69" i="13"/>
  <c r="I19" i="13"/>
  <c r="N30" i="13" s="1"/>
  <c r="I26" i="14" s="1"/>
  <c r="V26" i="3"/>
  <c r="V28" i="3" s="1"/>
  <c r="V32" i="3" s="1"/>
  <c r="K33" i="3"/>
  <c r="K100" i="3" s="1"/>
  <c r="N26" i="3"/>
  <c r="N28" i="3" s="1"/>
  <c r="N32" i="3" s="1"/>
  <c r="R26" i="3"/>
  <c r="R28" i="3" s="1"/>
  <c r="R32" i="3" s="1"/>
  <c r="I26" i="2"/>
  <c r="I29" i="2" s="1"/>
  <c r="I28" i="10" s="1"/>
  <c r="I12" i="10" s="1"/>
  <c r="I32" i="17" s="1"/>
  <c r="H13" i="3"/>
  <c r="H15" i="3" s="1"/>
  <c r="H17" i="3" s="1"/>
  <c r="H31" i="3" s="1"/>
  <c r="H33" i="3" s="1"/>
  <c r="H100" i="3" s="1"/>
  <c r="Z34" i="6"/>
  <c r="V34" i="6"/>
  <c r="R34" i="6"/>
  <c r="G33" i="8"/>
  <c r="G10" i="8"/>
  <c r="G11" i="17" s="1"/>
  <c r="I10" i="8"/>
  <c r="I11" i="17" s="1"/>
  <c r="I33" i="8"/>
  <c r="Q29" i="2"/>
  <c r="Q28" i="10" s="1"/>
  <c r="Q12" i="10" s="1"/>
  <c r="Q32" i="17" s="1"/>
  <c r="J22" i="6"/>
  <c r="L22" i="6"/>
  <c r="T32" i="17"/>
  <c r="AC34" i="6"/>
  <c r="Y34" i="6"/>
  <c r="G26" i="2"/>
  <c r="F13" i="3"/>
  <c r="F15" i="3" s="1"/>
  <c r="F17" i="3" s="1"/>
  <c r="F31" i="3" s="1"/>
  <c r="K33" i="8"/>
  <c r="K10" i="8"/>
  <c r="K11" i="17" s="1"/>
  <c r="Q36" i="13"/>
  <c r="L32" i="14" s="1"/>
  <c r="T36" i="13"/>
  <c r="O32" i="14" s="1"/>
  <c r="M26" i="2"/>
  <c r="L13" i="3"/>
  <c r="L15" i="3" s="1"/>
  <c r="L17" i="3" s="1"/>
  <c r="L31" i="3" s="1"/>
  <c r="W37" i="8"/>
  <c r="W13" i="8" s="1"/>
  <c r="F13" i="19"/>
  <c r="R22" i="6"/>
  <c r="I33" i="3"/>
  <c r="I100" i="3" s="1"/>
  <c r="X38" i="6"/>
  <c r="AI38" i="6"/>
  <c r="X28" i="3"/>
  <c r="X32" i="3" s="1"/>
  <c r="AA26" i="2"/>
  <c r="Z11" i="17"/>
  <c r="U36" i="13"/>
  <c r="P32" i="14" s="1"/>
  <c r="Z36" i="13"/>
  <c r="U32" i="14" s="1"/>
  <c r="AA36" i="13"/>
  <c r="V32" i="14" s="1"/>
  <c r="T33" i="6"/>
  <c r="V33" i="6"/>
  <c r="AA38" i="6"/>
  <c r="AF38" i="6"/>
  <c r="U34" i="6"/>
  <c r="S34" i="6"/>
  <c r="W34" i="6"/>
  <c r="K28" i="6"/>
  <c r="K22" i="6"/>
  <c r="H22" i="6"/>
  <c r="H50" i="6"/>
  <c r="J50" i="6"/>
  <c r="M28" i="6"/>
  <c r="W28" i="6"/>
  <c r="O28" i="6"/>
  <c r="T34" i="6"/>
  <c r="V38" i="6"/>
  <c r="R33" i="6"/>
  <c r="X39" i="6"/>
  <c r="AJ39" i="6"/>
  <c r="AI39" i="6"/>
  <c r="Y39" i="6"/>
  <c r="AA39" i="6"/>
  <c r="L24" i="3"/>
  <c r="L26" i="3" s="1"/>
  <c r="L28" i="3" s="1"/>
  <c r="L32" i="3" s="1"/>
  <c r="M27" i="2"/>
  <c r="K26" i="2"/>
  <c r="K29" i="2" s="1"/>
  <c r="K28" i="10" s="1"/>
  <c r="K12" i="10" s="1"/>
  <c r="K32" i="17" s="1"/>
  <c r="J13" i="3"/>
  <c r="J15" i="3" s="1"/>
  <c r="J17" i="3" s="1"/>
  <c r="J31" i="3" s="1"/>
  <c r="J33" i="3" s="1"/>
  <c r="J100" i="3" s="1"/>
  <c r="C29" i="2"/>
  <c r="C28" i="10" s="1"/>
  <c r="E61" i="18"/>
  <c r="F24" i="3"/>
  <c r="F26" i="3" s="1"/>
  <c r="F28" i="3" s="1"/>
  <c r="F32" i="3" s="1"/>
  <c r="G27" i="2"/>
  <c r="P33" i="8"/>
  <c r="P10" i="8"/>
  <c r="P11" i="17" s="1"/>
  <c r="H28" i="3"/>
  <c r="H32" i="3" s="1"/>
  <c r="S33" i="10"/>
  <c r="S17" i="10" s="1"/>
  <c r="S38" i="17" s="1"/>
  <c r="AA27" i="9"/>
  <c r="AA33" i="10" s="1"/>
  <c r="AA17" i="10" s="1"/>
  <c r="AA38" i="17" s="1"/>
  <c r="AE27" i="9"/>
  <c r="AE33" i="10" s="1"/>
  <c r="AE17" i="10" s="1"/>
  <c r="AE38" i="17" s="1"/>
  <c r="AB27" i="9"/>
  <c r="AB33" i="10" s="1"/>
  <c r="AB17" i="10" s="1"/>
  <c r="AB38" i="17" s="1"/>
  <c r="AF27" i="9"/>
  <c r="AF33" i="10" s="1"/>
  <c r="AF17" i="10" s="1"/>
  <c r="AF38" i="17" s="1"/>
  <c r="AC27" i="9"/>
  <c r="AC33" i="10" s="1"/>
  <c r="AC17" i="10" s="1"/>
  <c r="AC38" i="17" s="1"/>
  <c r="W27" i="9"/>
  <c r="W33" i="10" s="1"/>
  <c r="W17" i="10" s="1"/>
  <c r="W38" i="17" s="1"/>
  <c r="X27" i="9"/>
  <c r="X33" i="10" s="1"/>
  <c r="X17" i="10" s="1"/>
  <c r="X38" i="17" s="1"/>
  <c r="Y27" i="9"/>
  <c r="Y33" i="10" s="1"/>
  <c r="Y17" i="10" s="1"/>
  <c r="Y38" i="17" s="1"/>
  <c r="AD27" i="9"/>
  <c r="AD33" i="10" s="1"/>
  <c r="AD17" i="10" s="1"/>
  <c r="AD38" i="17" s="1"/>
  <c r="T27" i="9"/>
  <c r="Z27" i="9"/>
  <c r="Z33" i="10" s="1"/>
  <c r="Z17" i="10" s="1"/>
  <c r="Z38" i="17" s="1"/>
  <c r="S30" i="9"/>
  <c r="U27" i="9"/>
  <c r="U33" i="10" s="1"/>
  <c r="U17" i="10" s="1"/>
  <c r="U38" i="17" s="1"/>
  <c r="V27" i="9"/>
  <c r="V33" i="10" s="1"/>
  <c r="V17" i="10" s="1"/>
  <c r="V38" i="17" s="1"/>
  <c r="U26" i="2"/>
  <c r="U29" i="2" s="1"/>
  <c r="U28" i="10" s="1"/>
  <c r="U12" i="10" s="1"/>
  <c r="U32" i="17" s="1"/>
  <c r="T13" i="3"/>
  <c r="T15" i="3" s="1"/>
  <c r="T17" i="3" s="1"/>
  <c r="T31" i="3" s="1"/>
  <c r="T33" i="3" s="1"/>
  <c r="T100" i="3" s="1"/>
  <c r="W33" i="8"/>
  <c r="W10" i="8"/>
  <c r="W11" i="17" s="1"/>
  <c r="M24" i="3"/>
  <c r="M26" i="3" s="1"/>
  <c r="M28" i="3" s="1"/>
  <c r="M32" i="3" s="1"/>
  <c r="M33" i="3" s="1"/>
  <c r="N27" i="2"/>
  <c r="N29" i="2" s="1"/>
  <c r="N28" i="10" s="1"/>
  <c r="N12" i="10" s="1"/>
  <c r="N32" i="17" s="1"/>
  <c r="S29" i="9"/>
  <c r="W38" i="6"/>
  <c r="AC38" i="6"/>
  <c r="AA34" i="6"/>
  <c r="M22" i="6"/>
  <c r="N22" i="6"/>
  <c r="Q27" i="2"/>
  <c r="P24" i="3"/>
  <c r="P26" i="3" s="1"/>
  <c r="P28" i="3" s="1"/>
  <c r="P32" i="3" s="1"/>
  <c r="P33" i="3" s="1"/>
  <c r="Y26" i="2"/>
  <c r="Y29" i="2" s="1"/>
  <c r="Y28" i="10" s="1"/>
  <c r="Y12" i="10" s="1"/>
  <c r="Y32" i="17" s="1"/>
  <c r="X13" i="3"/>
  <c r="X15" i="3" s="1"/>
  <c r="X17" i="3" s="1"/>
  <c r="X31" i="3" s="1"/>
  <c r="X33" i="3" s="1"/>
  <c r="X35" i="3" s="1"/>
  <c r="AM61" i="3" s="1"/>
  <c r="S24" i="3"/>
  <c r="S26" i="3" s="1"/>
  <c r="S28" i="3" s="1"/>
  <c r="S32" i="3" s="1"/>
  <c r="S33" i="3" s="1"/>
  <c r="T27" i="2"/>
  <c r="T29" i="2" s="1"/>
  <c r="T28" i="10" s="1"/>
  <c r="I22" i="6"/>
  <c r="Z40" i="13"/>
  <c r="U36" i="14" s="1"/>
  <c r="AJ38" i="6"/>
  <c r="Y38" i="6"/>
  <c r="E33" i="3"/>
  <c r="E100" i="3" s="1"/>
  <c r="C33" i="3"/>
  <c r="P36" i="13"/>
  <c r="K32" i="14" s="1"/>
  <c r="W36" i="13"/>
  <c r="R32" i="14" s="1"/>
  <c r="S36" i="13"/>
  <c r="N32" i="14" s="1"/>
  <c r="AE38" i="6"/>
  <c r="AB38" i="6"/>
  <c r="AD34" i="6"/>
  <c r="AE34" i="6"/>
  <c r="I50" i="6"/>
  <c r="E22" i="6"/>
  <c r="T28" i="6"/>
  <c r="K25" i="6"/>
  <c r="S25" i="6"/>
  <c r="Q25" i="6"/>
  <c r="R27" i="2"/>
  <c r="R29" i="2" s="1"/>
  <c r="R28" i="10" s="1"/>
  <c r="R12" i="10" s="1"/>
  <c r="R32" i="17" s="1"/>
  <c r="Q24" i="3"/>
  <c r="Q26" i="3" s="1"/>
  <c r="Q28" i="3" s="1"/>
  <c r="Q32" i="3" s="1"/>
  <c r="Q33" i="3" s="1"/>
  <c r="O26" i="2"/>
  <c r="O29" i="2" s="1"/>
  <c r="O28" i="10" s="1"/>
  <c r="O32" i="17" s="1"/>
  <c r="N13" i="3"/>
  <c r="N15" i="3" s="1"/>
  <c r="N17" i="3" s="1"/>
  <c r="N31" i="3" s="1"/>
  <c r="R10" i="8"/>
  <c r="R11" i="17" s="1"/>
  <c r="R33" i="8"/>
  <c r="E26" i="2"/>
  <c r="E29" i="2" s="1"/>
  <c r="E28" i="10" s="1"/>
  <c r="E12" i="10" s="1"/>
  <c r="E32" i="17" s="1"/>
  <c r="D13" i="3"/>
  <c r="D15" i="3" s="1"/>
  <c r="D17" i="3" s="1"/>
  <c r="D31" i="3" s="1"/>
  <c r="D33" i="3" s="1"/>
  <c r="G10" i="18"/>
  <c r="Z13" i="11"/>
  <c r="Y9" i="12" s="1"/>
  <c r="W21" i="15"/>
  <c r="W10" i="15" s="1"/>
  <c r="AC30" i="17" s="1"/>
  <c r="W9" i="12"/>
  <c r="AC22" i="2"/>
  <c r="AC24" i="2" s="1"/>
  <c r="AC27" i="2" s="1"/>
  <c r="AC29" i="2" s="1"/>
  <c r="AC28" i="10" s="1"/>
  <c r="AC12" i="10" s="1"/>
  <c r="T32" i="6"/>
  <c r="U32" i="6"/>
  <c r="Y32" i="6"/>
  <c r="Q32" i="6"/>
  <c r="AA32" i="6"/>
  <c r="AB32" i="6"/>
  <c r="S32" i="6"/>
  <c r="X32" i="6"/>
  <c r="N50" i="6"/>
  <c r="M50" i="6"/>
  <c r="P26" i="6"/>
  <c r="J26" i="6"/>
  <c r="L26" i="6"/>
  <c r="U26" i="6"/>
  <c r="T26" i="6"/>
  <c r="Q26" i="6"/>
  <c r="I26" i="6"/>
  <c r="V32" i="6"/>
  <c r="Z32" i="6"/>
  <c r="R32" i="6"/>
  <c r="G50" i="6"/>
  <c r="J23" i="6"/>
  <c r="M23" i="6"/>
  <c r="S23" i="6"/>
  <c r="AD36" i="6"/>
  <c r="AF36" i="6"/>
  <c r="AC36" i="6"/>
  <c r="AE36" i="6"/>
  <c r="Y36" i="6"/>
  <c r="AA36" i="6"/>
  <c r="T36" i="6"/>
  <c r="AG36" i="6"/>
  <c r="Z36" i="6"/>
  <c r="AB36" i="6"/>
  <c r="V36" i="6"/>
  <c r="X36" i="6"/>
  <c r="U36" i="6"/>
  <c r="W36" i="6"/>
  <c r="O20" i="6"/>
  <c r="C20" i="6"/>
  <c r="E20" i="6"/>
  <c r="H20" i="6"/>
  <c r="J20" i="6"/>
  <c r="K20" i="6"/>
  <c r="D20" i="6"/>
  <c r="G20" i="6"/>
  <c r="L20" i="6"/>
  <c r="N20" i="6"/>
  <c r="P20" i="6"/>
  <c r="M20" i="6"/>
  <c r="I20" i="6"/>
  <c r="F20" i="6"/>
  <c r="N17" i="6"/>
  <c r="S50" i="6"/>
  <c r="V50" i="6"/>
  <c r="T50" i="6"/>
  <c r="U50" i="6"/>
  <c r="O50" i="6"/>
  <c r="R17" i="6"/>
  <c r="E21" i="6"/>
  <c r="D21" i="6"/>
  <c r="O21" i="6"/>
  <c r="F21" i="6"/>
  <c r="I21" i="6"/>
  <c r="H21" i="6"/>
  <c r="P21" i="6"/>
  <c r="N21" i="6"/>
  <c r="Q21" i="6"/>
  <c r="G21" i="6"/>
  <c r="J21" i="6"/>
  <c r="M21" i="6"/>
  <c r="L21" i="6"/>
  <c r="K21" i="6"/>
  <c r="Q50" i="6"/>
  <c r="P50" i="6"/>
  <c r="AD40" i="13"/>
  <c r="Y36" i="14" s="1"/>
  <c r="AC40" i="13"/>
  <c r="X36" i="14" s="1"/>
  <c r="V40" i="13"/>
  <c r="Q36" i="14" s="1"/>
  <c r="U40" i="13"/>
  <c r="P36" i="14" s="1"/>
  <c r="AE40" i="13"/>
  <c r="Z36" i="14" s="1"/>
  <c r="AA40" i="13"/>
  <c r="V36" i="14" s="1"/>
  <c r="X40" i="13"/>
  <c r="S36" i="14" s="1"/>
  <c r="W40" i="13"/>
  <c r="R36" i="14" s="1"/>
  <c r="F69" i="13"/>
  <c r="F19" i="13"/>
  <c r="AD38" i="13"/>
  <c r="AC38" i="13"/>
  <c r="AE38" i="13"/>
  <c r="P19" i="13"/>
  <c r="P69" i="13"/>
  <c r="N31" i="13"/>
  <c r="I27" i="14" s="1"/>
  <c r="S31" i="13"/>
  <c r="N27" i="14" s="1"/>
  <c r="T31" i="13"/>
  <c r="O27" i="14" s="1"/>
  <c r="U31" i="13"/>
  <c r="P27" i="14" s="1"/>
  <c r="R31" i="13"/>
  <c r="M27" i="14" s="1"/>
  <c r="J31" i="13"/>
  <c r="K31" i="13"/>
  <c r="F27" i="14" s="1"/>
  <c r="V31" i="13"/>
  <c r="L31" i="13"/>
  <c r="G27" i="14" s="1"/>
  <c r="M31" i="13"/>
  <c r="H27" i="14" s="1"/>
  <c r="P31" i="13"/>
  <c r="K27" i="14" s="1"/>
  <c r="Q31" i="13"/>
  <c r="L27" i="14" s="1"/>
  <c r="O31" i="13"/>
  <c r="J27" i="14" s="1"/>
  <c r="G13" i="18"/>
  <c r="C21" i="13"/>
  <c r="C60" i="13" s="1"/>
  <c r="C69" i="13"/>
  <c r="C19" i="13"/>
  <c r="T40" i="13"/>
  <c r="AG40" i="13"/>
  <c r="AB36" i="14" s="1"/>
  <c r="AE39" i="13"/>
  <c r="Z35" i="14" s="1"/>
  <c r="AF39" i="13"/>
  <c r="AD39" i="13"/>
  <c r="Y35" i="14" s="1"/>
  <c r="K32" i="13"/>
  <c r="O32" i="13"/>
  <c r="J28" i="14" s="1"/>
  <c r="P32" i="13"/>
  <c r="K28" i="14" s="1"/>
  <c r="N32" i="13"/>
  <c r="I28" i="14" s="1"/>
  <c r="W32" i="13"/>
  <c r="Q32" i="13"/>
  <c r="L28" i="14" s="1"/>
  <c r="T32" i="13"/>
  <c r="O28" i="14" s="1"/>
  <c r="U32" i="13"/>
  <c r="P28" i="14" s="1"/>
  <c r="M32" i="13"/>
  <c r="H28" i="14" s="1"/>
  <c r="R32" i="13"/>
  <c r="M28" i="14" s="1"/>
  <c r="L32" i="13"/>
  <c r="G28" i="14" s="1"/>
  <c r="V32" i="13"/>
  <c r="Q28" i="14" s="1"/>
  <c r="S32" i="13"/>
  <c r="N28" i="14" s="1"/>
  <c r="X10" i="13"/>
  <c r="X21" i="15"/>
  <c r="X10" i="15" s="1"/>
  <c r="AD30" i="17" s="1"/>
  <c r="X9" i="12"/>
  <c r="Z28" i="11"/>
  <c r="AA28" i="11" s="1"/>
  <c r="X11" i="12"/>
  <c r="Z16" i="11"/>
  <c r="X13" i="13"/>
  <c r="Y17" i="6"/>
  <c r="Z16" i="6"/>
  <c r="Z17" i="6" s="1"/>
  <c r="AB34" i="3"/>
  <c r="AE40" i="1"/>
  <c r="AF40" i="1" s="1"/>
  <c r="G7" i="18"/>
  <c r="J7" i="18"/>
  <c r="K7" i="18" s="1"/>
  <c r="Z28" i="3"/>
  <c r="Z32" i="3" s="1"/>
  <c r="Z33" i="3" s="1"/>
  <c r="Z35" i="3" s="1"/>
  <c r="AO63" i="3" s="1"/>
  <c r="AC10" i="8"/>
  <c r="AC33" i="8"/>
  <c r="V24" i="16"/>
  <c r="V8" i="16" s="1"/>
  <c r="AA8" i="17" s="1"/>
  <c r="G23" i="18" s="1"/>
  <c r="H23" i="18" s="1"/>
  <c r="U15" i="13"/>
  <c r="V9" i="13"/>
  <c r="V8" i="12"/>
  <c r="V12" i="12" s="1"/>
  <c r="V14" i="12" s="1"/>
  <c r="Y21" i="15"/>
  <c r="Y10" i="15" s="1"/>
  <c r="AE30" i="17" s="1"/>
  <c r="Y10" i="13"/>
  <c r="X34" i="11"/>
  <c r="W16" i="16"/>
  <c r="AB45" i="17"/>
  <c r="AB23" i="17"/>
  <c r="U24" i="15"/>
  <c r="U12" i="15" s="1"/>
  <c r="U12" i="13"/>
  <c r="U14" i="13" s="1"/>
  <c r="X50" i="6"/>
  <c r="W50" i="6"/>
  <c r="W17" i="6"/>
  <c r="AB50" i="6"/>
  <c r="X17" i="6"/>
  <c r="AA50" i="6"/>
  <c r="Y50" i="6"/>
  <c r="Z50" i="6"/>
  <c r="Z27" i="2"/>
  <c r="Z29" i="2" s="1"/>
  <c r="Z28" i="10" s="1"/>
  <c r="Z12" i="10" s="1"/>
  <c r="Z32" i="17" s="1"/>
  <c r="Y24" i="3"/>
  <c r="Y26" i="3" s="1"/>
  <c r="Y28" i="3" s="1"/>
  <c r="Y32" i="3" s="1"/>
  <c r="Y33" i="3" s="1"/>
  <c r="Y35" i="3" s="1"/>
  <c r="AN62" i="3" s="1"/>
  <c r="AA27" i="2"/>
  <c r="AA29" i="2" s="1"/>
  <c r="AA28" i="10" s="1"/>
  <c r="AA12" i="10" s="1"/>
  <c r="AB10" i="8"/>
  <c r="AB33" i="8"/>
  <c r="AB27" i="2"/>
  <c r="AB29" i="2" s="1"/>
  <c r="AB28" i="10" s="1"/>
  <c r="AB12" i="10" s="1"/>
  <c r="AA24" i="3"/>
  <c r="AA26" i="3" s="1"/>
  <c r="AA28" i="3" s="1"/>
  <c r="AA32" i="3" s="1"/>
  <c r="AA33" i="3" s="1"/>
  <c r="AE10" i="8"/>
  <c r="AE33" i="8"/>
  <c r="AB13" i="3"/>
  <c r="AB15" i="3" s="1"/>
  <c r="AB17" i="3" s="1"/>
  <c r="AB31" i="3" s="1"/>
  <c r="AD26" i="2"/>
  <c r="AC13" i="3"/>
  <c r="AC15" i="3" s="1"/>
  <c r="AC17" i="3" s="1"/>
  <c r="AC31" i="3" s="1"/>
  <c r="T69" i="13"/>
  <c r="T19" i="13"/>
  <c r="R28" i="13"/>
  <c r="S28" i="13"/>
  <c r="T28" i="13"/>
  <c r="N28" i="13"/>
  <c r="O28" i="13"/>
  <c r="P28" i="13"/>
  <c r="Q28" i="13"/>
  <c r="J28" i="13"/>
  <c r="K28" i="13"/>
  <c r="L28" i="13"/>
  <c r="M28" i="13"/>
  <c r="G28" i="13"/>
  <c r="H28" i="13"/>
  <c r="I28" i="13"/>
  <c r="L33" i="3"/>
  <c r="L100" i="3" s="1"/>
  <c r="G100" i="3"/>
  <c r="G35" i="3"/>
  <c r="R44" i="3" s="1"/>
  <c r="X100" i="3"/>
  <c r="W100" i="3"/>
  <c r="W35" i="3"/>
  <c r="U35" i="3"/>
  <c r="U100" i="3"/>
  <c r="C36" i="17"/>
  <c r="V33" i="3"/>
  <c r="V100" i="3" s="1"/>
  <c r="R33" i="3"/>
  <c r="R100" i="3" s="1"/>
  <c r="L31" i="4"/>
  <c r="Q75" i="3"/>
  <c r="L35" i="4"/>
  <c r="V35" i="3"/>
  <c r="AD27" i="2"/>
  <c r="AC24" i="3"/>
  <c r="AC26" i="3" s="1"/>
  <c r="AC28" i="3" s="1"/>
  <c r="AC32" i="3" s="1"/>
  <c r="H19" i="13"/>
  <c r="H69" i="13"/>
  <c r="U22" i="15"/>
  <c r="V29" i="11"/>
  <c r="D19" i="13"/>
  <c r="D69" i="13"/>
  <c r="E21" i="13"/>
  <c r="E60" i="13" s="1"/>
  <c r="G21" i="13"/>
  <c r="G60" i="13" s="1"/>
  <c r="I21" i="13"/>
  <c r="I60" i="13" s="1"/>
  <c r="D21" i="13"/>
  <c r="D60" i="13" s="1"/>
  <c r="F21" i="13"/>
  <c r="F60" i="13" s="1"/>
  <c r="H21" i="13"/>
  <c r="H60" i="13" s="1"/>
  <c r="J21" i="13"/>
  <c r="J60" i="13" s="1"/>
  <c r="K21" i="13"/>
  <c r="K60" i="13" s="1"/>
  <c r="L21" i="13"/>
  <c r="L60" i="13" s="1"/>
  <c r="N21" i="13"/>
  <c r="N60" i="13" s="1"/>
  <c r="P21" i="13"/>
  <c r="P60" i="13" s="1"/>
  <c r="M21" i="13"/>
  <c r="M60" i="13" s="1"/>
  <c r="R21" i="13"/>
  <c r="R60" i="13" s="1"/>
  <c r="O21" i="13"/>
  <c r="O60" i="13" s="1"/>
  <c r="S21" i="13"/>
  <c r="S60" i="13" s="1"/>
  <c r="Q21" i="13"/>
  <c r="Q60" i="13" s="1"/>
  <c r="T21" i="13"/>
  <c r="T60" i="13" s="1"/>
  <c r="Z27" i="11"/>
  <c r="AA27" i="11" s="1"/>
  <c r="C37" i="3"/>
  <c r="C91" i="3" s="1"/>
  <c r="C100" i="3"/>
  <c r="AE22" i="2"/>
  <c r="AE24" i="2" s="1"/>
  <c r="G26" i="13"/>
  <c r="L69" i="13"/>
  <c r="L19" i="13"/>
  <c r="N19" i="13"/>
  <c r="N69" i="13"/>
  <c r="J35" i="3"/>
  <c r="P34" i="13"/>
  <c r="K30" i="14" s="1"/>
  <c r="R34" i="13"/>
  <c r="M30" i="14" s="1"/>
  <c r="T34" i="13"/>
  <c r="O30" i="14" s="1"/>
  <c r="V34" i="13"/>
  <c r="Q30" i="14" s="1"/>
  <c r="Z34" i="13"/>
  <c r="S34" i="13"/>
  <c r="N30" i="14" s="1"/>
  <c r="W34" i="13"/>
  <c r="R30" i="14" s="1"/>
  <c r="AA34" i="13"/>
  <c r="N34" i="13"/>
  <c r="X34" i="13"/>
  <c r="S30" i="14" s="1"/>
  <c r="O34" i="13"/>
  <c r="J30" i="14" s="1"/>
  <c r="Q34" i="13"/>
  <c r="L30" i="14" s="1"/>
  <c r="U34" i="13"/>
  <c r="P30" i="14" s="1"/>
  <c r="Y34" i="13"/>
  <c r="T30" i="14" s="1"/>
  <c r="R38" i="13"/>
  <c r="T38" i="13"/>
  <c r="O34" i="14" s="1"/>
  <c r="V38" i="13"/>
  <c r="Q34" i="14" s="1"/>
  <c r="X38" i="13"/>
  <c r="S34" i="14" s="1"/>
  <c r="Z38" i="13"/>
  <c r="U34" i="14" s="1"/>
  <c r="AB38" i="13"/>
  <c r="W34" i="14" s="1"/>
  <c r="S38" i="13"/>
  <c r="N34" i="14" s="1"/>
  <c r="U38" i="13"/>
  <c r="P34" i="14" s="1"/>
  <c r="W38" i="13"/>
  <c r="R34" i="14" s="1"/>
  <c r="Y38" i="13"/>
  <c r="T34" i="14" s="1"/>
  <c r="AA38" i="13"/>
  <c r="V34" i="14" s="1"/>
  <c r="W39" i="13"/>
  <c r="R35" i="14" s="1"/>
  <c r="Y39" i="13"/>
  <c r="T35" i="14" s="1"/>
  <c r="V39" i="13"/>
  <c r="Q35" i="14" s="1"/>
  <c r="X39" i="13"/>
  <c r="S35" i="14" s="1"/>
  <c r="S44" i="3"/>
  <c r="T44" i="3"/>
  <c r="N44" i="3"/>
  <c r="P44" i="3"/>
  <c r="Q44" i="3"/>
  <c r="J44" i="3"/>
  <c r="L44" i="3"/>
  <c r="M44" i="3"/>
  <c r="G44" i="3"/>
  <c r="I44" i="3"/>
  <c r="AN42" i="6" l="1"/>
  <c r="AK42" i="6"/>
  <c r="AL42" i="6"/>
  <c r="AM42" i="6"/>
  <c r="H7" i="18"/>
  <c r="U29" i="9"/>
  <c r="V29" i="9"/>
  <c r="AT37" i="6"/>
  <c r="AU37" i="6" s="1"/>
  <c r="AT30" i="6"/>
  <c r="AU30" i="6" s="1"/>
  <c r="AT27" i="6"/>
  <c r="AU27" i="6" s="1"/>
  <c r="J24" i="6"/>
  <c r="L24" i="6"/>
  <c r="H24" i="6"/>
  <c r="AT32" i="6"/>
  <c r="AU32" i="6" s="1"/>
  <c r="AO43" i="6"/>
  <c r="AN43" i="6"/>
  <c r="T39" i="13"/>
  <c r="O35" i="14" s="1"/>
  <c r="U39" i="13"/>
  <c r="P35" i="14" s="1"/>
  <c r="AB39" i="13"/>
  <c r="W35" i="14" s="1"/>
  <c r="Z39" i="13"/>
  <c r="U35" i="14" s="1"/>
  <c r="AA39" i="13"/>
  <c r="V35" i="14" s="1"/>
  <c r="S39" i="13"/>
  <c r="S30" i="13"/>
  <c r="N26" i="14" s="1"/>
  <c r="F26" i="13"/>
  <c r="P30" i="13"/>
  <c r="K26" i="14" s="1"/>
  <c r="N26" i="13"/>
  <c r="O26" i="13"/>
  <c r="L30" i="13"/>
  <c r="G26" i="14" s="1"/>
  <c r="H26" i="13"/>
  <c r="C22" i="14" s="1"/>
  <c r="I26" i="13"/>
  <c r="D10" i="14" s="1"/>
  <c r="K30" i="13"/>
  <c r="F26" i="14" s="1"/>
  <c r="AM36" i="13"/>
  <c r="AN36" i="13" s="1"/>
  <c r="M26" i="13"/>
  <c r="H10" i="14" s="1"/>
  <c r="J30" i="13"/>
  <c r="E26" i="14" s="1"/>
  <c r="N33" i="3"/>
  <c r="L35" i="3"/>
  <c r="W49" i="3" s="1"/>
  <c r="R35" i="3"/>
  <c r="AA55" i="3" s="1"/>
  <c r="V67" i="4" s="1"/>
  <c r="K35" i="3"/>
  <c r="O35" i="3"/>
  <c r="AA16" i="11"/>
  <c r="Y11" i="12"/>
  <c r="AA30" i="9"/>
  <c r="V30" i="9"/>
  <c r="W29" i="9"/>
  <c r="N24" i="6"/>
  <c r="R24" i="6"/>
  <c r="O24" i="6"/>
  <c r="AT39" i="6"/>
  <c r="AU39" i="6" s="1"/>
  <c r="P24" i="6"/>
  <c r="AT38" i="6"/>
  <c r="AU38" i="6" s="1"/>
  <c r="AT25" i="6"/>
  <c r="AU25" i="6" s="1"/>
  <c r="AT22" i="6"/>
  <c r="AU22" i="6" s="1"/>
  <c r="AT28" i="6"/>
  <c r="AU28" i="6" s="1"/>
  <c r="S24" i="6"/>
  <c r="Q24" i="6"/>
  <c r="M24" i="6"/>
  <c r="M47" i="6" s="1"/>
  <c r="P18" i="10" s="1"/>
  <c r="P39" i="17" s="1"/>
  <c r="G24" i="6"/>
  <c r="K24" i="6"/>
  <c r="AT34" i="6"/>
  <c r="AU34" i="6" s="1"/>
  <c r="AT23" i="6"/>
  <c r="AU23" i="6" s="1"/>
  <c r="T30" i="13"/>
  <c r="O26" i="14" s="1"/>
  <c r="Q30" i="13"/>
  <c r="L26" i="14" s="1"/>
  <c r="K26" i="13"/>
  <c r="F22" i="14" s="1"/>
  <c r="E26" i="13"/>
  <c r="L26" i="13"/>
  <c r="G22" i="14" s="1"/>
  <c r="I30" i="13"/>
  <c r="D26" i="14" s="1"/>
  <c r="R30" i="13"/>
  <c r="M26" i="14" s="1"/>
  <c r="P26" i="13"/>
  <c r="K10" i="14" s="1"/>
  <c r="J26" i="13"/>
  <c r="E10" i="14" s="1"/>
  <c r="U30" i="13"/>
  <c r="P26" i="14" s="1"/>
  <c r="O30" i="13"/>
  <c r="J26" i="14" s="1"/>
  <c r="M30" i="13"/>
  <c r="H26" i="14" s="1"/>
  <c r="G37" i="3"/>
  <c r="G91" i="3" s="1"/>
  <c r="Q35" i="3"/>
  <c r="Z54" i="3" s="1"/>
  <c r="U66" i="4" s="1"/>
  <c r="Q100" i="3"/>
  <c r="O52" i="3"/>
  <c r="T52" i="3"/>
  <c r="O64" i="4" s="1"/>
  <c r="Y52" i="3"/>
  <c r="T64" i="4" s="1"/>
  <c r="Q52" i="3"/>
  <c r="L64" i="4" s="1"/>
  <c r="H35" i="3"/>
  <c r="S45" i="3" s="1"/>
  <c r="D37" i="3"/>
  <c r="D91" i="3" s="1"/>
  <c r="F33" i="3"/>
  <c r="J37" i="3" s="1"/>
  <c r="J91" i="3" s="1"/>
  <c r="V48" i="3"/>
  <c r="Q43" i="4" s="1"/>
  <c r="X52" i="3"/>
  <c r="S64" i="4" s="1"/>
  <c r="P52" i="3"/>
  <c r="K64" i="4" s="1"/>
  <c r="S49" i="3"/>
  <c r="N61" i="4" s="1"/>
  <c r="AA13" i="11"/>
  <c r="AJ75" i="4"/>
  <c r="N35" i="3"/>
  <c r="V51" i="3" s="1"/>
  <c r="Q63" i="4" s="1"/>
  <c r="N100" i="3"/>
  <c r="Y41" i="13"/>
  <c r="U41" i="13"/>
  <c r="X41" i="13"/>
  <c r="AA41" i="13"/>
  <c r="W41" i="13"/>
  <c r="Z41" i="13"/>
  <c r="V41" i="13"/>
  <c r="AL41" i="6"/>
  <c r="AM41" i="6"/>
  <c r="S35" i="3"/>
  <c r="S100" i="3"/>
  <c r="L49" i="3"/>
  <c r="W37" i="3"/>
  <c r="W91" i="3" s="1"/>
  <c r="K37" i="3"/>
  <c r="K91" i="3" s="1"/>
  <c r="T35" i="3"/>
  <c r="X57" i="3" s="1"/>
  <c r="S69" i="4" s="1"/>
  <c r="I35" i="3"/>
  <c r="Q46" i="3" s="1"/>
  <c r="L41" i="4" s="1"/>
  <c r="L58" i="4" s="1"/>
  <c r="AH40" i="6"/>
  <c r="AL40" i="6"/>
  <c r="AI40" i="6"/>
  <c r="AJ40" i="6"/>
  <c r="AK40" i="6"/>
  <c r="AC42" i="6"/>
  <c r="AJ42" i="6"/>
  <c r="Y29" i="9"/>
  <c r="AF29" i="9"/>
  <c r="AF30" i="9"/>
  <c r="T33" i="10"/>
  <c r="T17" i="10" s="1"/>
  <c r="T38" i="17" s="1"/>
  <c r="AC29" i="9"/>
  <c r="Z30" i="9"/>
  <c r="M29" i="2"/>
  <c r="M28" i="10" s="1"/>
  <c r="M12" i="10" s="1"/>
  <c r="M32" i="17" s="1"/>
  <c r="W48" i="3"/>
  <c r="R43" i="4" s="1"/>
  <c r="H44" i="3"/>
  <c r="C12" i="4" s="1"/>
  <c r="K44" i="3"/>
  <c r="F39" i="4" s="1"/>
  <c r="O44" i="3"/>
  <c r="J24" i="4" s="1"/>
  <c r="O49" i="3"/>
  <c r="J61" i="4" s="1"/>
  <c r="C35" i="3"/>
  <c r="I37" i="3"/>
  <c r="I91" i="3" s="1"/>
  <c r="L37" i="3"/>
  <c r="L91" i="3" s="1"/>
  <c r="E35" i="3"/>
  <c r="AT26" i="6"/>
  <c r="AU26" i="6" s="1"/>
  <c r="AD29" i="9"/>
  <c r="Z29" i="9"/>
  <c r="U30" i="9"/>
  <c r="T29" i="9"/>
  <c r="AB30" i="9"/>
  <c r="W30" i="9"/>
  <c r="AE30" i="9"/>
  <c r="AC30" i="9"/>
  <c r="AE29" i="9"/>
  <c r="X37" i="8"/>
  <c r="X13" i="8" s="1"/>
  <c r="G13" i="19"/>
  <c r="AD30" i="9"/>
  <c r="C12" i="10"/>
  <c r="C32" i="10"/>
  <c r="D100" i="3"/>
  <c r="D35" i="3"/>
  <c r="G29" i="2"/>
  <c r="G28" i="10" s="1"/>
  <c r="G12" i="10" s="1"/>
  <c r="G32" i="17" s="1"/>
  <c r="X29" i="9"/>
  <c r="O37" i="3"/>
  <c r="O91" i="3" s="1"/>
  <c r="E37" i="3"/>
  <c r="E91" i="3" s="1"/>
  <c r="H37" i="3"/>
  <c r="H91" i="3" s="1"/>
  <c r="AE43" i="6"/>
  <c r="L47" i="6"/>
  <c r="O18" i="10" s="1"/>
  <c r="O39" i="17" s="1"/>
  <c r="AA29" i="9"/>
  <c r="AG27" i="9"/>
  <c r="T30" i="9"/>
  <c r="Y30" i="9"/>
  <c r="X30" i="9"/>
  <c r="J15" i="18"/>
  <c r="K15" i="18" s="1"/>
  <c r="G15" i="18"/>
  <c r="H15" i="18" s="1"/>
  <c r="AT33" i="6"/>
  <c r="AU33" i="6" s="1"/>
  <c r="AB29" i="9"/>
  <c r="AI43" i="6"/>
  <c r="AB24" i="3"/>
  <c r="AB26" i="3" s="1"/>
  <c r="AB28" i="3" s="1"/>
  <c r="AB32" i="3" s="1"/>
  <c r="AB33" i="3" s="1"/>
  <c r="AB35" i="3" s="1"/>
  <c r="AR65" i="3" s="1"/>
  <c r="AK43" i="6"/>
  <c r="AE42" i="6"/>
  <c r="AT36" i="6"/>
  <c r="AU36" i="6" s="1"/>
  <c r="I47" i="6"/>
  <c r="L18" i="10" s="1"/>
  <c r="L39" i="17" s="1"/>
  <c r="J47" i="6"/>
  <c r="M18" i="10" s="1"/>
  <c r="M39" i="17" s="1"/>
  <c r="AG43" i="6"/>
  <c r="AH43" i="6"/>
  <c r="AC43" i="6"/>
  <c r="F47" i="6"/>
  <c r="I18" i="10" s="1"/>
  <c r="I39" i="17" s="1"/>
  <c r="K47" i="6"/>
  <c r="N18" i="10" s="1"/>
  <c r="N39" i="17" s="1"/>
  <c r="C47" i="6"/>
  <c r="AT20" i="6"/>
  <c r="AU20" i="6" s="1"/>
  <c r="U35" i="6"/>
  <c r="X35" i="6"/>
  <c r="W35" i="6"/>
  <c r="Z35" i="6"/>
  <c r="AF35" i="6"/>
  <c r="Y35" i="6"/>
  <c r="AB35" i="6"/>
  <c r="AA35" i="6"/>
  <c r="AD35" i="6"/>
  <c r="AE35" i="6"/>
  <c r="T35" i="6"/>
  <c r="S35" i="6"/>
  <c r="V35" i="6"/>
  <c r="AC35" i="6"/>
  <c r="W31" i="6"/>
  <c r="W47" i="6" s="1"/>
  <c r="Z18" i="10" s="1"/>
  <c r="Z39" i="17" s="1"/>
  <c r="Z31" i="6"/>
  <c r="P31" i="6"/>
  <c r="R31" i="6"/>
  <c r="R47" i="6" s="1"/>
  <c r="U18" i="10" s="1"/>
  <c r="U39" i="17" s="1"/>
  <c r="N31" i="6"/>
  <c r="Q31" i="6"/>
  <c r="T31" i="6"/>
  <c r="U31" i="6"/>
  <c r="S31" i="6"/>
  <c r="V31" i="6"/>
  <c r="Y31" i="6"/>
  <c r="O31" i="6"/>
  <c r="X31" i="6"/>
  <c r="AJ43" i="6"/>
  <c r="H47" i="6"/>
  <c r="K18" i="10" s="1"/>
  <c r="K39" i="17" s="1"/>
  <c r="AT21" i="6"/>
  <c r="AU21" i="6" s="1"/>
  <c r="D47" i="6"/>
  <c r="G18" i="10" s="1"/>
  <c r="G39" i="17" s="1"/>
  <c r="E47" i="6"/>
  <c r="H18" i="10" s="1"/>
  <c r="H39" i="17" s="1"/>
  <c r="R28" i="14"/>
  <c r="Q27" i="14"/>
  <c r="AM32" i="13"/>
  <c r="AN32" i="13" s="1"/>
  <c r="F28" i="14"/>
  <c r="W37" i="13"/>
  <c r="R33" i="14" s="1"/>
  <c r="R37" i="13"/>
  <c r="M33" i="14" s="1"/>
  <c r="Z37" i="13"/>
  <c r="U33" i="14" s="1"/>
  <c r="Y37" i="13"/>
  <c r="T33" i="14" s="1"/>
  <c r="AA37" i="13"/>
  <c r="V33" i="14" s="1"/>
  <c r="X37" i="13"/>
  <c r="S33" i="14" s="1"/>
  <c r="T37" i="13"/>
  <c r="O33" i="14" s="1"/>
  <c r="AC37" i="13"/>
  <c r="AB37" i="13"/>
  <c r="W33" i="14" s="1"/>
  <c r="S37" i="13"/>
  <c r="N33" i="14" s="1"/>
  <c r="AD37" i="13"/>
  <c r="U37" i="13"/>
  <c r="P33" i="14" s="1"/>
  <c r="V37" i="13"/>
  <c r="Q33" i="14" s="1"/>
  <c r="Q37" i="13"/>
  <c r="I27" i="13"/>
  <c r="K27" i="13"/>
  <c r="F27" i="13"/>
  <c r="H27" i="13"/>
  <c r="Q27" i="13"/>
  <c r="S27" i="13"/>
  <c r="N27" i="13"/>
  <c r="P27" i="13"/>
  <c r="J27" i="13"/>
  <c r="L27" i="13"/>
  <c r="G27" i="13"/>
  <c r="M27" i="13"/>
  <c r="R27" i="13"/>
  <c r="O27" i="13"/>
  <c r="O24" i="13"/>
  <c r="F24" i="13"/>
  <c r="H24" i="13"/>
  <c r="E24" i="13"/>
  <c r="I24" i="13"/>
  <c r="C24" i="13"/>
  <c r="P24" i="13"/>
  <c r="K24" i="13"/>
  <c r="J24" i="13"/>
  <c r="G24" i="13"/>
  <c r="N24" i="13"/>
  <c r="L24" i="13"/>
  <c r="M24" i="13"/>
  <c r="D24" i="13"/>
  <c r="O36" i="14"/>
  <c r="AM40" i="13"/>
  <c r="AN40" i="13" s="1"/>
  <c r="AM31" i="13"/>
  <c r="AN31" i="13" s="1"/>
  <c r="E27" i="14"/>
  <c r="Y13" i="13"/>
  <c r="AH42" i="6"/>
  <c r="AI42" i="6"/>
  <c r="AA42" i="6"/>
  <c r="AD42" i="6"/>
  <c r="AB42" i="6"/>
  <c r="AG42" i="6"/>
  <c r="AC41" i="6"/>
  <c r="AD43" i="6"/>
  <c r="AF43" i="6"/>
  <c r="AA43" i="6"/>
  <c r="AM43" i="6"/>
  <c r="Z42" i="6"/>
  <c r="AF42" i="6"/>
  <c r="AL43" i="6"/>
  <c r="AB43" i="6"/>
  <c r="AG40" i="1"/>
  <c r="AA16" i="6"/>
  <c r="AA17" i="6" s="1"/>
  <c r="AC34" i="3"/>
  <c r="Y31" i="11"/>
  <c r="X18" i="13" s="1"/>
  <c r="AE41" i="6"/>
  <c r="AK62" i="3"/>
  <c r="AF74" i="4" s="1"/>
  <c r="AG62" i="3"/>
  <c r="AB74" i="4" s="1"/>
  <c r="AM62" i="3"/>
  <c r="AH74" i="4" s="1"/>
  <c r="AI62" i="3"/>
  <c r="AD74" i="4" s="1"/>
  <c r="AL62" i="3"/>
  <c r="AG74" i="4" s="1"/>
  <c r="AH62" i="3"/>
  <c r="AC74" i="4" s="1"/>
  <c r="AI74" i="4"/>
  <c r="AJ62" i="3"/>
  <c r="AE74" i="4" s="1"/>
  <c r="V24" i="15"/>
  <c r="V12" i="15" s="1"/>
  <c r="AB32" i="17" s="1"/>
  <c r="V12" i="13"/>
  <c r="V14" i="13" s="1"/>
  <c r="W19" i="11"/>
  <c r="U16" i="13"/>
  <c r="AA32" i="17"/>
  <c r="AC45" i="17"/>
  <c r="X16" i="16"/>
  <c r="Y34" i="11"/>
  <c r="AC23" i="17"/>
  <c r="AF40" i="6"/>
  <c r="Y40" i="6"/>
  <c r="X40" i="6"/>
  <c r="AA40" i="6"/>
  <c r="AE40" i="6"/>
  <c r="Z40" i="6"/>
  <c r="AC40" i="6"/>
  <c r="AG40" i="6"/>
  <c r="AD40" i="6"/>
  <c r="AB40" i="6"/>
  <c r="AK41" i="6"/>
  <c r="AG41" i="6"/>
  <c r="AI41" i="6"/>
  <c r="Y41" i="6"/>
  <c r="AA41" i="6"/>
  <c r="AH41" i="6"/>
  <c r="AB41" i="6"/>
  <c r="Z41" i="6"/>
  <c r="AF41" i="13"/>
  <c r="AB41" i="13"/>
  <c r="AE41" i="13"/>
  <c r="AG41" i="13"/>
  <c r="AC41" i="13"/>
  <c r="AH41" i="13"/>
  <c r="AD41" i="13"/>
  <c r="AD41" i="6"/>
  <c r="AJ41" i="6"/>
  <c r="AF41" i="6"/>
  <c r="Z100" i="3"/>
  <c r="AA35" i="3"/>
  <c r="AQ64" i="3" s="1"/>
  <c r="AA100" i="3"/>
  <c r="AA62" i="3"/>
  <c r="V74" i="4" s="1"/>
  <c r="Z62" i="3"/>
  <c r="U74" i="4" s="1"/>
  <c r="AF62" i="3"/>
  <c r="Y100" i="3"/>
  <c r="AB62" i="3"/>
  <c r="W74" i="4" s="1"/>
  <c r="AC62" i="3"/>
  <c r="X74" i="4" s="1"/>
  <c r="AD62" i="3"/>
  <c r="Y74" i="4" s="1"/>
  <c r="AE62" i="3"/>
  <c r="AC33" i="3"/>
  <c r="AA37" i="3"/>
  <c r="AA91" i="3" s="1"/>
  <c r="AD29" i="2"/>
  <c r="AD28" i="10" s="1"/>
  <c r="AD12" i="10" s="1"/>
  <c r="C24" i="14"/>
  <c r="C12" i="14"/>
  <c r="H12" i="14"/>
  <c r="H24" i="14"/>
  <c r="F24" i="14"/>
  <c r="F12" i="14"/>
  <c r="L24" i="14"/>
  <c r="L12" i="14"/>
  <c r="J12" i="14"/>
  <c r="J24" i="14"/>
  <c r="O12" i="14"/>
  <c r="O24" i="14"/>
  <c r="M24" i="14"/>
  <c r="M12" i="14"/>
  <c r="D12" i="14"/>
  <c r="D24" i="14"/>
  <c r="AM28" i="13"/>
  <c r="AN28" i="13" s="1"/>
  <c r="G24" i="14"/>
  <c r="G12" i="14"/>
  <c r="E24" i="14"/>
  <c r="E12" i="14"/>
  <c r="K12" i="14"/>
  <c r="K24" i="14"/>
  <c r="I12" i="14"/>
  <c r="I24" i="14"/>
  <c r="N24" i="14"/>
  <c r="N12" i="14"/>
  <c r="N49" i="3"/>
  <c r="I61" i="4" s="1"/>
  <c r="Q49" i="3"/>
  <c r="L61" i="4" s="1"/>
  <c r="U49" i="3"/>
  <c r="X49" i="3"/>
  <c r="S44" i="4" s="1"/>
  <c r="T37" i="3"/>
  <c r="T91" i="3" s="1"/>
  <c r="M37" i="3"/>
  <c r="M91" i="3" s="1"/>
  <c r="N37" i="3"/>
  <c r="N91" i="3" s="1"/>
  <c r="M49" i="3"/>
  <c r="H44" i="4" s="1"/>
  <c r="R49" i="3"/>
  <c r="M44" i="4" s="1"/>
  <c r="P49" i="3"/>
  <c r="K61" i="4" s="1"/>
  <c r="V49" i="3"/>
  <c r="T49" i="3"/>
  <c r="O44" i="4" s="1"/>
  <c r="Y49" i="3"/>
  <c r="T44" i="4" s="1"/>
  <c r="T45" i="4" s="1"/>
  <c r="P100" i="3"/>
  <c r="X37" i="3"/>
  <c r="X91" i="3" s="1"/>
  <c r="V37" i="3"/>
  <c r="V91" i="3" s="1"/>
  <c r="Z37" i="3"/>
  <c r="Z91" i="3" s="1"/>
  <c r="AI61" i="3"/>
  <c r="AD73" i="4" s="1"/>
  <c r="AA61" i="3"/>
  <c r="V73" i="4" s="1"/>
  <c r="AD61" i="3"/>
  <c r="Y73" i="4" s="1"/>
  <c r="Z61" i="3"/>
  <c r="U73" i="4" s="1"/>
  <c r="AK61" i="3"/>
  <c r="AF73" i="4" s="1"/>
  <c r="AJ61" i="3"/>
  <c r="AE73" i="4" s="1"/>
  <c r="AG61" i="3"/>
  <c r="AB73" i="4" s="1"/>
  <c r="AL61" i="3"/>
  <c r="Y61" i="3"/>
  <c r="AC61" i="3"/>
  <c r="X73" i="4" s="1"/>
  <c r="AB61" i="3"/>
  <c r="W73" i="4" s="1"/>
  <c r="AH61" i="3"/>
  <c r="AC73" i="4" s="1"/>
  <c r="AF61" i="3"/>
  <c r="AA73" i="4" s="1"/>
  <c r="AE61" i="3"/>
  <c r="Z73" i="4" s="1"/>
  <c r="Y37" i="3"/>
  <c r="Y91" i="3" s="1"/>
  <c r="V54" i="3"/>
  <c r="Q66" i="4" s="1"/>
  <c r="AB54" i="3"/>
  <c r="W66" i="4" s="1"/>
  <c r="S54" i="3"/>
  <c r="N66" i="4" s="1"/>
  <c r="W54" i="3"/>
  <c r="R66" i="4" s="1"/>
  <c r="Z60" i="3"/>
  <c r="U72" i="4" s="1"/>
  <c r="AB60" i="3"/>
  <c r="W72" i="4" s="1"/>
  <c r="AD60" i="3"/>
  <c r="Y72" i="4" s="1"/>
  <c r="AF60" i="3"/>
  <c r="AA72" i="4" s="1"/>
  <c r="AH60" i="3"/>
  <c r="AC72" i="4" s="1"/>
  <c r="AJ60" i="3"/>
  <c r="AE72" i="4" s="1"/>
  <c r="Y60" i="3"/>
  <c r="T72" i="4" s="1"/>
  <c r="AC60" i="3"/>
  <c r="X72" i="4" s="1"/>
  <c r="AG60" i="3"/>
  <c r="AB72" i="4" s="1"/>
  <c r="AK60" i="3"/>
  <c r="AA60" i="3"/>
  <c r="V72" i="4" s="1"/>
  <c r="AI60" i="3"/>
  <c r="AD72" i="4" s="1"/>
  <c r="X60" i="3"/>
  <c r="AE60" i="3"/>
  <c r="Z72" i="4" s="1"/>
  <c r="P35" i="3"/>
  <c r="S53" i="3" s="1"/>
  <c r="N65" i="4" s="1"/>
  <c r="S37" i="3"/>
  <c r="S91" i="3" s="1"/>
  <c r="R37" i="3"/>
  <c r="R91" i="3" s="1"/>
  <c r="U37" i="3"/>
  <c r="U91" i="3" s="1"/>
  <c r="Q37" i="3"/>
  <c r="Q91" i="3" s="1"/>
  <c r="P37" i="3"/>
  <c r="P91" i="3" s="1"/>
  <c r="M100" i="3"/>
  <c r="M35" i="3"/>
  <c r="N45" i="3"/>
  <c r="I45" i="3"/>
  <c r="V58" i="3"/>
  <c r="Z58" i="3"/>
  <c r="U70" i="4" s="1"/>
  <c r="AD58" i="3"/>
  <c r="Y70" i="4" s="1"/>
  <c r="AH58" i="3"/>
  <c r="AC70" i="4" s="1"/>
  <c r="Y58" i="3"/>
  <c r="T70" i="4" s="1"/>
  <c r="AC58" i="3"/>
  <c r="X70" i="4" s="1"/>
  <c r="AG58" i="3"/>
  <c r="AB70" i="4" s="1"/>
  <c r="X58" i="3"/>
  <c r="S70" i="4" s="1"/>
  <c r="AF58" i="3"/>
  <c r="AA70" i="4" s="1"/>
  <c r="AA58" i="3"/>
  <c r="V70" i="4" s="1"/>
  <c r="AE58" i="3"/>
  <c r="Z70" i="4" s="1"/>
  <c r="AB58" i="3"/>
  <c r="W70" i="4" s="1"/>
  <c r="W58" i="3"/>
  <c r="R70" i="4" s="1"/>
  <c r="AI58" i="3"/>
  <c r="H24" i="4"/>
  <c r="H12" i="4"/>
  <c r="H39" i="4"/>
  <c r="L39" i="4"/>
  <c r="L49" i="4" s="1"/>
  <c r="Q78" i="3" s="1"/>
  <c r="L24" i="4"/>
  <c r="L12" i="4"/>
  <c r="O39" i="4"/>
  <c r="O24" i="4"/>
  <c r="O12" i="4"/>
  <c r="M12" i="4"/>
  <c r="M39" i="4"/>
  <c r="M49" i="4" s="1"/>
  <c r="R78" i="3" s="1"/>
  <c r="M24" i="4"/>
  <c r="N35" i="14"/>
  <c r="Z34" i="14"/>
  <c r="V30" i="14"/>
  <c r="G44" i="4"/>
  <c r="L44" i="4"/>
  <c r="J44" i="4"/>
  <c r="P44" i="4"/>
  <c r="P61" i="4"/>
  <c r="V47" i="3"/>
  <c r="P47" i="3"/>
  <c r="U47" i="3"/>
  <c r="O47" i="3"/>
  <c r="T47" i="3"/>
  <c r="L47" i="3"/>
  <c r="G42" i="4" s="1"/>
  <c r="N47" i="3"/>
  <c r="S47" i="3"/>
  <c r="K47" i="3"/>
  <c r="F42" i="4" s="1"/>
  <c r="M47" i="3"/>
  <c r="R47" i="3"/>
  <c r="J47" i="3"/>
  <c r="Q47" i="3"/>
  <c r="Q35" i="13"/>
  <c r="L31" i="14" s="1"/>
  <c r="S35" i="13"/>
  <c r="N31" i="14" s="1"/>
  <c r="U35" i="13"/>
  <c r="P31" i="14" s="1"/>
  <c r="W35" i="13"/>
  <c r="R31" i="14" s="1"/>
  <c r="Y35" i="13"/>
  <c r="T31" i="14" s="1"/>
  <c r="AA35" i="13"/>
  <c r="V31" i="14" s="1"/>
  <c r="P35" i="13"/>
  <c r="K31" i="14" s="1"/>
  <c r="R35" i="13"/>
  <c r="M31" i="14" s="1"/>
  <c r="T35" i="13"/>
  <c r="O31" i="14" s="1"/>
  <c r="V35" i="13"/>
  <c r="Q31" i="14" s="1"/>
  <c r="X35" i="13"/>
  <c r="S31" i="14" s="1"/>
  <c r="Z35" i="13"/>
  <c r="U31" i="14" s="1"/>
  <c r="AB35" i="13"/>
  <c r="O35" i="13"/>
  <c r="H22" i="14"/>
  <c r="E22" i="14"/>
  <c r="L10" i="14"/>
  <c r="L22" i="14"/>
  <c r="E40" i="3"/>
  <c r="I40" i="3"/>
  <c r="C40" i="3"/>
  <c r="C69" i="3" s="1"/>
  <c r="H40" i="3"/>
  <c r="G40" i="3"/>
  <c r="M40" i="3"/>
  <c r="K40" i="3"/>
  <c r="L40" i="3"/>
  <c r="O40" i="3"/>
  <c r="F40" i="3"/>
  <c r="N40" i="3"/>
  <c r="D40" i="3"/>
  <c r="J40" i="3"/>
  <c r="P40" i="3"/>
  <c r="U57" i="3"/>
  <c r="AD57" i="3"/>
  <c r="Y69" i="4" s="1"/>
  <c r="AC57" i="3"/>
  <c r="X69" i="4" s="1"/>
  <c r="AE57" i="3"/>
  <c r="Z69" i="4" s="1"/>
  <c r="W55" i="3"/>
  <c r="R67" i="4" s="1"/>
  <c r="Y55" i="3"/>
  <c r="T67" i="4" s="1"/>
  <c r="AE55" i="3"/>
  <c r="U55" i="3"/>
  <c r="P67" i="4" s="1"/>
  <c r="X55" i="3"/>
  <c r="S67" i="4" s="1"/>
  <c r="Z55" i="3"/>
  <c r="U67" i="4" s="1"/>
  <c r="AF55" i="3"/>
  <c r="S55" i="3"/>
  <c r="M25" i="13"/>
  <c r="P25" i="13"/>
  <c r="F25" i="13"/>
  <c r="I25" i="13"/>
  <c r="L25" i="13"/>
  <c r="O25" i="13"/>
  <c r="E25" i="13"/>
  <c r="K25" i="13"/>
  <c r="D25" i="13"/>
  <c r="J25" i="13"/>
  <c r="H25" i="13"/>
  <c r="N25" i="13"/>
  <c r="G25" i="13"/>
  <c r="V22" i="15"/>
  <c r="W29" i="11"/>
  <c r="X26" i="11"/>
  <c r="I29" i="13"/>
  <c r="D25" i="14" s="1"/>
  <c r="K29" i="13"/>
  <c r="F25" i="14" s="1"/>
  <c r="M29" i="13"/>
  <c r="H25" i="14" s="1"/>
  <c r="O29" i="13"/>
  <c r="J25" i="14" s="1"/>
  <c r="Q29" i="13"/>
  <c r="L25" i="14" s="1"/>
  <c r="S29" i="13"/>
  <c r="H29" i="13"/>
  <c r="J29" i="13"/>
  <c r="E25" i="14" s="1"/>
  <c r="N29" i="13"/>
  <c r="I25" i="14" s="1"/>
  <c r="R29" i="13"/>
  <c r="L29" i="13"/>
  <c r="G25" i="14" s="1"/>
  <c r="P29" i="13"/>
  <c r="K25" i="14" s="1"/>
  <c r="T29" i="13"/>
  <c r="D24" i="4"/>
  <c r="D39" i="4"/>
  <c r="D12" i="4"/>
  <c r="G12" i="4"/>
  <c r="G39" i="4"/>
  <c r="G24" i="4"/>
  <c r="E39" i="4"/>
  <c r="E12" i="4"/>
  <c r="E24" i="4"/>
  <c r="K24" i="4"/>
  <c r="K12" i="4"/>
  <c r="K39" i="4"/>
  <c r="K49" i="4" s="1"/>
  <c r="P78" i="3" s="1"/>
  <c r="I24" i="4"/>
  <c r="I12" i="4"/>
  <c r="I39" i="4"/>
  <c r="I49" i="4" s="1"/>
  <c r="N78" i="3" s="1"/>
  <c r="N39" i="4"/>
  <c r="N49" i="4" s="1"/>
  <c r="N24" i="4"/>
  <c r="N12" i="4"/>
  <c r="AA35" i="14"/>
  <c r="J64" i="4"/>
  <c r="X34" i="14"/>
  <c r="Y34" i="14"/>
  <c r="AM38" i="13"/>
  <c r="AN38" i="13" s="1"/>
  <c r="M34" i="14"/>
  <c r="I30" i="14"/>
  <c r="AM34" i="13"/>
  <c r="AN34" i="13" s="1"/>
  <c r="U30" i="14"/>
  <c r="M61" i="4"/>
  <c r="K44" i="4"/>
  <c r="Q44" i="4"/>
  <c r="Q61" i="4"/>
  <c r="O61" i="4"/>
  <c r="R61" i="4"/>
  <c r="R44" i="4"/>
  <c r="M33" i="13"/>
  <c r="R33" i="13"/>
  <c r="M29" i="14" s="1"/>
  <c r="O33" i="13"/>
  <c r="J29" i="14" s="1"/>
  <c r="U33" i="13"/>
  <c r="N33" i="13"/>
  <c r="I29" i="14" s="1"/>
  <c r="P33" i="13"/>
  <c r="K29" i="14" s="1"/>
  <c r="T33" i="13"/>
  <c r="O29" i="14" s="1"/>
  <c r="V33" i="13"/>
  <c r="X33" i="13"/>
  <c r="Q33" i="13"/>
  <c r="L29" i="14" s="1"/>
  <c r="S33" i="13"/>
  <c r="N29" i="14" s="1"/>
  <c r="W33" i="13"/>
  <c r="Y33" i="13"/>
  <c r="I22" i="14"/>
  <c r="I10" i="14"/>
  <c r="C10" i="14"/>
  <c r="J10" i="14"/>
  <c r="J22" i="14"/>
  <c r="D22" i="14"/>
  <c r="Q53" i="3"/>
  <c r="L65" i="4" s="1"/>
  <c r="R53" i="3"/>
  <c r="M65" i="4" s="1"/>
  <c r="T53" i="3"/>
  <c r="O65" i="4" s="1"/>
  <c r="AD24" i="3"/>
  <c r="AD26" i="3" s="1"/>
  <c r="AD28" i="3" s="1"/>
  <c r="AD32" i="3" s="1"/>
  <c r="AD33" i="3" s="1"/>
  <c r="AE27" i="2"/>
  <c r="AE29" i="2" s="1"/>
  <c r="AE28" i="10" s="1"/>
  <c r="AE12" i="10" s="1"/>
  <c r="V25" i="16"/>
  <c r="AB63" i="3"/>
  <c r="W75" i="4" s="1"/>
  <c r="AC63" i="3"/>
  <c r="X75" i="4" s="1"/>
  <c r="AL63" i="3"/>
  <c r="AG75" i="4" s="1"/>
  <c r="AN63" i="3"/>
  <c r="AI75" i="4" s="1"/>
  <c r="AE63" i="3"/>
  <c r="Z75" i="4" s="1"/>
  <c r="AD63" i="3"/>
  <c r="AH63" i="3"/>
  <c r="AC75" i="4" s="1"/>
  <c r="AI63" i="3"/>
  <c r="AD75" i="4" s="1"/>
  <c r="AJ63" i="3"/>
  <c r="AE75" i="4" s="1"/>
  <c r="AK63" i="3"/>
  <c r="AF75" i="4" s="1"/>
  <c r="AM63" i="3"/>
  <c r="AH75" i="4" s="1"/>
  <c r="AG63" i="3"/>
  <c r="AB75" i="4" s="1"/>
  <c r="AF63" i="3"/>
  <c r="AA75" i="4" s="1"/>
  <c r="AA63" i="3"/>
  <c r="V75" i="4" s="1"/>
  <c r="R51" i="3"/>
  <c r="M63" i="4" s="1"/>
  <c r="T51" i="3"/>
  <c r="O63" i="4" s="1"/>
  <c r="Z51" i="3"/>
  <c r="N51" i="3"/>
  <c r="S51" i="3"/>
  <c r="N63" i="4" s="1"/>
  <c r="U51" i="3"/>
  <c r="P63" i="4" s="1"/>
  <c r="W59" i="3"/>
  <c r="Y59" i="3"/>
  <c r="T71" i="4" s="1"/>
  <c r="AA59" i="3"/>
  <c r="V71" i="4" s="1"/>
  <c r="AC59" i="3"/>
  <c r="X71" i="4" s="1"/>
  <c r="AE59" i="3"/>
  <c r="Z71" i="4" s="1"/>
  <c r="AG59" i="3"/>
  <c r="AB71" i="4" s="1"/>
  <c r="AI59" i="3"/>
  <c r="AD71" i="4" s="1"/>
  <c r="X59" i="3"/>
  <c r="S71" i="4" s="1"/>
  <c r="Z59" i="3"/>
  <c r="U71" i="4" s="1"/>
  <c r="AB59" i="3"/>
  <c r="W71" i="4" s="1"/>
  <c r="AD59" i="3"/>
  <c r="Y71" i="4" s="1"/>
  <c r="AF59" i="3"/>
  <c r="AA71" i="4" s="1"/>
  <c r="AH59" i="3"/>
  <c r="AC71" i="4" s="1"/>
  <c r="AJ59" i="3"/>
  <c r="S46" i="3"/>
  <c r="N41" i="4" s="1"/>
  <c r="N58" i="4" s="1"/>
  <c r="P46" i="3"/>
  <c r="K41" i="4" s="1"/>
  <c r="K58" i="4" s="1"/>
  <c r="L46" i="3"/>
  <c r="G41" i="4" s="1"/>
  <c r="AT42" i="6" l="1"/>
  <c r="AQ65" i="3"/>
  <c r="O47" i="6"/>
  <c r="AT24" i="6"/>
  <c r="AU24" i="6" s="1"/>
  <c r="P47" i="6"/>
  <c r="S18" i="10" s="1"/>
  <c r="S39" i="17" s="1"/>
  <c r="AP44" i="6"/>
  <c r="AO44" i="6"/>
  <c r="N47" i="6"/>
  <c r="Q18" i="10" s="1"/>
  <c r="Q39" i="17" s="1"/>
  <c r="AM39" i="13"/>
  <c r="AN39" i="13" s="1"/>
  <c r="G10" i="14"/>
  <c r="F10" i="14"/>
  <c r="K22" i="14"/>
  <c r="AM26" i="13"/>
  <c r="AN26" i="13" s="1"/>
  <c r="AM30" i="13"/>
  <c r="AN30" i="13" s="1"/>
  <c r="Q48" i="3"/>
  <c r="M48" i="3"/>
  <c r="U48" i="3"/>
  <c r="P48" i="3"/>
  <c r="L48" i="3"/>
  <c r="G43" i="4" s="1"/>
  <c r="L45" i="3"/>
  <c r="M45" i="3"/>
  <c r="H25" i="4" s="1"/>
  <c r="U46" i="3"/>
  <c r="O46" i="3"/>
  <c r="J41" i="4" s="1"/>
  <c r="J58" i="4" s="1"/>
  <c r="AB53" i="3"/>
  <c r="P53" i="3"/>
  <c r="AV53" i="3" s="1"/>
  <c r="AW53" i="3" s="1"/>
  <c r="Q60" i="4"/>
  <c r="AD55" i="3"/>
  <c r="Y67" i="4" s="1"/>
  <c r="V55" i="3"/>
  <c r="Q67" i="4" s="1"/>
  <c r="AC55" i="3"/>
  <c r="X67" i="4" s="1"/>
  <c r="N44" i="4"/>
  <c r="J12" i="4"/>
  <c r="F12" i="4"/>
  <c r="J45" i="3"/>
  <c r="E25" i="4" s="1"/>
  <c r="R45" i="3"/>
  <c r="M25" i="4" s="1"/>
  <c r="AP64" i="3"/>
  <c r="AL76" i="4"/>
  <c r="AL77" i="4" s="1"/>
  <c r="R48" i="3"/>
  <c r="T48" i="3"/>
  <c r="O60" i="4" s="1"/>
  <c r="X48" i="3"/>
  <c r="S60" i="4" s="1"/>
  <c r="O48" i="3"/>
  <c r="S48" i="3"/>
  <c r="N46" i="3"/>
  <c r="I41" i="4" s="1"/>
  <c r="I58" i="4" s="1"/>
  <c r="M46" i="3"/>
  <c r="H41" i="4" s="1"/>
  <c r="Z53" i="3"/>
  <c r="U65" i="4" s="1"/>
  <c r="W53" i="3"/>
  <c r="R65" i="4" s="1"/>
  <c r="AB55" i="3"/>
  <c r="W67" i="4" s="1"/>
  <c r="T55" i="3"/>
  <c r="O67" i="4" s="1"/>
  <c r="K45" i="3"/>
  <c r="Q45" i="3"/>
  <c r="L40" i="4" s="1"/>
  <c r="L50" i="4" s="1"/>
  <c r="Q79" i="3" s="1"/>
  <c r="N48" i="3"/>
  <c r="K48" i="3"/>
  <c r="U52" i="3"/>
  <c r="P64" i="4" s="1"/>
  <c r="AA52" i="3"/>
  <c r="V64" i="4" s="1"/>
  <c r="V52" i="3"/>
  <c r="Q64" i="4" s="1"/>
  <c r="W52" i="3"/>
  <c r="R64" i="4" s="1"/>
  <c r="R52" i="3"/>
  <c r="M64" i="4" s="1"/>
  <c r="S52" i="3"/>
  <c r="N64" i="4" s="1"/>
  <c r="Z52" i="3"/>
  <c r="U64" i="4" s="1"/>
  <c r="Z13" i="13"/>
  <c r="Z11" i="12"/>
  <c r="Z9" i="12"/>
  <c r="Z21" i="15"/>
  <c r="Z10" i="15" s="1"/>
  <c r="AF30" i="17" s="1"/>
  <c r="Z10" i="13"/>
  <c r="AC16" i="6"/>
  <c r="AC17" i="6" s="1"/>
  <c r="AE34" i="3"/>
  <c r="AE35" i="3" s="1"/>
  <c r="AA31" i="11"/>
  <c r="Z18" i="13" s="1"/>
  <c r="AK76" i="4"/>
  <c r="AK77" i="4" s="1"/>
  <c r="G47" i="6"/>
  <c r="J18" i="10" s="1"/>
  <c r="J39" i="17" s="1"/>
  <c r="Q47" i="6"/>
  <c r="T18" i="10" s="1"/>
  <c r="T39" i="17" s="1"/>
  <c r="L51" i="6"/>
  <c r="L52" i="6" s="1"/>
  <c r="O16" i="8" s="1"/>
  <c r="O16" i="17" s="1"/>
  <c r="U21" i="13"/>
  <c r="U60" i="13" s="1"/>
  <c r="U19" i="13"/>
  <c r="V42" i="13" s="1"/>
  <c r="X53" i="3"/>
  <c r="S65" i="4" s="1"/>
  <c r="AA53" i="3"/>
  <c r="V65" i="4" s="1"/>
  <c r="U53" i="3"/>
  <c r="P65" i="4" s="1"/>
  <c r="I44" i="4"/>
  <c r="AN44" i="4" s="1"/>
  <c r="J39" i="4"/>
  <c r="J49" i="4" s="1"/>
  <c r="O78" i="3" s="1"/>
  <c r="F24" i="4"/>
  <c r="AN24" i="4" s="1"/>
  <c r="R60" i="4"/>
  <c r="S43" i="4"/>
  <c r="P45" i="3"/>
  <c r="U45" i="3"/>
  <c r="P25" i="4" s="1"/>
  <c r="P26" i="4" s="1"/>
  <c r="T45" i="3"/>
  <c r="R54" i="3"/>
  <c r="M66" i="4" s="1"/>
  <c r="Y54" i="3"/>
  <c r="T66" i="4" s="1"/>
  <c r="AD54" i="3"/>
  <c r="Y66" i="4" s="1"/>
  <c r="X54" i="3"/>
  <c r="S66" i="4" s="1"/>
  <c r="AC54" i="3"/>
  <c r="T54" i="3"/>
  <c r="O66" i="4" s="1"/>
  <c r="J46" i="3"/>
  <c r="E41" i="4" s="1"/>
  <c r="T46" i="3"/>
  <c r="O41" i="4" s="1"/>
  <c r="O58" i="4" s="1"/>
  <c r="K46" i="3"/>
  <c r="F41" i="4" s="1"/>
  <c r="R46" i="3"/>
  <c r="M41" i="4" s="1"/>
  <c r="M58" i="4" s="1"/>
  <c r="I46" i="3"/>
  <c r="D41" i="4" s="1"/>
  <c r="AE37" i="3"/>
  <c r="AE91" i="3" s="1"/>
  <c r="V53" i="3"/>
  <c r="Q65" i="4" s="1"/>
  <c r="Y53" i="3"/>
  <c r="T65" i="4" s="1"/>
  <c r="AV44" i="3"/>
  <c r="AW44" i="3" s="1"/>
  <c r="O45" i="3"/>
  <c r="H45" i="3"/>
  <c r="AV45" i="3" s="1"/>
  <c r="AW45" i="3" s="1"/>
  <c r="AA54" i="3"/>
  <c r="V66" i="4" s="1"/>
  <c r="U54" i="3"/>
  <c r="P66" i="4" s="1"/>
  <c r="F100" i="3"/>
  <c r="F35" i="3"/>
  <c r="F37" i="3"/>
  <c r="F91" i="3" s="1"/>
  <c r="AL44" i="6"/>
  <c r="F42" i="3"/>
  <c r="J42" i="3"/>
  <c r="N42" i="3"/>
  <c r="R42" i="3"/>
  <c r="K42" i="3"/>
  <c r="O42" i="3"/>
  <c r="H42" i="3"/>
  <c r="L42" i="3"/>
  <c r="P42" i="3"/>
  <c r="E42" i="3"/>
  <c r="I42" i="3"/>
  <c r="M42" i="3"/>
  <c r="Q42" i="3"/>
  <c r="G42" i="3"/>
  <c r="Y57" i="3"/>
  <c r="T69" i="4" s="1"/>
  <c r="AB57" i="3"/>
  <c r="W69" i="4" s="1"/>
  <c r="C32" i="17"/>
  <c r="C40" i="17" s="1"/>
  <c r="C44" i="17" s="1"/>
  <c r="C46" i="17" s="1"/>
  <c r="C19" i="10"/>
  <c r="Y51" i="3"/>
  <c r="T63" i="4" s="1"/>
  <c r="Q51" i="3"/>
  <c r="L63" i="4" s="1"/>
  <c r="X51" i="3"/>
  <c r="S63" i="4" s="1"/>
  <c r="P51" i="3"/>
  <c r="K63" i="4" s="1"/>
  <c r="T61" i="4"/>
  <c r="H61" i="4"/>
  <c r="W57" i="3"/>
  <c r="R69" i="4" s="1"/>
  <c r="AH57" i="3"/>
  <c r="AC69" i="4" s="1"/>
  <c r="Z57" i="3"/>
  <c r="U69" i="4" s="1"/>
  <c r="S61" i="4"/>
  <c r="AV49" i="3"/>
  <c r="AW49" i="3" s="1"/>
  <c r="C24" i="4"/>
  <c r="F43" i="4"/>
  <c r="O43" i="4"/>
  <c r="G41" i="3"/>
  <c r="D41" i="3"/>
  <c r="P41" i="3"/>
  <c r="M41" i="3"/>
  <c r="Q41" i="3"/>
  <c r="I41" i="3"/>
  <c r="F41" i="3"/>
  <c r="K41" i="3"/>
  <c r="J41" i="3"/>
  <c r="O41" i="3"/>
  <c r="L41" i="3"/>
  <c r="H41" i="3"/>
  <c r="E41" i="3"/>
  <c r="N41" i="3"/>
  <c r="T56" i="3"/>
  <c r="AB56" i="3"/>
  <c r="W68" i="4" s="1"/>
  <c r="W56" i="3"/>
  <c r="R68" i="4" s="1"/>
  <c r="AE56" i="3"/>
  <c r="Z68" i="4" s="1"/>
  <c r="V56" i="3"/>
  <c r="Q68" i="4" s="1"/>
  <c r="AD56" i="3"/>
  <c r="Y68" i="4" s="1"/>
  <c r="AG56" i="3"/>
  <c r="AB68" i="4" s="1"/>
  <c r="X56" i="3"/>
  <c r="S68" i="4" s="1"/>
  <c r="AF56" i="3"/>
  <c r="AA68" i="4" s="1"/>
  <c r="AA56" i="3"/>
  <c r="V68" i="4" s="1"/>
  <c r="Z56" i="3"/>
  <c r="U68" i="4" s="1"/>
  <c r="U56" i="3"/>
  <c r="P68" i="4" s="1"/>
  <c r="AC56" i="3"/>
  <c r="X68" i="4" s="1"/>
  <c r="Y56" i="3"/>
  <c r="T68" i="4" s="1"/>
  <c r="AM41" i="13"/>
  <c r="AN41" i="13" s="1"/>
  <c r="C17" i="9"/>
  <c r="C20" i="9" s="1"/>
  <c r="C8" i="9"/>
  <c r="C11" i="9" s="1"/>
  <c r="AA57" i="3"/>
  <c r="V69" i="4" s="1"/>
  <c r="W51" i="3"/>
  <c r="R63" i="4" s="1"/>
  <c r="O51" i="3"/>
  <c r="J63" i="4" s="1"/>
  <c r="V57" i="3"/>
  <c r="Q69" i="4" s="1"/>
  <c r="AG57" i="3"/>
  <c r="AB69" i="4" s="1"/>
  <c r="AF57" i="3"/>
  <c r="AA69" i="4" s="1"/>
  <c r="Y37" i="8"/>
  <c r="Y13" i="8" s="1"/>
  <c r="H13" i="19"/>
  <c r="AC64" i="3"/>
  <c r="X76" i="4" s="1"/>
  <c r="Y75" i="4"/>
  <c r="N51" i="6"/>
  <c r="N52" i="6" s="1"/>
  <c r="Q16" i="8" s="1"/>
  <c r="Q16" i="17" s="1"/>
  <c r="AE44" i="6"/>
  <c r="Y47" i="6"/>
  <c r="AB18" i="10" s="1"/>
  <c r="AB39" i="17" s="1"/>
  <c r="T47" i="6"/>
  <c r="W18" i="10" s="1"/>
  <c r="W39" i="17" s="1"/>
  <c r="AF44" i="6"/>
  <c r="R18" i="10"/>
  <c r="R39" i="17" s="1"/>
  <c r="O51" i="6"/>
  <c r="O52" i="6" s="1"/>
  <c r="R16" i="8" s="1"/>
  <c r="R16" i="17" s="1"/>
  <c r="Z47" i="6"/>
  <c r="AC18" i="10" s="1"/>
  <c r="AC39" i="17" s="1"/>
  <c r="U47" i="6"/>
  <c r="X18" i="10" s="1"/>
  <c r="X39" i="17" s="1"/>
  <c r="V47" i="6"/>
  <c r="Y18" i="10" s="1"/>
  <c r="Y39" i="17" s="1"/>
  <c r="AT35" i="6"/>
  <c r="AU35" i="6" s="1"/>
  <c r="M51" i="6"/>
  <c r="M52" i="6" s="1"/>
  <c r="P16" i="8" s="1"/>
  <c r="P16" i="17" s="1"/>
  <c r="AU43" i="6"/>
  <c r="AU42" i="6"/>
  <c r="S47" i="6"/>
  <c r="V18" i="10" s="1"/>
  <c r="V39" i="17" s="1"/>
  <c r="AT31" i="6"/>
  <c r="AU31" i="6" s="1"/>
  <c r="D51" i="6"/>
  <c r="D52" i="6" s="1"/>
  <c r="G16" i="8" s="1"/>
  <c r="G16" i="17" s="1"/>
  <c r="H51" i="6"/>
  <c r="H52" i="6" s="1"/>
  <c r="K16" i="8" s="1"/>
  <c r="K16" i="17" s="1"/>
  <c r="C51" i="6"/>
  <c r="C52" i="6" s="1"/>
  <c r="F16" i="8" s="1"/>
  <c r="F16" i="17" s="1"/>
  <c r="G51" i="6"/>
  <c r="G52" i="6" s="1"/>
  <c r="J16" i="8" s="1"/>
  <c r="J16" i="17" s="1"/>
  <c r="F51" i="6"/>
  <c r="F52" i="6" s="1"/>
  <c r="I16" i="8" s="1"/>
  <c r="I16" i="17" s="1"/>
  <c r="F18" i="10"/>
  <c r="F39" i="17" s="1"/>
  <c r="E51" i="6"/>
  <c r="E52" i="6" s="1"/>
  <c r="H16" i="8" s="1"/>
  <c r="H16" i="17" s="1"/>
  <c r="K51" i="6"/>
  <c r="K52" i="6" s="1"/>
  <c r="N16" i="17" s="1"/>
  <c r="J51" i="6"/>
  <c r="J52" i="6" s="1"/>
  <c r="M16" i="8" s="1"/>
  <c r="M16" i="17" s="1"/>
  <c r="I51" i="6"/>
  <c r="I52" i="6" s="1"/>
  <c r="L16" i="8" s="1"/>
  <c r="L16" i="17" s="1"/>
  <c r="X33" i="14"/>
  <c r="U44" i="13"/>
  <c r="U54" i="13" s="1"/>
  <c r="U56" i="13" s="1"/>
  <c r="Y33" i="14"/>
  <c r="M44" i="13"/>
  <c r="M54" i="13" s="1"/>
  <c r="M56" i="13" s="1"/>
  <c r="H8" i="14"/>
  <c r="H20" i="14" s="1"/>
  <c r="I44" i="13"/>
  <c r="I54" i="13" s="1"/>
  <c r="I56" i="13" s="1"/>
  <c r="D8" i="14"/>
  <c r="D20" i="14" s="1"/>
  <c r="R44" i="13"/>
  <c r="R54" i="13" s="1"/>
  <c r="R56" i="13" s="1"/>
  <c r="M11" i="14"/>
  <c r="M23" i="14"/>
  <c r="L11" i="14"/>
  <c r="L23" i="14"/>
  <c r="L44" i="13"/>
  <c r="L54" i="13" s="1"/>
  <c r="L56" i="13" s="1"/>
  <c r="G8" i="14"/>
  <c r="G20" i="14" s="1"/>
  <c r="E44" i="13"/>
  <c r="E54" i="13" s="1"/>
  <c r="E56" i="13" s="1"/>
  <c r="E23" i="15" s="1"/>
  <c r="T44" i="13"/>
  <c r="T54" i="13" s="1"/>
  <c r="T56" i="13" s="1"/>
  <c r="H23" i="14"/>
  <c r="H11" i="14"/>
  <c r="K11" i="14"/>
  <c r="K23" i="14"/>
  <c r="C11" i="14"/>
  <c r="C23" i="14"/>
  <c r="L33" i="14"/>
  <c r="AM37" i="13"/>
  <c r="AN37" i="13" s="1"/>
  <c r="N44" i="13"/>
  <c r="N54" i="13" s="1"/>
  <c r="N56" i="13" s="1"/>
  <c r="I8" i="14"/>
  <c r="I20" i="14" s="1"/>
  <c r="P44" i="13"/>
  <c r="P54" i="13" s="1"/>
  <c r="P56" i="13" s="1"/>
  <c r="K8" i="14"/>
  <c r="K20" i="14" s="1"/>
  <c r="H44" i="13"/>
  <c r="H54" i="13" s="1"/>
  <c r="H56" i="13" s="1"/>
  <c r="C8" i="14"/>
  <c r="I11" i="14"/>
  <c r="I23" i="14"/>
  <c r="AM27" i="13"/>
  <c r="AN27" i="13" s="1"/>
  <c r="J44" i="13"/>
  <c r="J54" i="13" s="1"/>
  <c r="J56" i="13" s="1"/>
  <c r="E8" i="14"/>
  <c r="E20" i="14" s="1"/>
  <c r="O44" i="13"/>
  <c r="O54" i="13" s="1"/>
  <c r="O56" i="13" s="1"/>
  <c r="J8" i="14"/>
  <c r="J20" i="14" s="1"/>
  <c r="E23" i="14"/>
  <c r="E11" i="14"/>
  <c r="D23" i="14"/>
  <c r="D11" i="14"/>
  <c r="Q44" i="13"/>
  <c r="Q54" i="13" s="1"/>
  <c r="Q56" i="13" s="1"/>
  <c r="K44" i="13"/>
  <c r="K54" i="13" s="1"/>
  <c r="K56" i="13" s="1"/>
  <c r="F8" i="14"/>
  <c r="F20" i="14" s="1"/>
  <c r="D44" i="13"/>
  <c r="G44" i="13"/>
  <c r="G54" i="13" s="1"/>
  <c r="G56" i="13" s="1"/>
  <c r="C44" i="13"/>
  <c r="AM24" i="13"/>
  <c r="AN24" i="13" s="1"/>
  <c r="F44" i="13"/>
  <c r="F54" i="13" s="1"/>
  <c r="F56" i="13" s="1"/>
  <c r="J11" i="14"/>
  <c r="J23" i="14"/>
  <c r="G11" i="14"/>
  <c r="G23" i="14"/>
  <c r="S44" i="13"/>
  <c r="S54" i="13" s="1"/>
  <c r="S56" i="13" s="1"/>
  <c r="N23" i="14"/>
  <c r="N11" i="14"/>
  <c r="F11" i="14"/>
  <c r="F23" i="14"/>
  <c r="U69" i="13"/>
  <c r="AB44" i="6"/>
  <c r="AN44" i="6"/>
  <c r="AM44" i="6"/>
  <c r="AI44" i="6"/>
  <c r="AH44" i="6"/>
  <c r="AD44" i="6"/>
  <c r="AK44" i="6"/>
  <c r="AB16" i="6"/>
  <c r="AB17" i="6" s="1"/>
  <c r="AD34" i="3"/>
  <c r="Z31" i="11"/>
  <c r="Y18" i="13" s="1"/>
  <c r="AJ44" i="6"/>
  <c r="AC44" i="6"/>
  <c r="AG44" i="6"/>
  <c r="AB37" i="3"/>
  <c r="AB91" i="3" s="1"/>
  <c r="AC37" i="3"/>
  <c r="AC91" i="3" s="1"/>
  <c r="AG65" i="3"/>
  <c r="AK65" i="3"/>
  <c r="AD65" i="3"/>
  <c r="G9" i="18"/>
  <c r="H9" i="18" s="1"/>
  <c r="J9" i="18"/>
  <c r="K9" i="18" s="1"/>
  <c r="AE65" i="3"/>
  <c r="AM65" i="3"/>
  <c r="AC65" i="3"/>
  <c r="AH65" i="3"/>
  <c r="AN65" i="3"/>
  <c r="AP65" i="3"/>
  <c r="AO65" i="3"/>
  <c r="AF65" i="3"/>
  <c r="AI65" i="3"/>
  <c r="AJ65" i="3"/>
  <c r="AL65" i="3"/>
  <c r="AB100" i="3"/>
  <c r="AO64" i="3"/>
  <c r="AL64" i="3"/>
  <c r="AN64" i="3"/>
  <c r="AM64" i="3"/>
  <c r="Z74" i="4"/>
  <c r="AA74" i="4"/>
  <c r="W8" i="12"/>
  <c r="W12" i="12" s="1"/>
  <c r="W14" i="12" s="1"/>
  <c r="V15" i="13"/>
  <c r="V16" i="13" s="1"/>
  <c r="W24" i="16"/>
  <c r="W8" i="16" s="1"/>
  <c r="AB8" i="17" s="1"/>
  <c r="X12" i="11"/>
  <c r="W20" i="11"/>
  <c r="W9" i="13"/>
  <c r="AD45" i="17"/>
  <c r="AD23" i="17"/>
  <c r="Y16" i="16"/>
  <c r="Z34" i="11"/>
  <c r="AA34" i="11" s="1"/>
  <c r="AA47" i="6"/>
  <c r="AD18" i="10" s="1"/>
  <c r="AD39" i="17" s="1"/>
  <c r="AT40" i="6"/>
  <c r="AU40" i="6" s="1"/>
  <c r="X47" i="6"/>
  <c r="AT41" i="6"/>
  <c r="AU41" i="6" s="1"/>
  <c r="Y37" i="14"/>
  <c r="X37" i="14"/>
  <c r="AC37" i="14"/>
  <c r="AB37" i="14"/>
  <c r="S37" i="14"/>
  <c r="AG64" i="3"/>
  <c r="Q37" i="14"/>
  <c r="P37" i="14"/>
  <c r="R37" i="14"/>
  <c r="W37" i="14"/>
  <c r="Z37" i="14"/>
  <c r="AI64" i="3"/>
  <c r="U37" i="14"/>
  <c r="T37" i="14"/>
  <c r="V37" i="14"/>
  <c r="AA37" i="14"/>
  <c r="AH64" i="3"/>
  <c r="AK64" i="3"/>
  <c r="AB64" i="3"/>
  <c r="W76" i="4" s="1"/>
  <c r="AE64" i="3"/>
  <c r="Z76" i="4" s="1"/>
  <c r="AF64" i="3"/>
  <c r="AD64" i="3"/>
  <c r="Y76" i="4" s="1"/>
  <c r="AJ64" i="3"/>
  <c r="AC100" i="3"/>
  <c r="AV62" i="3"/>
  <c r="AW62" i="3" s="1"/>
  <c r="AC35" i="3"/>
  <c r="AV63" i="3"/>
  <c r="AW63" i="3" s="1"/>
  <c r="U63" i="4"/>
  <c r="AA67" i="4"/>
  <c r="Z67" i="4"/>
  <c r="E69" i="3"/>
  <c r="E85" i="3" s="1"/>
  <c r="E87" i="3" s="1"/>
  <c r="AF72" i="4"/>
  <c r="X66" i="4"/>
  <c r="AV61" i="3"/>
  <c r="AW61" i="3" s="1"/>
  <c r="T73" i="4"/>
  <c r="AH73" i="4"/>
  <c r="AE71" i="4"/>
  <c r="W65" i="4"/>
  <c r="D69" i="3"/>
  <c r="D85" i="3" s="1"/>
  <c r="D87" i="3" s="1"/>
  <c r="AD70" i="4"/>
  <c r="AG73" i="4"/>
  <c r="Q70" i="4"/>
  <c r="AV58" i="3"/>
  <c r="AW58" i="3" s="1"/>
  <c r="J40" i="4"/>
  <c r="J50" i="4" s="1"/>
  <c r="O79" i="3" s="1"/>
  <c r="J25" i="4"/>
  <c r="N25" i="4"/>
  <c r="N40" i="4"/>
  <c r="N50" i="4" s="1"/>
  <c r="S79" i="3" s="1"/>
  <c r="H40" i="4"/>
  <c r="E40" i="4"/>
  <c r="K40" i="4"/>
  <c r="K50" i="4" s="1"/>
  <c r="P79" i="3" s="1"/>
  <c r="K25" i="4"/>
  <c r="D40" i="4"/>
  <c r="D25" i="4"/>
  <c r="P40" i="4"/>
  <c r="P50" i="4" s="1"/>
  <c r="O25" i="4"/>
  <c r="O26" i="4" s="1"/>
  <c r="O40" i="4"/>
  <c r="O50" i="4" s="1"/>
  <c r="T79" i="3" s="1"/>
  <c r="I40" i="4"/>
  <c r="I50" i="4" s="1"/>
  <c r="N79" i="3" s="1"/>
  <c r="I25" i="4"/>
  <c r="N50" i="3"/>
  <c r="I62" i="4" s="1"/>
  <c r="R50" i="3"/>
  <c r="M62" i="4" s="1"/>
  <c r="V50" i="3"/>
  <c r="Q62" i="4" s="1"/>
  <c r="M50" i="3"/>
  <c r="Q50" i="3"/>
  <c r="L62" i="4" s="1"/>
  <c r="U50" i="3"/>
  <c r="P62" i="4" s="1"/>
  <c r="Y50" i="3"/>
  <c r="P50" i="3"/>
  <c r="K62" i="4" s="1"/>
  <c r="T50" i="3"/>
  <c r="O62" i="4" s="1"/>
  <c r="X50" i="3"/>
  <c r="O50" i="3"/>
  <c r="J62" i="4" s="1"/>
  <c r="S50" i="3"/>
  <c r="N62" i="4" s="1"/>
  <c r="W50" i="3"/>
  <c r="AV60" i="3"/>
  <c r="AW60" i="3" s="1"/>
  <c r="S72" i="4"/>
  <c r="F40" i="4"/>
  <c r="F25" i="4"/>
  <c r="G25" i="4"/>
  <c r="G40" i="4"/>
  <c r="L25" i="4"/>
  <c r="W25" i="16"/>
  <c r="AD100" i="3"/>
  <c r="AD35" i="3"/>
  <c r="AG10" i="14"/>
  <c r="T29" i="14"/>
  <c r="S29" i="14"/>
  <c r="AM33" i="13"/>
  <c r="AN33" i="13" s="1"/>
  <c r="H29" i="14"/>
  <c r="M25" i="14"/>
  <c r="N25" i="14"/>
  <c r="W22" i="15"/>
  <c r="X29" i="11"/>
  <c r="X23" i="11" s="1"/>
  <c r="Y26" i="11"/>
  <c r="I21" i="14"/>
  <c r="I9" i="14"/>
  <c r="E21" i="14"/>
  <c r="E9" i="14"/>
  <c r="F21" i="14"/>
  <c r="F9" i="14"/>
  <c r="J21" i="14"/>
  <c r="J9" i="14"/>
  <c r="D21" i="14"/>
  <c r="D9" i="14"/>
  <c r="K21" i="14"/>
  <c r="K9" i="14"/>
  <c r="P69" i="4"/>
  <c r="E8" i="4"/>
  <c r="E20" i="4" s="1"/>
  <c r="I8" i="4"/>
  <c r="I20" i="4" s="1"/>
  <c r="J8" i="4"/>
  <c r="J20" i="4" s="1"/>
  <c r="F8" i="4"/>
  <c r="F20" i="4" s="1"/>
  <c r="AV40" i="3"/>
  <c r="AW40" i="3" s="1"/>
  <c r="AM35" i="13"/>
  <c r="AN35" i="13" s="1"/>
  <c r="J31" i="14"/>
  <c r="L42" i="4"/>
  <c r="L59" i="4"/>
  <c r="M59" i="4"/>
  <c r="M42" i="4"/>
  <c r="I42" i="4"/>
  <c r="I59" i="4"/>
  <c r="O59" i="4"/>
  <c r="O42" i="4"/>
  <c r="P59" i="4"/>
  <c r="P42" i="4"/>
  <c r="Q59" i="4"/>
  <c r="Q42" i="4"/>
  <c r="Q45" i="4" s="1"/>
  <c r="O49" i="4"/>
  <c r="H49" i="4"/>
  <c r="R45" i="4"/>
  <c r="AD37" i="3"/>
  <c r="AD91" i="3" s="1"/>
  <c r="H58" i="4"/>
  <c r="P41" i="4"/>
  <c r="AV59" i="3"/>
  <c r="AW59" i="3" s="1"/>
  <c r="R71" i="4"/>
  <c r="I63" i="4"/>
  <c r="V9" i="16"/>
  <c r="V26" i="16"/>
  <c r="K65" i="4"/>
  <c r="R29" i="14"/>
  <c r="Q29" i="14"/>
  <c r="P29" i="14"/>
  <c r="S78" i="3"/>
  <c r="O25" i="14"/>
  <c r="O40" i="14" s="1"/>
  <c r="AM29" i="13"/>
  <c r="AN29" i="13" s="1"/>
  <c r="C25" i="14"/>
  <c r="C21" i="14"/>
  <c r="C9" i="14"/>
  <c r="AM25" i="13"/>
  <c r="AN25" i="13" s="1"/>
  <c r="G21" i="14"/>
  <c r="G9" i="14"/>
  <c r="H21" i="14"/>
  <c r="H9" i="14"/>
  <c r="AV55" i="3"/>
  <c r="AW55" i="3" s="1"/>
  <c r="N67" i="4"/>
  <c r="K8" i="4"/>
  <c r="K20" i="4" s="1"/>
  <c r="G8" i="4"/>
  <c r="G20" i="4" s="1"/>
  <c r="H8" i="4"/>
  <c r="H20" i="4" s="1"/>
  <c r="C8" i="4"/>
  <c r="D8" i="4"/>
  <c r="D20" i="4" s="1"/>
  <c r="W31" i="14"/>
  <c r="AV47" i="3"/>
  <c r="AW47" i="3" s="1"/>
  <c r="E42" i="4"/>
  <c r="H59" i="4"/>
  <c r="H42" i="4"/>
  <c r="N59" i="4"/>
  <c r="N42" i="4"/>
  <c r="J59" i="4"/>
  <c r="J42" i="4"/>
  <c r="K59" i="4"/>
  <c r="K42" i="4"/>
  <c r="AN12" i="4"/>
  <c r="AR66" i="3" l="1"/>
  <c r="AS67" i="3"/>
  <c r="X77" i="4"/>
  <c r="AU69" i="3"/>
  <c r="AT68" i="3"/>
  <c r="P51" i="6"/>
  <c r="P52" i="6" s="1"/>
  <c r="S16" i="8" s="1"/>
  <c r="S16" i="17" s="1"/>
  <c r="AQ45" i="6"/>
  <c r="AP45" i="6"/>
  <c r="K60" i="4"/>
  <c r="K43" i="4"/>
  <c r="AV48" i="3"/>
  <c r="AW48" i="3" s="1"/>
  <c r="J60" i="4"/>
  <c r="J43" i="4"/>
  <c r="M40" i="4"/>
  <c r="M50" i="4" s="1"/>
  <c r="R79" i="3" s="1"/>
  <c r="H43" i="4"/>
  <c r="AN43" i="4" s="1"/>
  <c r="H60" i="4"/>
  <c r="AV54" i="3"/>
  <c r="AW54" i="3" s="1"/>
  <c r="N60" i="4"/>
  <c r="N43" i="4"/>
  <c r="M43" i="4"/>
  <c r="M60" i="4"/>
  <c r="P60" i="4"/>
  <c r="P43" i="4"/>
  <c r="AV46" i="3"/>
  <c r="AW46" i="3" s="1"/>
  <c r="C25" i="4"/>
  <c r="I43" i="4"/>
  <c r="I60" i="4"/>
  <c r="AV52" i="3"/>
  <c r="AW52" i="3" s="1"/>
  <c r="L43" i="4"/>
  <c r="L60" i="4"/>
  <c r="AF45" i="17"/>
  <c r="AF23" i="17"/>
  <c r="AA16" i="16"/>
  <c r="AS68" i="3"/>
  <c r="AP68" i="3"/>
  <c r="AK68" i="3"/>
  <c r="AH68" i="3"/>
  <c r="AO68" i="3"/>
  <c r="AF68" i="3"/>
  <c r="AM68" i="3"/>
  <c r="AT69" i="3"/>
  <c r="AJ68" i="3"/>
  <c r="AR68" i="3"/>
  <c r="AI68" i="3"/>
  <c r="AQ68" i="3"/>
  <c r="AG68" i="3"/>
  <c r="AL68" i="3"/>
  <c r="AN68" i="3"/>
  <c r="AQ46" i="6"/>
  <c r="AQ47" i="6" s="1"/>
  <c r="AM46" i="6"/>
  <c r="AP46" i="6"/>
  <c r="AO46" i="6"/>
  <c r="AN46" i="6"/>
  <c r="AH46" i="6"/>
  <c r="AJ46" i="6"/>
  <c r="AD46" i="6"/>
  <c r="AI46" i="6"/>
  <c r="AL46" i="6"/>
  <c r="AK46" i="6"/>
  <c r="AE46" i="6"/>
  <c r="AG46" i="6"/>
  <c r="AF46" i="6"/>
  <c r="AB76" i="4"/>
  <c r="AB77" i="4" s="1"/>
  <c r="AE67" i="3"/>
  <c r="AA76" i="4"/>
  <c r="AA77" i="4" s="1"/>
  <c r="AC76" i="4"/>
  <c r="AC77" i="4" s="1"/>
  <c r="AJ76" i="4"/>
  <c r="AJ77" i="4" s="1"/>
  <c r="AG76" i="4"/>
  <c r="AG77" i="4" s="1"/>
  <c r="AD76" i="4"/>
  <c r="AD77" i="4" s="1"/>
  <c r="AH76" i="4"/>
  <c r="AH77" i="4" s="1"/>
  <c r="AF76" i="4"/>
  <c r="AF77" i="4" s="1"/>
  <c r="AE76" i="4"/>
  <c r="AE77" i="4" s="1"/>
  <c r="AI76" i="4"/>
  <c r="AI77" i="4" s="1"/>
  <c r="Q51" i="6"/>
  <c r="Q52" i="6" s="1"/>
  <c r="T16" i="8" s="1"/>
  <c r="T16" i="17" s="1"/>
  <c r="R51" i="6"/>
  <c r="R52" i="6" s="1"/>
  <c r="U16" i="8" s="1"/>
  <c r="U16" i="17" s="1"/>
  <c r="K40" i="14"/>
  <c r="W77" i="4"/>
  <c r="AN39" i="4"/>
  <c r="Z77" i="4"/>
  <c r="Y77" i="4"/>
  <c r="U77" i="4"/>
  <c r="Y42" i="13"/>
  <c r="AA42" i="13"/>
  <c r="Z42" i="13"/>
  <c r="AI42" i="13"/>
  <c r="W42" i="13"/>
  <c r="X42" i="13"/>
  <c r="AH42" i="13"/>
  <c r="N40" i="14"/>
  <c r="S45" i="4"/>
  <c r="Z69" i="3"/>
  <c r="Z85" i="3" s="1"/>
  <c r="Z87" i="3" s="1"/>
  <c r="AA27" i="10" s="1"/>
  <c r="O45" i="4"/>
  <c r="H43" i="3"/>
  <c r="I43" i="3"/>
  <c r="Q43" i="3"/>
  <c r="R43" i="3"/>
  <c r="M43" i="3"/>
  <c r="J43" i="3"/>
  <c r="O43" i="3"/>
  <c r="N43" i="3"/>
  <c r="P43" i="3"/>
  <c r="F43" i="3"/>
  <c r="F69" i="3" s="1"/>
  <c r="G43" i="3"/>
  <c r="G69" i="3" s="1"/>
  <c r="G85" i="3" s="1"/>
  <c r="G87" i="3" s="1"/>
  <c r="K43" i="3"/>
  <c r="L43" i="3"/>
  <c r="S43" i="3"/>
  <c r="S69" i="3" s="1"/>
  <c r="S85" i="3" s="1"/>
  <c r="F21" i="4"/>
  <c r="F36" i="4"/>
  <c r="F9" i="4"/>
  <c r="L10" i="4"/>
  <c r="L22" i="4"/>
  <c r="L37" i="4" s="1"/>
  <c r="L48" i="4" s="1"/>
  <c r="AV51" i="3"/>
  <c r="AW51" i="3" s="1"/>
  <c r="G9" i="4"/>
  <c r="G21" i="4"/>
  <c r="G36" i="4"/>
  <c r="M10" i="4"/>
  <c r="M22" i="4"/>
  <c r="M37" i="4" s="1"/>
  <c r="M48" i="4" s="1"/>
  <c r="N52" i="4"/>
  <c r="L69" i="3"/>
  <c r="L85" i="3" s="1"/>
  <c r="AB69" i="3"/>
  <c r="AB85" i="3" s="1"/>
  <c r="AB87" i="3" s="1"/>
  <c r="AB99" i="3" s="1"/>
  <c r="P40" i="14"/>
  <c r="L40" i="14"/>
  <c r="C22" i="9"/>
  <c r="D16" i="9"/>
  <c r="I21" i="4"/>
  <c r="I9" i="4"/>
  <c r="I36" i="4"/>
  <c r="I56" i="4"/>
  <c r="J56" i="4"/>
  <c r="J21" i="4"/>
  <c r="J9" i="4"/>
  <c r="J36" i="4"/>
  <c r="D9" i="4"/>
  <c r="D21" i="4"/>
  <c r="D36" i="4"/>
  <c r="AV41" i="3"/>
  <c r="AW41" i="3" s="1"/>
  <c r="D22" i="4"/>
  <c r="D10" i="4"/>
  <c r="C10" i="4"/>
  <c r="C22" i="4"/>
  <c r="I10" i="4"/>
  <c r="I22" i="4"/>
  <c r="I37" i="4" s="1"/>
  <c r="I48" i="4" s="1"/>
  <c r="N77" i="3" s="1"/>
  <c r="Z37" i="8"/>
  <c r="Z13" i="8" s="1"/>
  <c r="I13" i="19"/>
  <c r="C21" i="4"/>
  <c r="C9" i="4"/>
  <c r="H56" i="4"/>
  <c r="H21" i="4"/>
  <c r="H9" i="4"/>
  <c r="H36" i="4"/>
  <c r="K22" i="4"/>
  <c r="K37" i="4" s="1"/>
  <c r="K48" i="4" s="1"/>
  <c r="P77" i="3" s="1"/>
  <c r="K10" i="4"/>
  <c r="F22" i="4"/>
  <c r="F37" i="4" s="1"/>
  <c r="F10" i="4"/>
  <c r="AV57" i="3"/>
  <c r="AW57" i="3" s="1"/>
  <c r="M69" i="3"/>
  <c r="M85" i="3" s="1"/>
  <c r="AV56" i="3"/>
  <c r="AW56" i="3" s="1"/>
  <c r="O68" i="4"/>
  <c r="O77" i="4" s="1"/>
  <c r="K36" i="4"/>
  <c r="K21" i="4"/>
  <c r="K9" i="4"/>
  <c r="K56" i="4"/>
  <c r="H22" i="4"/>
  <c r="H37" i="4" s="1"/>
  <c r="H48" i="4" s="1"/>
  <c r="M77" i="3" s="1"/>
  <c r="H10" i="4"/>
  <c r="G22" i="4"/>
  <c r="G37" i="4" s="1"/>
  <c r="G10" i="4"/>
  <c r="AA69" i="3"/>
  <c r="AA85" i="3" s="1"/>
  <c r="AA87" i="3" s="1"/>
  <c r="AB27" i="10" s="1"/>
  <c r="K69" i="3"/>
  <c r="K85" i="3" s="1"/>
  <c r="V77" i="4"/>
  <c r="E9" i="4"/>
  <c r="E36" i="4"/>
  <c r="E21" i="4"/>
  <c r="L36" i="4"/>
  <c r="L21" i="4"/>
  <c r="L9" i="4"/>
  <c r="L56" i="4"/>
  <c r="AV42" i="3"/>
  <c r="AW42" i="3" s="1"/>
  <c r="J22" i="4"/>
  <c r="J37" i="4" s="1"/>
  <c r="J48" i="4" s="1"/>
  <c r="J10" i="4"/>
  <c r="E22" i="4"/>
  <c r="E37" i="4" s="1"/>
  <c r="E10" i="4"/>
  <c r="AD42" i="13"/>
  <c r="AF42" i="13"/>
  <c r="AB42" i="13"/>
  <c r="AE42" i="13"/>
  <c r="AG42" i="13"/>
  <c r="AC42" i="13"/>
  <c r="AC69" i="3"/>
  <c r="AC85" i="3" s="1"/>
  <c r="AC87" i="3" s="1"/>
  <c r="AC99" i="3" s="1"/>
  <c r="AC45" i="6"/>
  <c r="AE45" i="6"/>
  <c r="AI45" i="6"/>
  <c r="AM45" i="6"/>
  <c r="AG45" i="6"/>
  <c r="AG47" i="6" s="1"/>
  <c r="AF45" i="6"/>
  <c r="AF47" i="6" s="1"/>
  <c r="AJ45" i="6"/>
  <c r="AJ47" i="6" s="1"/>
  <c r="AN45" i="6"/>
  <c r="AO45" i="6"/>
  <c r="AD45" i="6"/>
  <c r="AH45" i="6"/>
  <c r="AL45" i="6"/>
  <c r="AK45" i="6"/>
  <c r="AK47" i="6" s="1"/>
  <c r="AU44" i="6"/>
  <c r="AB47" i="6"/>
  <c r="AE18" i="10" s="1"/>
  <c r="AE39" i="17" s="1"/>
  <c r="V51" i="6"/>
  <c r="V52" i="6" s="1"/>
  <c r="Y16" i="8" s="1"/>
  <c r="Y16" i="17" s="1"/>
  <c r="U51" i="6"/>
  <c r="U52" i="6" s="1"/>
  <c r="X16" i="8" s="1"/>
  <c r="X16" i="17" s="1"/>
  <c r="T51" i="6"/>
  <c r="T52" i="6" s="1"/>
  <c r="W16" i="8" s="1"/>
  <c r="W16" i="17" s="1"/>
  <c r="S51" i="6"/>
  <c r="S52" i="6" s="1"/>
  <c r="V16" i="8" s="1"/>
  <c r="V16" i="17" s="1"/>
  <c r="W51" i="6"/>
  <c r="W52" i="6" s="1"/>
  <c r="Z16" i="8" s="1"/>
  <c r="Z16" i="17" s="1"/>
  <c r="I40" i="14"/>
  <c r="S82" i="3"/>
  <c r="S86" i="3" s="1"/>
  <c r="Q77" i="4"/>
  <c r="I52" i="4"/>
  <c r="G68" i="13"/>
  <c r="G23" i="15"/>
  <c r="G11" i="15" s="1"/>
  <c r="G15" i="15" s="1"/>
  <c r="H17" i="16" s="1"/>
  <c r="D40" i="14"/>
  <c r="F23" i="15"/>
  <c r="F27" i="15" s="1"/>
  <c r="F68" i="13"/>
  <c r="C61" i="13"/>
  <c r="C64" i="13" s="1"/>
  <c r="C54" i="13"/>
  <c r="C56" i="13" s="1"/>
  <c r="AG8" i="14"/>
  <c r="C20" i="14"/>
  <c r="C40" i="14" s="1"/>
  <c r="AG11" i="14"/>
  <c r="E68" i="13"/>
  <c r="F40" i="14"/>
  <c r="G40" i="14"/>
  <c r="E40" i="14"/>
  <c r="M40" i="14"/>
  <c r="AA51" i="6"/>
  <c r="AA52" i="6" s="1"/>
  <c r="AD16" i="8" s="1"/>
  <c r="AD16" i="17" s="1"/>
  <c r="AV65" i="3"/>
  <c r="AW65" i="3" s="1"/>
  <c r="AV64" i="3"/>
  <c r="AW64" i="3" s="1"/>
  <c r="W24" i="15"/>
  <c r="W12" i="15" s="1"/>
  <c r="AC32" i="17" s="1"/>
  <c r="W12" i="13"/>
  <c r="W14" i="13" s="1"/>
  <c r="X19" i="11"/>
  <c r="X11" i="11"/>
  <c r="V19" i="13"/>
  <c r="V21" i="13"/>
  <c r="V60" i="13" s="1"/>
  <c r="V69" i="13"/>
  <c r="Z16" i="16"/>
  <c r="AE23" i="17"/>
  <c r="AE45" i="17"/>
  <c r="AA18" i="10"/>
  <c r="AA39" i="17" s="1"/>
  <c r="X51" i="6"/>
  <c r="X52" i="6" s="1"/>
  <c r="AA16" i="8" s="1"/>
  <c r="AA16" i="17" s="1"/>
  <c r="Y51" i="6"/>
  <c r="Y52" i="6" s="1"/>
  <c r="AB16" i="8" s="1"/>
  <c r="AB16" i="17" s="1"/>
  <c r="D31" i="18" s="1"/>
  <c r="Z51" i="6"/>
  <c r="Z52" i="6" s="1"/>
  <c r="AC16" i="8" s="1"/>
  <c r="AC16" i="17" s="1"/>
  <c r="AH66" i="3"/>
  <c r="AG66" i="3"/>
  <c r="AN66" i="3"/>
  <c r="AE66" i="3"/>
  <c r="AJ66" i="3"/>
  <c r="AL66" i="3"/>
  <c r="AI66" i="3"/>
  <c r="AK66" i="3"/>
  <c r="AQ66" i="3"/>
  <c r="AM66" i="3"/>
  <c r="AP66" i="3"/>
  <c r="AF66" i="3"/>
  <c r="AO66" i="3"/>
  <c r="AD66" i="3"/>
  <c r="AD69" i="3" s="1"/>
  <c r="H40" i="14"/>
  <c r="J40" i="14"/>
  <c r="AG67" i="3"/>
  <c r="AI67" i="3"/>
  <c r="AK67" i="3"/>
  <c r="AM67" i="3"/>
  <c r="AO67" i="3"/>
  <c r="AQ67" i="3"/>
  <c r="AF67" i="3"/>
  <c r="AH67" i="3"/>
  <c r="AJ67" i="3"/>
  <c r="AL67" i="3"/>
  <c r="AN67" i="3"/>
  <c r="AR67" i="3"/>
  <c r="AP67" i="3"/>
  <c r="E27" i="10"/>
  <c r="E11" i="10" s="1"/>
  <c r="D99" i="3"/>
  <c r="E99" i="3"/>
  <c r="F27" i="10"/>
  <c r="F32" i="10" s="1"/>
  <c r="S62" i="4"/>
  <c r="S77" i="4" s="1"/>
  <c r="X69" i="3"/>
  <c r="X85" i="3" s="1"/>
  <c r="X87" i="3" s="1"/>
  <c r="Y27" i="10" s="1"/>
  <c r="U69" i="3"/>
  <c r="U85" i="3" s="1"/>
  <c r="O69" i="3"/>
  <c r="O85" i="3" s="1"/>
  <c r="T69" i="3"/>
  <c r="T85" i="3" s="1"/>
  <c r="R69" i="3"/>
  <c r="R85" i="3" s="1"/>
  <c r="R62" i="4"/>
  <c r="R77" i="4" s="1"/>
  <c r="W69" i="3"/>
  <c r="W85" i="3" s="1"/>
  <c r="W87" i="3" s="1"/>
  <c r="X27" i="10" s="1"/>
  <c r="T62" i="4"/>
  <c r="T77" i="4" s="1"/>
  <c r="Y69" i="3"/>
  <c r="V69" i="3"/>
  <c r="V85" i="3" s="1"/>
  <c r="V87" i="3" s="1"/>
  <c r="V99" i="3" s="1"/>
  <c r="N69" i="3"/>
  <c r="N85" i="3" s="1"/>
  <c r="Q69" i="3"/>
  <c r="Y85" i="3"/>
  <c r="Y87" i="3" s="1"/>
  <c r="Y99" i="3" s="1"/>
  <c r="AV50" i="3"/>
  <c r="AW50" i="3" s="1"/>
  <c r="H62" i="4"/>
  <c r="P52" i="4"/>
  <c r="U79" i="3"/>
  <c r="U82" i="3" s="1"/>
  <c r="U86" i="3" s="1"/>
  <c r="AN25" i="4"/>
  <c r="AN40" i="4"/>
  <c r="H50" i="4"/>
  <c r="X25" i="16"/>
  <c r="X9" i="16" s="1"/>
  <c r="AC11" i="17" s="1"/>
  <c r="AN42" i="4"/>
  <c r="K29" i="4"/>
  <c r="L68" i="13"/>
  <c r="L23" i="15"/>
  <c r="D54" i="13"/>
  <c r="D56" i="13" s="1"/>
  <c r="L61" i="13"/>
  <c r="L64" i="13" s="1"/>
  <c r="D61" i="13"/>
  <c r="D64" i="13" s="1"/>
  <c r="F61" i="13"/>
  <c r="F64" i="13" s="1"/>
  <c r="H61" i="13"/>
  <c r="H64" i="13" s="1"/>
  <c r="J61" i="13"/>
  <c r="J64" i="13" s="1"/>
  <c r="E61" i="13"/>
  <c r="E64" i="13" s="1"/>
  <c r="G61" i="13"/>
  <c r="G64" i="13" s="1"/>
  <c r="I61" i="13"/>
  <c r="I64" i="13" s="1"/>
  <c r="M61" i="13"/>
  <c r="M64" i="13" s="1"/>
  <c r="K61" i="13"/>
  <c r="K64" i="13" s="1"/>
  <c r="R61" i="13"/>
  <c r="R64" i="13" s="1"/>
  <c r="Q61" i="13"/>
  <c r="Q64" i="13" s="1"/>
  <c r="O61" i="13"/>
  <c r="O64" i="13" s="1"/>
  <c r="T61" i="13"/>
  <c r="T64" i="13" s="1"/>
  <c r="U61" i="13"/>
  <c r="U64" i="13" s="1"/>
  <c r="S61" i="13"/>
  <c r="S64" i="13" s="1"/>
  <c r="N61" i="13"/>
  <c r="N64" i="13" s="1"/>
  <c r="P61" i="13"/>
  <c r="P64" i="13" s="1"/>
  <c r="AG9" i="14"/>
  <c r="U23" i="15"/>
  <c r="U68" i="13"/>
  <c r="AA11" i="17"/>
  <c r="P58" i="4"/>
  <c r="P77" i="4" s="1"/>
  <c r="P45" i="4"/>
  <c r="AN41" i="4"/>
  <c r="AN49" i="4"/>
  <c r="M78" i="3"/>
  <c r="O52" i="4"/>
  <c r="T78" i="3"/>
  <c r="T82" i="3" s="1"/>
  <c r="T86" i="3" s="1"/>
  <c r="F29" i="4"/>
  <c r="J29" i="4"/>
  <c r="I29" i="4"/>
  <c r="E29" i="4"/>
  <c r="P23" i="15"/>
  <c r="P68" i="13"/>
  <c r="O23" i="15"/>
  <c r="O68" i="13"/>
  <c r="J23" i="15"/>
  <c r="J68" i="13"/>
  <c r="R23" i="15"/>
  <c r="R68" i="13"/>
  <c r="W9" i="16"/>
  <c r="W26" i="16"/>
  <c r="Q23" i="15"/>
  <c r="Q68" i="13"/>
  <c r="AN20" i="4"/>
  <c r="D29" i="4"/>
  <c r="AN8" i="4"/>
  <c r="C20" i="4"/>
  <c r="H29" i="4"/>
  <c r="H35" i="4" s="1"/>
  <c r="G29" i="4"/>
  <c r="M23" i="15"/>
  <c r="M68" i="13"/>
  <c r="E27" i="15"/>
  <c r="E11" i="15"/>
  <c r="E15" i="15" s="1"/>
  <c r="F17" i="16" s="1"/>
  <c r="H23" i="15"/>
  <c r="H68" i="13"/>
  <c r="G27" i="15"/>
  <c r="T68" i="13"/>
  <c r="T23" i="15"/>
  <c r="C85" i="3"/>
  <c r="C87" i="3" s="1"/>
  <c r="C92" i="3"/>
  <c r="C95" i="3" s="1"/>
  <c r="D34" i="8" s="1"/>
  <c r="D92" i="3"/>
  <c r="D95" i="3" s="1"/>
  <c r="E34" i="8" s="1"/>
  <c r="E92" i="3"/>
  <c r="E95" i="3" s="1"/>
  <c r="F34" i="8" s="1"/>
  <c r="I68" i="13"/>
  <c r="I23" i="15"/>
  <c r="K68" i="13"/>
  <c r="K23" i="15"/>
  <c r="N68" i="13"/>
  <c r="N23" i="15"/>
  <c r="Z26" i="11"/>
  <c r="AA26" i="11" s="1"/>
  <c r="X22" i="15"/>
  <c r="Y29" i="11"/>
  <c r="Y23" i="11" s="1"/>
  <c r="S68" i="13"/>
  <c r="S23" i="15"/>
  <c r="AR69" i="3" l="1"/>
  <c r="AV68" i="3"/>
  <c r="AW68" i="3" s="1"/>
  <c r="AN76" i="4"/>
  <c r="AH47" i="6"/>
  <c r="AP47" i="6"/>
  <c r="AL47" i="6"/>
  <c r="AM47" i="6"/>
  <c r="AA99" i="3"/>
  <c r="AL69" i="3"/>
  <c r="X99" i="3"/>
  <c r="W27" i="10"/>
  <c r="W11" i="10" s="1"/>
  <c r="AN47" i="6"/>
  <c r="AI47" i="6"/>
  <c r="AS69" i="3"/>
  <c r="AA29" i="11"/>
  <c r="Z22" i="15"/>
  <c r="AD47" i="6"/>
  <c r="AE47" i="6"/>
  <c r="AO47" i="6"/>
  <c r="AH43" i="13"/>
  <c r="AG43" i="13"/>
  <c r="AJ43" i="13"/>
  <c r="AF43" i="13"/>
  <c r="AI43" i="13"/>
  <c r="AE43" i="13"/>
  <c r="AD43" i="13"/>
  <c r="AF69" i="3"/>
  <c r="AC27" i="10"/>
  <c r="AK69" i="3"/>
  <c r="AH69" i="3"/>
  <c r="AQ69" i="3"/>
  <c r="AD27" i="10"/>
  <c r="AD11" i="10" s="1"/>
  <c r="AP69" i="3"/>
  <c r="AI69" i="3"/>
  <c r="AN69" i="3"/>
  <c r="AO69" i="3"/>
  <c r="AJ69" i="3"/>
  <c r="AM69" i="3"/>
  <c r="AG69" i="3"/>
  <c r="AN77" i="4"/>
  <c r="AB51" i="6"/>
  <c r="AB52" i="6" s="1"/>
  <c r="AE16" i="8" s="1"/>
  <c r="AE16" i="17" s="1"/>
  <c r="Z99" i="3"/>
  <c r="H27" i="10"/>
  <c r="H11" i="10" s="1"/>
  <c r="G99" i="3"/>
  <c r="F85" i="3"/>
  <c r="F87" i="3" s="1"/>
  <c r="F92" i="3"/>
  <c r="F95" i="3" s="1"/>
  <c r="G34" i="8" s="1"/>
  <c r="G92" i="3"/>
  <c r="G95" i="3" s="1"/>
  <c r="H34" i="8" s="1"/>
  <c r="G11" i="4"/>
  <c r="G38" i="4"/>
  <c r="G23" i="4"/>
  <c r="G26" i="4" s="1"/>
  <c r="K38" i="4"/>
  <c r="K57" i="4"/>
  <c r="K23" i="4"/>
  <c r="K26" i="4" s="1"/>
  <c r="K11" i="4"/>
  <c r="H57" i="4"/>
  <c r="H77" i="4" s="1"/>
  <c r="H38" i="4"/>
  <c r="H11" i="4"/>
  <c r="H23" i="4"/>
  <c r="H26" i="4" s="1"/>
  <c r="C11" i="4"/>
  <c r="C23" i="4"/>
  <c r="C26" i="4" s="1"/>
  <c r="H69" i="3"/>
  <c r="H85" i="3" s="1"/>
  <c r="H87" i="3" s="1"/>
  <c r="F38" i="4"/>
  <c r="F23" i="4"/>
  <c r="F26" i="4" s="1"/>
  <c r="F11" i="4"/>
  <c r="I23" i="4"/>
  <c r="I26" i="4" s="1"/>
  <c r="I11" i="4"/>
  <c r="I38" i="4"/>
  <c r="I57" i="4"/>
  <c r="I77" i="4" s="1"/>
  <c r="M57" i="4"/>
  <c r="M77" i="4" s="1"/>
  <c r="M11" i="4"/>
  <c r="M23" i="4"/>
  <c r="M26" i="4" s="1"/>
  <c r="M38" i="4"/>
  <c r="M45" i="4" s="1"/>
  <c r="J11" i="4"/>
  <c r="J23" i="4"/>
  <c r="J26" i="4" s="1"/>
  <c r="J57" i="4"/>
  <c r="J77" i="4" s="1"/>
  <c r="J38" i="4"/>
  <c r="L11" i="4"/>
  <c r="L38" i="4"/>
  <c r="L45" i="4" s="1"/>
  <c r="L57" i="4"/>
  <c r="L23" i="4"/>
  <c r="L26" i="4" s="1"/>
  <c r="H52" i="4"/>
  <c r="P69" i="3"/>
  <c r="P85" i="3" s="1"/>
  <c r="L77" i="4"/>
  <c r="K77" i="4"/>
  <c r="N23" i="4"/>
  <c r="N26" i="4" s="1"/>
  <c r="N11" i="4"/>
  <c r="N38" i="4"/>
  <c r="N45" i="4" s="1"/>
  <c r="N57" i="4"/>
  <c r="N77" i="4" s="1"/>
  <c r="AV43" i="3"/>
  <c r="AW43" i="3" s="1"/>
  <c r="E11" i="4"/>
  <c r="E38" i="4"/>
  <c r="J69" i="3"/>
  <c r="J85" i="3" s="1"/>
  <c r="E23" i="4"/>
  <c r="E26" i="4" s="1"/>
  <c r="D23" i="4"/>
  <c r="D38" i="4"/>
  <c r="D11" i="4"/>
  <c r="I69" i="3"/>
  <c r="I85" i="3" s="1"/>
  <c r="J13" i="19"/>
  <c r="AA37" i="8"/>
  <c r="AA13" i="8" s="1"/>
  <c r="Z27" i="10"/>
  <c r="Z11" i="10" s="1"/>
  <c r="J52" i="4"/>
  <c r="O77" i="3"/>
  <c r="AN10" i="4"/>
  <c r="C32" i="9"/>
  <c r="C38" i="8"/>
  <c r="L52" i="4"/>
  <c r="Q77" i="3"/>
  <c r="Q82" i="3" s="1"/>
  <c r="Q86" i="3" s="1"/>
  <c r="T92" i="3"/>
  <c r="W99" i="3"/>
  <c r="F11" i="15"/>
  <c r="F15" i="15" s="1"/>
  <c r="G17" i="16" s="1"/>
  <c r="E32" i="10"/>
  <c r="E17" i="9" s="1"/>
  <c r="AN36" i="4"/>
  <c r="AN9" i="4"/>
  <c r="AN21" i="4"/>
  <c r="O92" i="3"/>
  <c r="F11" i="10"/>
  <c r="F31" i="17" s="1"/>
  <c r="S87" i="3"/>
  <c r="S99" i="3" s="1"/>
  <c r="K52" i="4"/>
  <c r="AN22" i="4"/>
  <c r="D37" i="4"/>
  <c r="AN37" i="4"/>
  <c r="AM42" i="13"/>
  <c r="AN42" i="13" s="1"/>
  <c r="X38" i="14"/>
  <c r="Z38" i="14"/>
  <c r="AA38" i="14"/>
  <c r="AC38" i="14"/>
  <c r="AB38" i="14"/>
  <c r="AD38" i="14"/>
  <c r="Q38" i="14"/>
  <c r="V44" i="13"/>
  <c r="R38" i="14"/>
  <c r="S38" i="14"/>
  <c r="U38" i="14"/>
  <c r="T38" i="14"/>
  <c r="V38" i="14"/>
  <c r="W38" i="14"/>
  <c r="Y38" i="14"/>
  <c r="AD85" i="3"/>
  <c r="AD87" i="3" s="1"/>
  <c r="AD99" i="3" s="1"/>
  <c r="AU45" i="6"/>
  <c r="AC47" i="6"/>
  <c r="G31" i="18"/>
  <c r="H31" i="18" s="1"/>
  <c r="G16" i="18"/>
  <c r="H16" i="18" s="1"/>
  <c r="J16" i="18"/>
  <c r="K16" i="18" s="1"/>
  <c r="C68" i="13"/>
  <c r="C71" i="13" s="1"/>
  <c r="C23" i="15"/>
  <c r="D67" i="13"/>
  <c r="D27" i="16"/>
  <c r="AG13" i="14"/>
  <c r="AE69" i="3"/>
  <c r="X8" i="12"/>
  <c r="X12" i="12" s="1"/>
  <c r="X14" i="12" s="1"/>
  <c r="X24" i="16"/>
  <c r="X8" i="16" s="1"/>
  <c r="AC8" i="17" s="1"/>
  <c r="Y12" i="11"/>
  <c r="Y19" i="11" s="1"/>
  <c r="W15" i="13"/>
  <c r="W16" i="13" s="1"/>
  <c r="X20" i="11"/>
  <c r="X9" i="13"/>
  <c r="Z29" i="11"/>
  <c r="Z23" i="11" s="1"/>
  <c r="Z25" i="16" s="1"/>
  <c r="Z9" i="16" s="1"/>
  <c r="AE11" i="17" s="1"/>
  <c r="Y22" i="15"/>
  <c r="AV66" i="3"/>
  <c r="AW66" i="3" s="1"/>
  <c r="U87" i="3"/>
  <c r="V27" i="10" s="1"/>
  <c r="V32" i="10" s="1"/>
  <c r="AV67" i="3"/>
  <c r="AW67" i="3" s="1"/>
  <c r="U92" i="3"/>
  <c r="T87" i="3"/>
  <c r="U27" i="10" s="1"/>
  <c r="AN50" i="4"/>
  <c r="M79" i="3"/>
  <c r="Q85" i="3"/>
  <c r="Y25" i="16"/>
  <c r="Y9" i="16" s="1"/>
  <c r="AD11" i="17" s="1"/>
  <c r="R77" i="3"/>
  <c r="R82" i="3" s="1"/>
  <c r="R86" i="3" s="1"/>
  <c r="R87" i="3" s="1"/>
  <c r="M52" i="4"/>
  <c r="E36" i="8"/>
  <c r="E11" i="8"/>
  <c r="D27" i="10"/>
  <c r="C99" i="3"/>
  <c r="C102" i="3" s="1"/>
  <c r="D98" i="3" s="1"/>
  <c r="D102" i="3" s="1"/>
  <c r="E98" i="3" s="1"/>
  <c r="E102" i="3" s="1"/>
  <c r="F98" i="3" s="1"/>
  <c r="AB32" i="10"/>
  <c r="AB11" i="10"/>
  <c r="H27" i="15"/>
  <c r="H11" i="15"/>
  <c r="H15" i="15" s="1"/>
  <c r="I17" i="16" s="1"/>
  <c r="M11" i="15"/>
  <c r="M15" i="15" s="1"/>
  <c r="M27" i="15"/>
  <c r="L75" i="3"/>
  <c r="L82" i="3" s="1"/>
  <c r="L86" i="3" s="1"/>
  <c r="L87" i="3" s="1"/>
  <c r="G31" i="4"/>
  <c r="H45" i="4"/>
  <c r="I75" i="3"/>
  <c r="I82" i="3" s="1"/>
  <c r="D31" i="4"/>
  <c r="AC11" i="10"/>
  <c r="AC32" i="10"/>
  <c r="J75" i="3"/>
  <c r="J82" i="3" s="1"/>
  <c r="J86" i="3" s="1"/>
  <c r="J87" i="3" s="1"/>
  <c r="E31" i="4"/>
  <c r="N75" i="3"/>
  <c r="N82" i="3" s="1"/>
  <c r="N86" i="3" s="1"/>
  <c r="N87" i="3" s="1"/>
  <c r="I31" i="4"/>
  <c r="J31" i="4"/>
  <c r="O75" i="3"/>
  <c r="F31" i="4"/>
  <c r="K75" i="3"/>
  <c r="K82" i="3" s="1"/>
  <c r="K86" i="3" s="1"/>
  <c r="K87" i="3" s="1"/>
  <c r="H32" i="10"/>
  <c r="W32" i="10"/>
  <c r="X11" i="10"/>
  <c r="X32" i="10"/>
  <c r="U11" i="15"/>
  <c r="U15" i="15" s="1"/>
  <c r="U27" i="15"/>
  <c r="Q67" i="13"/>
  <c r="Q71" i="13" s="1"/>
  <c r="Q27" i="16"/>
  <c r="T67" i="13"/>
  <c r="T71" i="13" s="1"/>
  <c r="T73" i="13" s="1"/>
  <c r="T27" i="16"/>
  <c r="Q73" i="13"/>
  <c r="R67" i="13"/>
  <c r="R71" i="13" s="1"/>
  <c r="R73" i="13" s="1"/>
  <c r="R27" i="16"/>
  <c r="N67" i="13"/>
  <c r="N71" i="13" s="1"/>
  <c r="N73" i="13" s="1"/>
  <c r="N27" i="16"/>
  <c r="H67" i="13"/>
  <c r="H71" i="13" s="1"/>
  <c r="H73" i="13" s="1"/>
  <c r="H27" i="16"/>
  <c r="K67" i="13"/>
  <c r="K71" i="13" s="1"/>
  <c r="K73" i="13" s="1"/>
  <c r="K27" i="16"/>
  <c r="G67" i="13"/>
  <c r="G71" i="13" s="1"/>
  <c r="G73" i="13" s="1"/>
  <c r="G27" i="16"/>
  <c r="M27" i="16"/>
  <c r="M67" i="13"/>
  <c r="M71" i="13" s="1"/>
  <c r="M73" i="13" s="1"/>
  <c r="L11" i="15"/>
  <c r="L15" i="15" s="1"/>
  <c r="L27" i="15"/>
  <c r="P75" i="3"/>
  <c r="P82" i="3" s="1"/>
  <c r="P86" i="3" s="1"/>
  <c r="K31" i="4"/>
  <c r="E8" i="9"/>
  <c r="Y32" i="10"/>
  <c r="Y11" i="10"/>
  <c r="S11" i="15"/>
  <c r="S15" i="15" s="1"/>
  <c r="S27" i="15"/>
  <c r="N11" i="15"/>
  <c r="N15" i="15" s="1"/>
  <c r="N27" i="15"/>
  <c r="K11" i="15"/>
  <c r="K15" i="15" s="1"/>
  <c r="K27" i="15"/>
  <c r="I11" i="15"/>
  <c r="I15" i="15" s="1"/>
  <c r="I27" i="15"/>
  <c r="F11" i="8"/>
  <c r="F36" i="8"/>
  <c r="D11" i="8"/>
  <c r="D36" i="8"/>
  <c r="G36" i="8"/>
  <c r="G11" i="8"/>
  <c r="H11" i="8"/>
  <c r="H36" i="8"/>
  <c r="T11" i="15"/>
  <c r="T15" i="15" s="1"/>
  <c r="T35" i="15" s="1"/>
  <c r="T27" i="15"/>
  <c r="G35" i="4"/>
  <c r="G45" i="4" s="1"/>
  <c r="M75" i="3"/>
  <c r="H31" i="4"/>
  <c r="D35" i="4"/>
  <c r="Q11" i="15"/>
  <c r="Q15" i="15" s="1"/>
  <c r="Q27" i="15"/>
  <c r="AB11" i="17"/>
  <c r="D26" i="18" s="1"/>
  <c r="G26" i="18" s="1"/>
  <c r="H26" i="18" s="1"/>
  <c r="AN48" i="4"/>
  <c r="R11" i="15"/>
  <c r="R15" i="15" s="1"/>
  <c r="R27" i="15"/>
  <c r="J11" i="15"/>
  <c r="J15" i="15" s="1"/>
  <c r="J27" i="15"/>
  <c r="O11" i="15"/>
  <c r="O15" i="15" s="1"/>
  <c r="O27" i="15"/>
  <c r="P11" i="15"/>
  <c r="P15" i="15" s="1"/>
  <c r="P27" i="15"/>
  <c r="E35" i="4"/>
  <c r="I35" i="4"/>
  <c r="J35" i="4"/>
  <c r="F35" i="4"/>
  <c r="F17" i="9"/>
  <c r="F8" i="9"/>
  <c r="O67" i="13"/>
  <c r="O71" i="13" s="1"/>
  <c r="O73" i="13" s="1"/>
  <c r="O27" i="16"/>
  <c r="V67" i="13"/>
  <c r="V27" i="16"/>
  <c r="U67" i="13"/>
  <c r="U71" i="13" s="1"/>
  <c r="U73" i="13" s="1"/>
  <c r="U27" i="16"/>
  <c r="P67" i="13"/>
  <c r="P71" i="13" s="1"/>
  <c r="P73" i="13" s="1"/>
  <c r="P27" i="16"/>
  <c r="S27" i="16"/>
  <c r="S67" i="13"/>
  <c r="S71" i="13" s="1"/>
  <c r="S73" i="13" s="1"/>
  <c r="L27" i="16"/>
  <c r="L67" i="13"/>
  <c r="L71" i="13" s="1"/>
  <c r="L73" i="13" s="1"/>
  <c r="J27" i="16"/>
  <c r="J67" i="13"/>
  <c r="J71" i="13" s="1"/>
  <c r="J73" i="13" s="1"/>
  <c r="F67" i="13"/>
  <c r="F71" i="13" s="1"/>
  <c r="F27" i="16"/>
  <c r="I67" i="13"/>
  <c r="I71" i="13" s="1"/>
  <c r="I73" i="13" s="1"/>
  <c r="I27" i="16"/>
  <c r="E67" i="13"/>
  <c r="E71" i="13" s="1"/>
  <c r="E27" i="16"/>
  <c r="D23" i="15"/>
  <c r="D68" i="13"/>
  <c r="K35" i="4"/>
  <c r="K45" i="4" s="1"/>
  <c r="E31" i="17"/>
  <c r="E40" i="17" s="1"/>
  <c r="E44" i="17" s="1"/>
  <c r="E46" i="17" s="1"/>
  <c r="E19" i="10"/>
  <c r="AA32" i="10"/>
  <c r="AA11" i="10"/>
  <c r="AC92" i="3" l="1"/>
  <c r="Z92" i="3"/>
  <c r="J92" i="3"/>
  <c r="P87" i="3"/>
  <c r="P99" i="3" s="1"/>
  <c r="X92" i="3"/>
  <c r="V92" i="3"/>
  <c r="M92" i="3"/>
  <c r="AF44" i="13"/>
  <c r="AF54" i="13" s="1"/>
  <c r="AF56" i="13" s="1"/>
  <c r="AA39" i="14"/>
  <c r="Z44" i="13"/>
  <c r="Z54" i="13" s="1"/>
  <c r="Z56" i="13" s="1"/>
  <c r="U39" i="14"/>
  <c r="U40" i="14" s="1"/>
  <c r="AI44" i="13"/>
  <c r="AD39" i="14"/>
  <c r="AD40" i="14" s="1"/>
  <c r="AN43" i="13"/>
  <c r="R39" i="14"/>
  <c r="R40" i="14" s="1"/>
  <c r="W44" i="13"/>
  <c r="W54" i="13" s="1"/>
  <c r="W56" i="13" s="1"/>
  <c r="W23" i="15" s="1"/>
  <c r="AD44" i="13"/>
  <c r="AD54" i="13" s="1"/>
  <c r="AD56" i="13" s="1"/>
  <c r="Y39" i="14"/>
  <c r="Y40" i="14" s="1"/>
  <c r="X44" i="13"/>
  <c r="X54" i="13" s="1"/>
  <c r="X56" i="13" s="1"/>
  <c r="X23" i="15" s="1"/>
  <c r="X11" i="15" s="1"/>
  <c r="AD31" i="17" s="1"/>
  <c r="S39" i="14"/>
  <c r="S40" i="14" s="1"/>
  <c r="T39" i="14"/>
  <c r="Y44" i="13"/>
  <c r="Y54" i="13" s="1"/>
  <c r="Y56" i="13" s="1"/>
  <c r="Y23" i="15" s="1"/>
  <c r="Y11" i="15" s="1"/>
  <c r="AH44" i="13"/>
  <c r="AH54" i="13" s="1"/>
  <c r="AH56" i="13" s="1"/>
  <c r="AC39" i="14"/>
  <c r="AC40" i="14" s="1"/>
  <c r="AE44" i="13"/>
  <c r="AE54" i="13" s="1"/>
  <c r="AE56" i="13" s="1"/>
  <c r="Z39" i="14"/>
  <c r="Z40" i="14" s="1"/>
  <c r="AB39" i="14"/>
  <c r="AG44" i="13"/>
  <c r="AG54" i="13" s="1"/>
  <c r="AG56" i="13" s="1"/>
  <c r="T40" i="14"/>
  <c r="AJ44" i="13"/>
  <c r="AE39" i="14"/>
  <c r="AE40" i="14" s="1"/>
  <c r="AB40" i="14"/>
  <c r="AA40" i="14"/>
  <c r="AA44" i="13"/>
  <c r="AA54" i="13" s="1"/>
  <c r="AA56" i="13" s="1"/>
  <c r="V39" i="14"/>
  <c r="V40" i="14" s="1"/>
  <c r="AB44" i="13"/>
  <c r="AB54" i="13" s="1"/>
  <c r="AB56" i="13" s="1"/>
  <c r="W39" i="14"/>
  <c r="W40" i="14" s="1"/>
  <c r="AC44" i="13"/>
  <c r="AC54" i="13" s="1"/>
  <c r="AC56" i="13" s="1"/>
  <c r="X39" i="14"/>
  <c r="X40" i="14" s="1"/>
  <c r="AC51" i="6"/>
  <c r="AC52" i="6" s="1"/>
  <c r="AF16" i="8" s="1"/>
  <c r="AF16" i="17" s="1"/>
  <c r="AF18" i="10"/>
  <c r="AF39" i="17" s="1"/>
  <c r="AD32" i="10"/>
  <c r="AD8" i="9" s="1"/>
  <c r="I45" i="4"/>
  <c r="F45" i="4"/>
  <c r="Q87" i="3"/>
  <c r="R27" i="10" s="1"/>
  <c r="J45" i="4"/>
  <c r="F99" i="3"/>
  <c r="G27" i="10"/>
  <c r="O82" i="3"/>
  <c r="O86" i="3" s="1"/>
  <c r="O87" i="3" s="1"/>
  <c r="P27" i="10" s="1"/>
  <c r="AN23" i="4"/>
  <c r="AN26" i="4" s="1"/>
  <c r="D26" i="4"/>
  <c r="H99" i="3"/>
  <c r="I27" i="10"/>
  <c r="R92" i="3"/>
  <c r="I92" i="3"/>
  <c r="D45" i="4"/>
  <c r="F102" i="3"/>
  <c r="G98" i="3" s="1"/>
  <c r="G102" i="3" s="1"/>
  <c r="H98" i="3" s="1"/>
  <c r="AB92" i="3"/>
  <c r="W92" i="3"/>
  <c r="N92" i="3"/>
  <c r="P92" i="3"/>
  <c r="AN38" i="4"/>
  <c r="E45" i="4"/>
  <c r="AD92" i="3"/>
  <c r="S92" i="3"/>
  <c r="L92" i="3"/>
  <c r="Y92" i="3"/>
  <c r="AA92" i="3"/>
  <c r="Q92" i="3"/>
  <c r="AN11" i="4"/>
  <c r="AN13" i="4" s="1"/>
  <c r="K92" i="3"/>
  <c r="H92" i="3"/>
  <c r="H95" i="3" s="1"/>
  <c r="I34" i="8" s="1"/>
  <c r="AE85" i="3"/>
  <c r="AE87" i="3" s="1"/>
  <c r="AE92" i="3"/>
  <c r="AA23" i="11"/>
  <c r="AA25" i="16" s="1"/>
  <c r="Z32" i="10"/>
  <c r="Z34" i="10" s="1"/>
  <c r="T31" i="17"/>
  <c r="T40" i="17" s="1"/>
  <c r="U17" i="15"/>
  <c r="D63" i="18" s="1"/>
  <c r="U35" i="15"/>
  <c r="C12" i="8"/>
  <c r="C39" i="8"/>
  <c r="K13" i="19"/>
  <c r="AB37" i="8"/>
  <c r="AB13" i="8" s="1"/>
  <c r="AN44" i="13"/>
  <c r="AM44" i="13"/>
  <c r="Y11" i="11"/>
  <c r="X15" i="13" s="1"/>
  <c r="X26" i="16"/>
  <c r="W68" i="13"/>
  <c r="V54" i="13"/>
  <c r="V56" i="13" s="1"/>
  <c r="V61" i="13"/>
  <c r="V64" i="13" s="1"/>
  <c r="W27" i="16" s="1"/>
  <c r="W10" i="16" s="1"/>
  <c r="W11" i="16" s="1"/>
  <c r="X15" i="16" s="1"/>
  <c r="AG40" i="14"/>
  <c r="Q40" i="14"/>
  <c r="AE27" i="10"/>
  <c r="AE32" i="10" s="1"/>
  <c r="U99" i="3"/>
  <c r="T99" i="3"/>
  <c r="D10" i="16"/>
  <c r="D11" i="16" s="1"/>
  <c r="E15" i="16" s="1"/>
  <c r="D28" i="16"/>
  <c r="D71" i="13"/>
  <c r="C27" i="15"/>
  <c r="C11" i="15"/>
  <c r="C15" i="15" s="1"/>
  <c r="D17" i="16" s="1"/>
  <c r="D18" i="16" s="1"/>
  <c r="D19" i="16" s="1"/>
  <c r="X24" i="15"/>
  <c r="X12" i="13"/>
  <c r="X14" i="13" s="1"/>
  <c r="W19" i="13"/>
  <c r="W21" i="13"/>
  <c r="W60" i="13" s="1"/>
  <c r="W69" i="13"/>
  <c r="V11" i="10"/>
  <c r="V31" i="17" s="1"/>
  <c r="V40" i="17" s="1"/>
  <c r="AN52" i="4"/>
  <c r="M82" i="3"/>
  <c r="M86" i="3" s="1"/>
  <c r="M87" i="3" s="1"/>
  <c r="N27" i="10" s="1"/>
  <c r="F10" i="16"/>
  <c r="F11" i="16" s="1"/>
  <c r="G15" i="16" s="1"/>
  <c r="G18" i="16" s="1"/>
  <c r="F28" i="16"/>
  <c r="O10" i="16"/>
  <c r="O11" i="16" s="1"/>
  <c r="P15" i="16" s="1"/>
  <c r="O28" i="16"/>
  <c r="Q17" i="16"/>
  <c r="P17" i="15"/>
  <c r="O17" i="15"/>
  <c r="P17" i="16"/>
  <c r="J17" i="15"/>
  <c r="K17" i="16"/>
  <c r="S17" i="16"/>
  <c r="R17" i="15"/>
  <c r="Z31" i="17"/>
  <c r="E18" i="18" s="1"/>
  <c r="Z19" i="10"/>
  <c r="U17" i="16"/>
  <c r="T17" i="15"/>
  <c r="I7" i="9"/>
  <c r="H7" i="9"/>
  <c r="D12" i="17"/>
  <c r="F12" i="17"/>
  <c r="Y31" i="17"/>
  <c r="Y19" i="10"/>
  <c r="M28" i="16"/>
  <c r="M10" i="16"/>
  <c r="M11" i="16" s="1"/>
  <c r="N15" i="16" s="1"/>
  <c r="K10" i="16"/>
  <c r="K11" i="16" s="1"/>
  <c r="L15" i="16" s="1"/>
  <c r="K28" i="16"/>
  <c r="H10" i="16"/>
  <c r="H11" i="16" s="1"/>
  <c r="I15" i="16" s="1"/>
  <c r="I18" i="16" s="1"/>
  <c r="H28" i="16"/>
  <c r="N10" i="16"/>
  <c r="N11" i="16" s="1"/>
  <c r="O15" i="16" s="1"/>
  <c r="N28" i="16"/>
  <c r="T10" i="16"/>
  <c r="T11" i="16" s="1"/>
  <c r="U15" i="16" s="1"/>
  <c r="T28" i="16"/>
  <c r="V17" i="16"/>
  <c r="X31" i="17"/>
  <c r="X19" i="10"/>
  <c r="W8" i="9"/>
  <c r="W34" i="10"/>
  <c r="W17" i="9"/>
  <c r="H31" i="17"/>
  <c r="O27" i="10"/>
  <c r="N99" i="3"/>
  <c r="K27" i="10"/>
  <c r="J99" i="3"/>
  <c r="AC19" i="10"/>
  <c r="AN31" i="4"/>
  <c r="AB19" i="10"/>
  <c r="AB22" i="8" s="1"/>
  <c r="D11" i="10"/>
  <c r="D32" i="10"/>
  <c r="F7" i="9"/>
  <c r="F11" i="9" s="1"/>
  <c r="F12" i="9" s="1"/>
  <c r="U32" i="10"/>
  <c r="U11" i="10"/>
  <c r="D11" i="15"/>
  <c r="D15" i="15" s="1"/>
  <c r="E17" i="16" s="1"/>
  <c r="E18" i="16" s="1"/>
  <c r="D27" i="15"/>
  <c r="J10" i="16"/>
  <c r="J11" i="16" s="1"/>
  <c r="K15" i="16" s="1"/>
  <c r="J28" i="16"/>
  <c r="S10" i="16"/>
  <c r="S11" i="16" s="1"/>
  <c r="T15" i="16" s="1"/>
  <c r="S28" i="16"/>
  <c r="U10" i="16"/>
  <c r="U11" i="16" s="1"/>
  <c r="U28" i="16"/>
  <c r="E10" i="16"/>
  <c r="E11" i="16" s="1"/>
  <c r="E28" i="16"/>
  <c r="I10" i="16"/>
  <c r="I11" i="16" s="1"/>
  <c r="J15" i="16" s="1"/>
  <c r="I28" i="16"/>
  <c r="L10" i="16"/>
  <c r="L11" i="16" s="1"/>
  <c r="M15" i="16" s="1"/>
  <c r="L28" i="16"/>
  <c r="P10" i="16"/>
  <c r="P11" i="16" s="1"/>
  <c r="Q15" i="16" s="1"/>
  <c r="P28" i="16"/>
  <c r="V10" i="16"/>
  <c r="V11" i="16" s="1"/>
  <c r="V28" i="16"/>
  <c r="AD19" i="10"/>
  <c r="Z8" i="9"/>
  <c r="Q17" i="15"/>
  <c r="Q19" i="15" s="1"/>
  <c r="R17" i="16"/>
  <c r="H12" i="17"/>
  <c r="G12" i="17"/>
  <c r="E7" i="9"/>
  <c r="E11" i="9" s="1"/>
  <c r="E12" i="9" s="1"/>
  <c r="G7" i="9"/>
  <c r="I17" i="15"/>
  <c r="J17" i="16"/>
  <c r="L17" i="16"/>
  <c r="K17" i="15"/>
  <c r="O17" i="16"/>
  <c r="N17" i="15"/>
  <c r="T17" i="16"/>
  <c r="S17" i="15"/>
  <c r="Y8" i="9"/>
  <c r="Y34" i="10"/>
  <c r="Y17" i="9"/>
  <c r="M17" i="16"/>
  <c r="L17" i="15"/>
  <c r="G28" i="16"/>
  <c r="G10" i="16"/>
  <c r="G11" i="16" s="1"/>
  <c r="H15" i="16" s="1"/>
  <c r="H18" i="16" s="1"/>
  <c r="R10" i="16"/>
  <c r="R11" i="16" s="1"/>
  <c r="S15" i="16" s="1"/>
  <c r="R28" i="16"/>
  <c r="Q28" i="16"/>
  <c r="Q10" i="16"/>
  <c r="Q11" i="16" s="1"/>
  <c r="R15" i="16" s="1"/>
  <c r="X34" i="10"/>
  <c r="X17" i="9"/>
  <c r="X8" i="9"/>
  <c r="W31" i="17"/>
  <c r="W40" i="17" s="1"/>
  <c r="W19" i="10"/>
  <c r="H17" i="9"/>
  <c r="H8" i="9"/>
  <c r="H34" i="10"/>
  <c r="L27" i="10"/>
  <c r="K99" i="3"/>
  <c r="AC17" i="9"/>
  <c r="AC8" i="9"/>
  <c r="AC34" i="10"/>
  <c r="L94" i="3"/>
  <c r="L95" i="3" s="1"/>
  <c r="M34" i="8" s="1"/>
  <c r="K94" i="3"/>
  <c r="J94" i="3"/>
  <c r="I94" i="3"/>
  <c r="I95" i="3" s="1"/>
  <c r="J34" i="8" s="1"/>
  <c r="I86" i="3"/>
  <c r="I87" i="3" s="1"/>
  <c r="AN35" i="4"/>
  <c r="L99" i="3"/>
  <c r="M27" i="10"/>
  <c r="M17" i="15"/>
  <c r="N17" i="16"/>
  <c r="AB17" i="9"/>
  <c r="AB34" i="10"/>
  <c r="AB8" i="9"/>
  <c r="V17" i="9"/>
  <c r="V8" i="9"/>
  <c r="V34" i="10"/>
  <c r="E12" i="17"/>
  <c r="R99" i="3"/>
  <c r="S27" i="10"/>
  <c r="AA19" i="10"/>
  <c r="AA31" i="17"/>
  <c r="AA8" i="9"/>
  <c r="AA34" i="10"/>
  <c r="AA17" i="9"/>
  <c r="AC22" i="8" l="1"/>
  <c r="AC46" i="8"/>
  <c r="AD22" i="8"/>
  <c r="AD46" i="8"/>
  <c r="S18" i="16"/>
  <c r="S19" i="16" s="1"/>
  <c r="X68" i="13"/>
  <c r="W61" i="13"/>
  <c r="W64" i="13" s="1"/>
  <c r="X67" i="13" s="1"/>
  <c r="Z12" i="11"/>
  <c r="Z19" i="11" s="1"/>
  <c r="X61" i="13"/>
  <c r="Y68" i="13"/>
  <c r="Y61" i="13"/>
  <c r="Z61" i="13"/>
  <c r="J95" i="3"/>
  <c r="K34" i="8" s="1"/>
  <c r="Q27" i="10"/>
  <c r="Z17" i="9"/>
  <c r="Q99" i="3"/>
  <c r="Y24" i="16"/>
  <c r="Y8" i="16" s="1"/>
  <c r="AD8" i="17" s="1"/>
  <c r="Y9" i="13"/>
  <c r="Y8" i="12"/>
  <c r="Y12" i="12" s="1"/>
  <c r="Y14" i="12" s="1"/>
  <c r="Y24" i="15" s="1"/>
  <c r="Y12" i="15" s="1"/>
  <c r="AE32" i="17" s="1"/>
  <c r="AA9" i="16"/>
  <c r="AF11" i="17" s="1"/>
  <c r="Z68" i="13"/>
  <c r="Z23" i="15"/>
  <c r="AF40" i="14"/>
  <c r="AD17" i="9"/>
  <c r="AD34" i="10"/>
  <c r="AE34" i="10"/>
  <c r="AE8" i="9"/>
  <c r="AE17" i="9"/>
  <c r="AE99" i="3"/>
  <c r="AF27" i="10"/>
  <c r="AN45" i="4"/>
  <c r="O99" i="3"/>
  <c r="T19" i="10"/>
  <c r="AE94" i="3"/>
  <c r="AE95" i="3" s="1"/>
  <c r="AF34" i="8" s="1"/>
  <c r="I32" i="10"/>
  <c r="I11" i="10"/>
  <c r="I31" i="17" s="1"/>
  <c r="K95" i="3"/>
  <c r="L34" i="8" s="1"/>
  <c r="L36" i="8" s="1"/>
  <c r="V19" i="10"/>
  <c r="V22" i="8" s="1"/>
  <c r="G32" i="10"/>
  <c r="G11" i="10"/>
  <c r="G31" i="17" s="1"/>
  <c r="Z94" i="3"/>
  <c r="Z95" i="3" s="1"/>
  <c r="AA34" i="8" s="1"/>
  <c r="AD94" i="3"/>
  <c r="AD95" i="3" s="1"/>
  <c r="AE34" i="8" s="1"/>
  <c r="AE36" i="8" s="1"/>
  <c r="AF7" i="9" s="1"/>
  <c r="O94" i="3"/>
  <c r="O95" i="3" s="1"/>
  <c r="I36" i="8"/>
  <c r="J7" i="9" s="1"/>
  <c r="I11" i="8"/>
  <c r="I12" i="17" s="1"/>
  <c r="H102" i="3"/>
  <c r="AE11" i="10"/>
  <c r="AE19" i="10" s="1"/>
  <c r="X94" i="3"/>
  <c r="X95" i="3" s="1"/>
  <c r="Y34" i="8" s="1"/>
  <c r="T94" i="3"/>
  <c r="T95" i="3" s="1"/>
  <c r="U34" i="8" s="1"/>
  <c r="M99" i="3"/>
  <c r="AC37" i="8"/>
  <c r="AC13" i="8" s="1"/>
  <c r="L13" i="19"/>
  <c r="C17" i="8"/>
  <c r="C13" i="17"/>
  <c r="C17" i="17" s="1"/>
  <c r="Y20" i="11"/>
  <c r="W67" i="13"/>
  <c r="W71" i="13" s="1"/>
  <c r="W28" i="16"/>
  <c r="W15" i="16"/>
  <c r="V13" i="16"/>
  <c r="V23" i="15"/>
  <c r="V68" i="13"/>
  <c r="V71" i="13" s="1"/>
  <c r="V73" i="13" s="1"/>
  <c r="W11" i="15"/>
  <c r="W27" i="15"/>
  <c r="AA22" i="8"/>
  <c r="AA21" i="10"/>
  <c r="K18" i="16"/>
  <c r="K13" i="16" s="1"/>
  <c r="AA40" i="17"/>
  <c r="AA44" i="17" s="1"/>
  <c r="AA46" i="17" s="1"/>
  <c r="H19" i="16"/>
  <c r="X16" i="13"/>
  <c r="X69" i="13" s="1"/>
  <c r="Z40" i="17"/>
  <c r="Z22" i="17" s="1"/>
  <c r="D18" i="18"/>
  <c r="X12" i="15"/>
  <c r="X27" i="15"/>
  <c r="V15" i="16"/>
  <c r="V18" i="16" s="1"/>
  <c r="V19" i="16" s="1"/>
  <c r="U13" i="16"/>
  <c r="Z22" i="8"/>
  <c r="Z21" i="10"/>
  <c r="P94" i="3"/>
  <c r="P95" i="3" s="1"/>
  <c r="Q34" i="8" s="1"/>
  <c r="AC94" i="3"/>
  <c r="AC95" i="3" s="1"/>
  <c r="AD34" i="8" s="1"/>
  <c r="S94" i="3"/>
  <c r="S95" i="3" s="1"/>
  <c r="T34" i="8" s="1"/>
  <c r="W94" i="3"/>
  <c r="W95" i="3" s="1"/>
  <c r="X34" i="8" s="1"/>
  <c r="R18" i="16"/>
  <c r="R19" i="16" s="1"/>
  <c r="Q18" i="16"/>
  <c r="Q13" i="16" s="1"/>
  <c r="M18" i="16"/>
  <c r="M19" i="16" s="1"/>
  <c r="J18" i="16"/>
  <c r="J19" i="16" s="1"/>
  <c r="Y94" i="3"/>
  <c r="Y95" i="3" s="1"/>
  <c r="Z34" i="8" s="1"/>
  <c r="U94" i="3"/>
  <c r="U95" i="3" s="1"/>
  <c r="V34" i="8" s="1"/>
  <c r="N94" i="3"/>
  <c r="N95" i="3" s="1"/>
  <c r="O34" i="8" s="1"/>
  <c r="V94" i="3"/>
  <c r="V95" i="3" s="1"/>
  <c r="W34" i="8" s="1"/>
  <c r="AA94" i="3"/>
  <c r="AA95" i="3" s="1"/>
  <c r="AB34" i="8" s="1"/>
  <c r="AB94" i="3"/>
  <c r="AB95" i="3" s="1"/>
  <c r="AC34" i="8" s="1"/>
  <c r="R94" i="3"/>
  <c r="R95" i="3" s="1"/>
  <c r="S34" i="8" s="1"/>
  <c r="Q94" i="3"/>
  <c r="Q95" i="3" s="1"/>
  <c r="R34" i="8" s="1"/>
  <c r="M94" i="3"/>
  <c r="M95" i="3" s="1"/>
  <c r="N34" i="8" s="1"/>
  <c r="R32" i="10"/>
  <c r="R11" i="10"/>
  <c r="R31" i="17" s="1"/>
  <c r="M32" i="10"/>
  <c r="M11" i="10"/>
  <c r="J27" i="10"/>
  <c r="I99" i="3"/>
  <c r="W44" i="17"/>
  <c r="W46" i="17" s="1"/>
  <c r="W41" i="17"/>
  <c r="W22" i="17"/>
  <c r="J35" i="17"/>
  <c r="J10" i="17"/>
  <c r="F15" i="16"/>
  <c r="F18" i="16" s="1"/>
  <c r="F19" i="16" s="1"/>
  <c r="U31" i="17"/>
  <c r="U40" i="17" s="1"/>
  <c r="U19" i="10"/>
  <c r="D31" i="17"/>
  <c r="D40" i="17" s="1"/>
  <c r="D44" i="17" s="1"/>
  <c r="D46" i="17" s="1"/>
  <c r="D19" i="10"/>
  <c r="K11" i="10"/>
  <c r="K32" i="10"/>
  <c r="O32" i="10"/>
  <c r="X40" i="17"/>
  <c r="T13" i="16"/>
  <c r="U18" i="16"/>
  <c r="U19" i="16" s="1"/>
  <c r="O18" i="16"/>
  <c r="I19" i="16"/>
  <c r="L18" i="16"/>
  <c r="Y40" i="17"/>
  <c r="S11" i="10"/>
  <c r="S32" i="10"/>
  <c r="Q32" i="10"/>
  <c r="Q11" i="10"/>
  <c r="J36" i="8"/>
  <c r="J11" i="8"/>
  <c r="K11" i="8"/>
  <c r="K36" i="8"/>
  <c r="P34" i="8"/>
  <c r="M36" i="8"/>
  <c r="M11" i="8"/>
  <c r="P11" i="10"/>
  <c r="P32" i="10"/>
  <c r="L11" i="10"/>
  <c r="L32" i="10"/>
  <c r="W22" i="8"/>
  <c r="W21" i="10"/>
  <c r="N11" i="10"/>
  <c r="N32" i="10"/>
  <c r="T44" i="17"/>
  <c r="T46" i="17" s="1"/>
  <c r="T41" i="17"/>
  <c r="T22" i="17"/>
  <c r="T18" i="16"/>
  <c r="T19" i="16" s="1"/>
  <c r="S13" i="16"/>
  <c r="K19" i="16"/>
  <c r="E19" i="16"/>
  <c r="U34" i="10"/>
  <c r="U8" i="9"/>
  <c r="U17" i="9"/>
  <c r="D17" i="9"/>
  <c r="D20" i="9" s="1"/>
  <c r="D8" i="9"/>
  <c r="D11" i="9" s="1"/>
  <c r="D12" i="9" s="1"/>
  <c r="V44" i="17"/>
  <c r="V46" i="17" s="1"/>
  <c r="V41" i="17"/>
  <c r="V22" i="17"/>
  <c r="X22" i="8"/>
  <c r="X21" i="10"/>
  <c r="N18" i="16"/>
  <c r="Y22" i="8"/>
  <c r="Y21" i="10"/>
  <c r="H11" i="9"/>
  <c r="H12" i="9" s="1"/>
  <c r="P18" i="16"/>
  <c r="G19" i="16"/>
  <c r="AE22" i="8" l="1"/>
  <c r="AE46" i="8"/>
  <c r="T21" i="10"/>
  <c r="T46" i="8"/>
  <c r="Y27" i="15"/>
  <c r="Z11" i="11"/>
  <c r="Z24" i="16" s="1"/>
  <c r="L11" i="8"/>
  <c r="Y15" i="15"/>
  <c r="Y17" i="15" s="1"/>
  <c r="Y26" i="16"/>
  <c r="Y12" i="13"/>
  <c r="Y14" i="13" s="1"/>
  <c r="Z11" i="15"/>
  <c r="AF11" i="8"/>
  <c r="AF36" i="8"/>
  <c r="AF11" i="10"/>
  <c r="AF32" i="10"/>
  <c r="T22" i="8"/>
  <c r="AE11" i="8"/>
  <c r="V21" i="10"/>
  <c r="T34" i="10"/>
  <c r="T8" i="9"/>
  <c r="T17" i="9"/>
  <c r="G8" i="9"/>
  <c r="G11" i="9" s="1"/>
  <c r="G12" i="9" s="1"/>
  <c r="G17" i="9"/>
  <c r="G34" i="10"/>
  <c r="I98" i="3"/>
  <c r="I102" i="3" s="1"/>
  <c r="J98" i="3" s="1"/>
  <c r="J102" i="3" s="1"/>
  <c r="K98" i="3" s="1"/>
  <c r="K102" i="3" s="1"/>
  <c r="L98" i="3" s="1"/>
  <c r="L102" i="3" s="1"/>
  <c r="M98" i="3" s="1"/>
  <c r="M102" i="3" s="1"/>
  <c r="H104" i="3"/>
  <c r="I17" i="9"/>
  <c r="I8" i="9"/>
  <c r="I11" i="9" s="1"/>
  <c r="I12" i="9" s="1"/>
  <c r="I34" i="10"/>
  <c r="AE31" i="17"/>
  <c r="AE40" i="17" s="1"/>
  <c r="AE41" i="17" s="1"/>
  <c r="E62" i="18"/>
  <c r="C63" i="18"/>
  <c r="E63" i="18" s="1"/>
  <c r="M13" i="19"/>
  <c r="AD37" i="8"/>
  <c r="AD13" i="8" s="1"/>
  <c r="X27" i="16"/>
  <c r="X10" i="16" s="1"/>
  <c r="X11" i="16" s="1"/>
  <c r="Y15" i="16" s="1"/>
  <c r="W73" i="13"/>
  <c r="V11" i="15"/>
  <c r="V27" i="15"/>
  <c r="W15" i="15"/>
  <c r="AC31" i="17"/>
  <c r="AC40" i="17" s="1"/>
  <c r="AA41" i="17"/>
  <c r="E55" i="18"/>
  <c r="Z41" i="17"/>
  <c r="Z43" i="17" s="1"/>
  <c r="D56" i="18"/>
  <c r="M13" i="16"/>
  <c r="AA22" i="17"/>
  <c r="X71" i="13"/>
  <c r="Z44" i="17"/>
  <c r="Z46" i="17" s="1"/>
  <c r="X19" i="13"/>
  <c r="X21" i="13"/>
  <c r="X60" i="13" s="1"/>
  <c r="X64" i="13" s="1"/>
  <c r="Y67" i="13" s="1"/>
  <c r="AD32" i="17"/>
  <c r="AD40" i="17" s="1"/>
  <c r="X15" i="15"/>
  <c r="J13" i="16"/>
  <c r="Q19" i="16"/>
  <c r="R13" i="16"/>
  <c r="R17" i="9"/>
  <c r="R34" i="10"/>
  <c r="R8" i="9"/>
  <c r="P13" i="16"/>
  <c r="P19" i="16"/>
  <c r="E16" i="9"/>
  <c r="E20" i="9" s="1"/>
  <c r="D22" i="9"/>
  <c r="N31" i="17"/>
  <c r="L8" i="9"/>
  <c r="L34" i="10"/>
  <c r="L17" i="9"/>
  <c r="P34" i="10"/>
  <c r="P17" i="9"/>
  <c r="P8" i="9"/>
  <c r="M12" i="17"/>
  <c r="L7" i="9"/>
  <c r="J12" i="17"/>
  <c r="Q17" i="9"/>
  <c r="Q8" i="9"/>
  <c r="Q34" i="10"/>
  <c r="N36" i="8"/>
  <c r="S36" i="8"/>
  <c r="S11" i="8"/>
  <c r="AC36" i="8"/>
  <c r="AD7" i="9" s="1"/>
  <c r="AD11" i="9" s="1"/>
  <c r="AC11" i="8"/>
  <c r="AB36" i="8"/>
  <c r="AB11" i="8"/>
  <c r="AB12" i="17" s="1"/>
  <c r="D27" i="18" s="1"/>
  <c r="V36" i="8"/>
  <c r="V11" i="8"/>
  <c r="S31" i="17"/>
  <c r="G8" i="18"/>
  <c r="G18" i="18" s="1"/>
  <c r="J8" i="18"/>
  <c r="J18" i="18" s="1"/>
  <c r="O31" i="17"/>
  <c r="K31" i="17"/>
  <c r="U21" i="10"/>
  <c r="U22" i="8"/>
  <c r="R36" i="8"/>
  <c r="R11" i="8"/>
  <c r="L12" i="17"/>
  <c r="W36" i="8"/>
  <c r="W11" i="8"/>
  <c r="J32" i="10"/>
  <c r="J11" i="10"/>
  <c r="Z36" i="8"/>
  <c r="Z11" i="8"/>
  <c r="M34" i="10"/>
  <c r="M17" i="9"/>
  <c r="M8" i="9"/>
  <c r="N13" i="16"/>
  <c r="N19" i="16"/>
  <c r="N8" i="9"/>
  <c r="N34" i="10"/>
  <c r="N17" i="9"/>
  <c r="L31" i="17"/>
  <c r="P31" i="17"/>
  <c r="N7" i="9"/>
  <c r="P11" i="8"/>
  <c r="P36" i="8"/>
  <c r="X36" i="8"/>
  <c r="X11" i="8"/>
  <c r="AA11" i="8"/>
  <c r="AA12" i="17" s="1"/>
  <c r="AA36" i="8"/>
  <c r="AB7" i="9" s="1"/>
  <c r="AB11" i="9" s="1"/>
  <c r="U36" i="8"/>
  <c r="U11" i="8"/>
  <c r="T11" i="8"/>
  <c r="T36" i="8"/>
  <c r="K12" i="17"/>
  <c r="AD36" i="8"/>
  <c r="AE7" i="9" s="1"/>
  <c r="AE11" i="9" s="1"/>
  <c r="AE12" i="9" s="1"/>
  <c r="AD11" i="8"/>
  <c r="K7" i="9"/>
  <c r="Y36" i="8"/>
  <c r="Y11" i="8"/>
  <c r="Q36" i="8"/>
  <c r="Q11" i="8"/>
  <c r="Q31" i="17"/>
  <c r="O11" i="8"/>
  <c r="O36" i="8"/>
  <c r="S8" i="9"/>
  <c r="S34" i="10"/>
  <c r="S17" i="9"/>
  <c r="Y41" i="17"/>
  <c r="Y44" i="17"/>
  <c r="Y46" i="17" s="1"/>
  <c r="Y22" i="17"/>
  <c r="L19" i="16"/>
  <c r="L13" i="16"/>
  <c r="O19" i="16"/>
  <c r="O13" i="16"/>
  <c r="X41" i="17"/>
  <c r="X22" i="17"/>
  <c r="X44" i="17"/>
  <c r="X46" i="17" s="1"/>
  <c r="O34" i="10"/>
  <c r="O17" i="9"/>
  <c r="O8" i="9"/>
  <c r="K17" i="9"/>
  <c r="K8" i="9"/>
  <c r="K34" i="10"/>
  <c r="U44" i="17"/>
  <c r="U46" i="17" s="1"/>
  <c r="U41" i="17"/>
  <c r="U22" i="17"/>
  <c r="M7" i="9"/>
  <c r="M31" i="17"/>
  <c r="Y15" i="13" l="1"/>
  <c r="AA12" i="11"/>
  <c r="AA19" i="11" s="1"/>
  <c r="Z8" i="12"/>
  <c r="Z12" i="12" s="1"/>
  <c r="Z14" i="12" s="1"/>
  <c r="Z24" i="15" s="1"/>
  <c r="Z26" i="16"/>
  <c r="Z8" i="16"/>
  <c r="AE8" i="17" s="1"/>
  <c r="Z9" i="13"/>
  <c r="Z20" i="11"/>
  <c r="Z17" i="16"/>
  <c r="Y16" i="13"/>
  <c r="Y21" i="13" s="1"/>
  <c r="Y60" i="13" s="1"/>
  <c r="Y64" i="13" s="1"/>
  <c r="AF31" i="17"/>
  <c r="AF19" i="10"/>
  <c r="AF34" i="10"/>
  <c r="AF8" i="9"/>
  <c r="AF11" i="9" s="1"/>
  <c r="AF12" i="9" s="1"/>
  <c r="AF17" i="9"/>
  <c r="AE37" i="8"/>
  <c r="AE13" i="8" s="1"/>
  <c r="N13" i="19"/>
  <c r="M104" i="3"/>
  <c r="N98" i="3"/>
  <c r="N102" i="3" s="1"/>
  <c r="O98" i="3" s="1"/>
  <c r="O102" i="3" s="1"/>
  <c r="AE44" i="17"/>
  <c r="AE46" i="17" s="1"/>
  <c r="AE22" i="17"/>
  <c r="AC12" i="17"/>
  <c r="X28" i="16"/>
  <c r="AC44" i="17"/>
  <c r="AC46" i="17" s="1"/>
  <c r="AC22" i="17"/>
  <c r="AC41" i="17"/>
  <c r="W17" i="15"/>
  <c r="X17" i="16"/>
  <c r="X18" i="16" s="1"/>
  <c r="X19" i="16" s="1"/>
  <c r="V15" i="15"/>
  <c r="AB31" i="17"/>
  <c r="AB40" i="17" s="1"/>
  <c r="X73" i="13"/>
  <c r="Y27" i="16"/>
  <c r="Y10" i="16" s="1"/>
  <c r="Y11" i="16" s="1"/>
  <c r="Z15" i="16" s="1"/>
  <c r="X17" i="15"/>
  <c r="Y17" i="16"/>
  <c r="Y18" i="16" s="1"/>
  <c r="AD41" i="17"/>
  <c r="AD22" i="17"/>
  <c r="AD44" i="17"/>
  <c r="AD46" i="17" s="1"/>
  <c r="N11" i="9"/>
  <c r="N12" i="9" s="1"/>
  <c r="L11" i="9"/>
  <c r="L12" i="9" s="1"/>
  <c r="U7" i="9"/>
  <c r="U11" i="9" s="1"/>
  <c r="U12" i="9" s="1"/>
  <c r="U12" i="17"/>
  <c r="Q7" i="9"/>
  <c r="Q11" i="9" s="1"/>
  <c r="Q12" i="9" s="1"/>
  <c r="J34" i="10"/>
  <c r="J17" i="9"/>
  <c r="J8" i="9"/>
  <c r="J11" i="9" s="1"/>
  <c r="J12" i="9" s="1"/>
  <c r="X7" i="9"/>
  <c r="X11" i="9" s="1"/>
  <c r="X12" i="9" s="1"/>
  <c r="H18" i="18"/>
  <c r="H8" i="18"/>
  <c r="V12" i="17"/>
  <c r="N12" i="17"/>
  <c r="O12" i="17"/>
  <c r="R7" i="9"/>
  <c r="R11" i="9" s="1"/>
  <c r="R12" i="9" s="1"/>
  <c r="Z7" i="9"/>
  <c r="Z11" i="9" s="1"/>
  <c r="Z12" i="9" s="1"/>
  <c r="X12" i="17"/>
  <c r="AA7" i="9"/>
  <c r="AA11" i="9" s="1"/>
  <c r="AA12" i="9" s="1"/>
  <c r="S7" i="9"/>
  <c r="S11" i="9" s="1"/>
  <c r="S12" i="9" s="1"/>
  <c r="S12" i="17"/>
  <c r="D32" i="9"/>
  <c r="D38" i="8"/>
  <c r="M11" i="9"/>
  <c r="M12" i="9" s="1"/>
  <c r="P7" i="9"/>
  <c r="P11" i="9" s="1"/>
  <c r="P12" i="9" s="1"/>
  <c r="Q12" i="17"/>
  <c r="Y12" i="17"/>
  <c r="K11" i="9"/>
  <c r="K12" i="9" s="1"/>
  <c r="T12" i="17"/>
  <c r="V7" i="9"/>
  <c r="V11" i="9" s="1"/>
  <c r="V12" i="9" s="1"/>
  <c r="Y7" i="9"/>
  <c r="Y11" i="9" s="1"/>
  <c r="Y12" i="9" s="1"/>
  <c r="P12" i="17"/>
  <c r="Z12" i="17"/>
  <c r="J31" i="17"/>
  <c r="W12" i="17"/>
  <c r="R12" i="17"/>
  <c r="K8" i="18"/>
  <c r="K18" i="18"/>
  <c r="W7" i="9"/>
  <c r="W11" i="9" s="1"/>
  <c r="W12" i="9" s="1"/>
  <c r="AC7" i="9"/>
  <c r="AC11" i="9" s="1"/>
  <c r="AC12" i="9" s="1"/>
  <c r="AB12" i="9"/>
  <c r="AD12" i="9"/>
  <c r="T7" i="9"/>
  <c r="T11" i="9" s="1"/>
  <c r="T12" i="9" s="1"/>
  <c r="O7" i="9"/>
  <c r="O11" i="9" s="1"/>
  <c r="O12" i="9" s="1"/>
  <c r="F16" i="9"/>
  <c r="F20" i="9" s="1"/>
  <c r="E22" i="9"/>
  <c r="AF22" i="8" l="1"/>
  <c r="AF46" i="8"/>
  <c r="Y19" i="13"/>
  <c r="Z12" i="13"/>
  <c r="Z14" i="13" s="1"/>
  <c r="AA11" i="11"/>
  <c r="Z15" i="13" s="1"/>
  <c r="Z18" i="16"/>
  <c r="Y69" i="13"/>
  <c r="Y71" i="13" s="1"/>
  <c r="Y73" i="13" s="1"/>
  <c r="Z12" i="15"/>
  <c r="Z27" i="15"/>
  <c r="O13" i="19"/>
  <c r="AF37" i="8"/>
  <c r="AF13" i="8" s="1"/>
  <c r="N104" i="3"/>
  <c r="Z27" i="16"/>
  <c r="Z67" i="13"/>
  <c r="AB22" i="17"/>
  <c r="AB44" i="17"/>
  <c r="AB46" i="17" s="1"/>
  <c r="AB41" i="17"/>
  <c r="V17" i="15"/>
  <c r="W17" i="16"/>
  <c r="W18" i="16" s="1"/>
  <c r="W19" i="16" s="1"/>
  <c r="Y19" i="16"/>
  <c r="Y28" i="16"/>
  <c r="AD12" i="17"/>
  <c r="G16" i="9"/>
  <c r="G20" i="9" s="1"/>
  <c r="F22" i="9"/>
  <c r="D12" i="8"/>
  <c r="D39" i="8"/>
  <c r="P98" i="3"/>
  <c r="P102" i="3" s="1"/>
  <c r="O104" i="3"/>
  <c r="E32" i="9"/>
  <c r="E38" i="8"/>
  <c r="Z16" i="13" l="1"/>
  <c r="Z21" i="13" s="1"/>
  <c r="Z60" i="13" s="1"/>
  <c r="Z64" i="13" s="1"/>
  <c r="AA27" i="16" s="1"/>
  <c r="AA10" i="16" s="1"/>
  <c r="AF12" i="17" s="1"/>
  <c r="AA20" i="11"/>
  <c r="AA24" i="16"/>
  <c r="AA8" i="16" s="1"/>
  <c r="AF8" i="17" s="1"/>
  <c r="AA26" i="16"/>
  <c r="AF32" i="17"/>
  <c r="AF40" i="17" s="1"/>
  <c r="Z15" i="15"/>
  <c r="Z10" i="16"/>
  <c r="Z28" i="16"/>
  <c r="E12" i="8"/>
  <c r="E39" i="8"/>
  <c r="E7" i="5" s="1"/>
  <c r="E8" i="5" s="1"/>
  <c r="D13" i="17"/>
  <c r="D17" i="17" s="1"/>
  <c r="D17" i="8"/>
  <c r="F38" i="8"/>
  <c r="F32" i="9"/>
  <c r="G27" i="18"/>
  <c r="Q98" i="3"/>
  <c r="Q102" i="3" s="1"/>
  <c r="P104" i="3"/>
  <c r="H16" i="9"/>
  <c r="H20" i="9" s="1"/>
  <c r="G22" i="9"/>
  <c r="Z19" i="13" l="1"/>
  <c r="Z69" i="13"/>
  <c r="Z71" i="13" s="1"/>
  <c r="Z73" i="13" s="1"/>
  <c r="Z17" i="15"/>
  <c r="AA17" i="16"/>
  <c r="AF22" i="17"/>
  <c r="AF41" i="17"/>
  <c r="AF44" i="17"/>
  <c r="AF46" i="17" s="1"/>
  <c r="AA11" i="16"/>
  <c r="AA28" i="16"/>
  <c r="Z11" i="16"/>
  <c r="AE12" i="17"/>
  <c r="F10" i="5"/>
  <c r="I16" i="9"/>
  <c r="I20" i="9" s="1"/>
  <c r="H22" i="9"/>
  <c r="G32" i="9"/>
  <c r="G38" i="8"/>
  <c r="R98" i="3"/>
  <c r="R102" i="3" s="1"/>
  <c r="Q104" i="3"/>
  <c r="H27" i="18"/>
  <c r="F12" i="8"/>
  <c r="F39" i="8"/>
  <c r="E13" i="17"/>
  <c r="E17" i="17" s="1"/>
  <c r="E17" i="8"/>
  <c r="Z19" i="16" l="1"/>
  <c r="AA15" i="16"/>
  <c r="AA18" i="16" s="1"/>
  <c r="AA19" i="16" s="1"/>
  <c r="G12" i="8"/>
  <c r="G39" i="8"/>
  <c r="H38" i="8"/>
  <c r="H32" i="9"/>
  <c r="G10" i="5"/>
  <c r="G16" i="10" s="1"/>
  <c r="I10" i="5"/>
  <c r="I16" i="10" s="1"/>
  <c r="K10" i="5"/>
  <c r="K16" i="10" s="1"/>
  <c r="M10" i="5"/>
  <c r="M16" i="10" s="1"/>
  <c r="O10" i="5"/>
  <c r="O16" i="10" s="1"/>
  <c r="Q10" i="5"/>
  <c r="Q16" i="10" s="1"/>
  <c r="S10" i="5"/>
  <c r="S16" i="10" s="1"/>
  <c r="H10" i="5"/>
  <c r="H16" i="10" s="1"/>
  <c r="J10" i="5"/>
  <c r="J16" i="10" s="1"/>
  <c r="L10" i="5"/>
  <c r="L16" i="10" s="1"/>
  <c r="N10" i="5"/>
  <c r="N16" i="10" s="1"/>
  <c r="P10" i="5"/>
  <c r="P16" i="10" s="1"/>
  <c r="R10" i="5"/>
  <c r="R16" i="10" s="1"/>
  <c r="F16" i="10"/>
  <c r="F13" i="17"/>
  <c r="S98" i="3"/>
  <c r="S102" i="3" s="1"/>
  <c r="R104" i="3"/>
  <c r="J16" i="9"/>
  <c r="J20" i="9" s="1"/>
  <c r="I22" i="9"/>
  <c r="F12" i="5"/>
  <c r="P37" i="17" l="1"/>
  <c r="P40" i="17" s="1"/>
  <c r="P19" i="10"/>
  <c r="H37" i="17"/>
  <c r="H40" i="17" s="1"/>
  <c r="H19" i="10"/>
  <c r="H22" i="8" s="1"/>
  <c r="Q37" i="17"/>
  <c r="Q40" i="17" s="1"/>
  <c r="Q19" i="10"/>
  <c r="M37" i="17"/>
  <c r="M40" i="17" s="1"/>
  <c r="M19" i="10"/>
  <c r="M22" i="8" s="1"/>
  <c r="I37" i="17"/>
  <c r="I40" i="17" s="1"/>
  <c r="I19" i="10"/>
  <c r="I22" i="8" s="1"/>
  <c r="I32" i="9"/>
  <c r="I38" i="8"/>
  <c r="F37" i="17"/>
  <c r="F40" i="17" s="1"/>
  <c r="F44" i="17" s="1"/>
  <c r="F46" i="17" s="1"/>
  <c r="F19" i="10"/>
  <c r="L37" i="17"/>
  <c r="L40" i="17" s="1"/>
  <c r="L19" i="10"/>
  <c r="L22" i="8" s="1"/>
  <c r="G12" i="5"/>
  <c r="F15" i="8"/>
  <c r="J22" i="9"/>
  <c r="K16" i="9"/>
  <c r="K20" i="9" s="1"/>
  <c r="T98" i="3"/>
  <c r="T102" i="3" s="1"/>
  <c r="S104" i="3"/>
  <c r="R37" i="17"/>
  <c r="R40" i="17" s="1"/>
  <c r="R19" i="10"/>
  <c r="N37" i="17"/>
  <c r="N40" i="17" s="1"/>
  <c r="N19" i="10"/>
  <c r="N22" i="8" s="1"/>
  <c r="J37" i="17"/>
  <c r="J40" i="17" s="1"/>
  <c r="J19" i="10"/>
  <c r="J22" i="8" s="1"/>
  <c r="S37" i="17"/>
  <c r="S40" i="17" s="1"/>
  <c r="S19" i="10"/>
  <c r="O37" i="17"/>
  <c r="O40" i="17" s="1"/>
  <c r="O19" i="10"/>
  <c r="K37" i="17"/>
  <c r="K40" i="17" s="1"/>
  <c r="K19" i="10"/>
  <c r="K22" i="8" s="1"/>
  <c r="G37" i="17"/>
  <c r="G40" i="17" s="1"/>
  <c r="G19" i="10"/>
  <c r="G22" i="8" s="1"/>
  <c r="H12" i="8"/>
  <c r="H39" i="8"/>
  <c r="G13" i="17"/>
  <c r="G44" i="17" l="1"/>
  <c r="G46" i="17" s="1"/>
  <c r="G22" i="17"/>
  <c r="O44" i="17"/>
  <c r="O46" i="17" s="1"/>
  <c r="O22" i="17"/>
  <c r="S44" i="17"/>
  <c r="S46" i="17" s="1"/>
  <c r="S41" i="17"/>
  <c r="S22" i="17"/>
  <c r="J44" i="17"/>
  <c r="J46" i="17" s="1"/>
  <c r="J22" i="17"/>
  <c r="N44" i="17"/>
  <c r="N46" i="17" s="1"/>
  <c r="N22" i="17"/>
  <c r="R22" i="17"/>
  <c r="R44" i="17"/>
  <c r="R46" i="17" s="1"/>
  <c r="R41" i="17"/>
  <c r="L16" i="9"/>
  <c r="L20" i="9" s="1"/>
  <c r="K22" i="9"/>
  <c r="F15" i="17"/>
  <c r="F17" i="17" s="1"/>
  <c r="F17" i="8"/>
  <c r="G21" i="8" s="1"/>
  <c r="G24" i="8" s="1"/>
  <c r="I12" i="8"/>
  <c r="I39" i="8"/>
  <c r="Q21" i="10"/>
  <c r="Q22" i="8"/>
  <c r="P21" i="10"/>
  <c r="P22" i="8"/>
  <c r="H13" i="17"/>
  <c r="K44" i="17"/>
  <c r="K46" i="17" s="1"/>
  <c r="K22" i="17"/>
  <c r="O21" i="10"/>
  <c r="O22" i="8"/>
  <c r="S21" i="10"/>
  <c r="S22" i="8"/>
  <c r="R21" i="10"/>
  <c r="R22" i="8"/>
  <c r="U98" i="3"/>
  <c r="U102" i="3" s="1"/>
  <c r="T104" i="3"/>
  <c r="J32" i="9"/>
  <c r="J38" i="8"/>
  <c r="H12" i="5"/>
  <c r="G15" i="8"/>
  <c r="L44" i="17"/>
  <c r="L46" i="17" s="1"/>
  <c r="L22" i="17"/>
  <c r="I44" i="17"/>
  <c r="I46" i="17" s="1"/>
  <c r="I22" i="17"/>
  <c r="M22" i="17"/>
  <c r="M44" i="17"/>
  <c r="M46" i="17" s="1"/>
  <c r="Q44" i="17"/>
  <c r="Q46" i="17" s="1"/>
  <c r="Q22" i="17"/>
  <c r="H22" i="17"/>
  <c r="H44" i="17"/>
  <c r="H46" i="17" s="1"/>
  <c r="P22" i="17"/>
  <c r="P44" i="17"/>
  <c r="P46" i="17" s="1"/>
  <c r="I12" i="5" l="1"/>
  <c r="H15" i="8"/>
  <c r="V98" i="3"/>
  <c r="V102" i="3" s="1"/>
  <c r="U104" i="3"/>
  <c r="K38" i="8"/>
  <c r="K32" i="9"/>
  <c r="G15" i="17"/>
  <c r="G17" i="17" s="1"/>
  <c r="G49" i="17" s="1"/>
  <c r="G17" i="8"/>
  <c r="H21" i="8" s="1"/>
  <c r="H24" i="8" s="1"/>
  <c r="J12" i="8"/>
  <c r="J39" i="8"/>
  <c r="I13" i="17"/>
  <c r="G21" i="17"/>
  <c r="G24" i="17" s="1"/>
  <c r="M16" i="9"/>
  <c r="M20" i="9" s="1"/>
  <c r="L22" i="9"/>
  <c r="G25" i="17" l="1"/>
  <c r="L32" i="9"/>
  <c r="L38" i="8"/>
  <c r="G25" i="8"/>
  <c r="H15" i="17"/>
  <c r="H17" i="17" s="1"/>
  <c r="H49" i="17" s="1"/>
  <c r="H17" i="8"/>
  <c r="I21" i="8" s="1"/>
  <c r="I24" i="8" s="1"/>
  <c r="N16" i="9"/>
  <c r="N20" i="9" s="1"/>
  <c r="M22" i="9"/>
  <c r="J13" i="17"/>
  <c r="H21" i="17"/>
  <c r="H24" i="17" s="1"/>
  <c r="K12" i="8"/>
  <c r="K39" i="8"/>
  <c r="W98" i="3"/>
  <c r="W102" i="3" s="1"/>
  <c r="V104" i="3"/>
  <c r="J12" i="5"/>
  <c r="I15" i="8"/>
  <c r="H25" i="8" l="1"/>
  <c r="H25" i="17"/>
  <c r="J15" i="8"/>
  <c r="K12" i="5"/>
  <c r="X98" i="3"/>
  <c r="X102" i="3" s="1"/>
  <c r="W104" i="3"/>
  <c r="K13" i="17"/>
  <c r="M32" i="9"/>
  <c r="M38" i="8"/>
  <c r="L12" i="8"/>
  <c r="L39" i="8"/>
  <c r="I15" i="17"/>
  <c r="I17" i="17" s="1"/>
  <c r="I49" i="17" s="1"/>
  <c r="I17" i="8"/>
  <c r="J21" i="8" s="1"/>
  <c r="J24" i="8" s="1"/>
  <c r="O16" i="9"/>
  <c r="O20" i="9" s="1"/>
  <c r="N22" i="9"/>
  <c r="I21" i="17"/>
  <c r="I24" i="17" s="1"/>
  <c r="P16" i="9" l="1"/>
  <c r="P20" i="9" s="1"/>
  <c r="O22" i="9"/>
  <c r="J21" i="17"/>
  <c r="J24" i="17" s="1"/>
  <c r="L13" i="17"/>
  <c r="M12" i="8"/>
  <c r="M39" i="8"/>
  <c r="I25" i="17"/>
  <c r="N32" i="9"/>
  <c r="N38" i="8"/>
  <c r="I25" i="8"/>
  <c r="L12" i="5"/>
  <c r="K15" i="8"/>
  <c r="Y98" i="3"/>
  <c r="Y102" i="3" s="1"/>
  <c r="X104" i="3"/>
  <c r="J15" i="17"/>
  <c r="J17" i="17" s="1"/>
  <c r="J49" i="17" s="1"/>
  <c r="J17" i="8"/>
  <c r="K21" i="8" s="1"/>
  <c r="K24" i="8" s="1"/>
  <c r="Z98" i="3" l="1"/>
  <c r="Z102" i="3" s="1"/>
  <c r="Y104" i="3"/>
  <c r="K15" i="17"/>
  <c r="K17" i="17" s="1"/>
  <c r="K17" i="8"/>
  <c r="L21" i="8" s="1"/>
  <c r="L24" i="8" s="1"/>
  <c r="L15" i="8"/>
  <c r="M12" i="5"/>
  <c r="J25" i="8"/>
  <c r="O38" i="8"/>
  <c r="O32" i="9"/>
  <c r="K21" i="17"/>
  <c r="K24" i="17" s="1"/>
  <c r="M13" i="17"/>
  <c r="J25" i="17"/>
  <c r="Q16" i="9"/>
  <c r="Q20" i="9" s="1"/>
  <c r="P22" i="9"/>
  <c r="K25" i="17" l="1"/>
  <c r="K25" i="8"/>
  <c r="L15" i="17"/>
  <c r="L17" i="17" s="1"/>
  <c r="L49" i="17" s="1"/>
  <c r="L17" i="8"/>
  <c r="M21" i="8" s="1"/>
  <c r="M24" i="8" s="1"/>
  <c r="L21" i="17"/>
  <c r="L24" i="17" s="1"/>
  <c r="AA98" i="3"/>
  <c r="AA102" i="3" s="1"/>
  <c r="Z104" i="3"/>
  <c r="P38" i="8"/>
  <c r="P32" i="9"/>
  <c r="N13" i="17"/>
  <c r="K49" i="17"/>
  <c r="O12" i="8"/>
  <c r="O39" i="8"/>
  <c r="N12" i="5"/>
  <c r="M15" i="8"/>
  <c r="R16" i="9"/>
  <c r="R20" i="9" s="1"/>
  <c r="Q22" i="9"/>
  <c r="L25" i="8" l="1"/>
  <c r="O12" i="5"/>
  <c r="O13" i="17"/>
  <c r="AB98" i="3"/>
  <c r="AB102" i="3" s="1"/>
  <c r="AA104" i="3"/>
  <c r="M21" i="17"/>
  <c r="M24" i="17" s="1"/>
  <c r="S16" i="9"/>
  <c r="S20" i="9" s="1"/>
  <c r="R22" i="9"/>
  <c r="M15" i="17"/>
  <c r="M17" i="17" s="1"/>
  <c r="M17" i="8"/>
  <c r="N21" i="8" s="1"/>
  <c r="N24" i="8" s="1"/>
  <c r="L25" i="17"/>
  <c r="Q38" i="8"/>
  <c r="Q32" i="9"/>
  <c r="P12" i="8"/>
  <c r="P39" i="8"/>
  <c r="M25" i="8" l="1"/>
  <c r="N21" i="17"/>
  <c r="N24" i="17" s="1"/>
  <c r="T16" i="9"/>
  <c r="T20" i="9" s="1"/>
  <c r="S22" i="9"/>
  <c r="M25" i="17"/>
  <c r="AC98" i="3"/>
  <c r="AC102" i="3" s="1"/>
  <c r="AB104" i="3"/>
  <c r="P12" i="5"/>
  <c r="O15" i="8"/>
  <c r="P13" i="17"/>
  <c r="Q12" i="8"/>
  <c r="Q39" i="8"/>
  <c r="R32" i="9"/>
  <c r="R38" i="8"/>
  <c r="M49" i="17"/>
  <c r="N15" i="17"/>
  <c r="N17" i="17" s="1"/>
  <c r="N17" i="8"/>
  <c r="O21" i="8" l="1"/>
  <c r="O24" i="8" s="1"/>
  <c r="N42" i="8"/>
  <c r="N25" i="8"/>
  <c r="O21" i="17"/>
  <c r="O24" i="17" s="1"/>
  <c r="Q13" i="17"/>
  <c r="U16" i="9"/>
  <c r="U20" i="9" s="1"/>
  <c r="T22" i="9"/>
  <c r="N25" i="17"/>
  <c r="O15" i="17"/>
  <c r="O17" i="17" s="1"/>
  <c r="O17" i="8"/>
  <c r="AD98" i="3"/>
  <c r="AD102" i="3" s="1"/>
  <c r="AC104" i="3"/>
  <c r="S38" i="8"/>
  <c r="S32" i="9"/>
  <c r="N49" i="17"/>
  <c r="R12" i="8"/>
  <c r="R39" i="8"/>
  <c r="P15" i="8"/>
  <c r="Q12" i="5"/>
  <c r="N43" i="8" l="1"/>
  <c r="N44" i="8"/>
  <c r="AD104" i="3"/>
  <c r="AE98" i="3"/>
  <c r="AE102" i="3" s="1"/>
  <c r="AE104" i="3" s="1"/>
  <c r="Q15" i="8"/>
  <c r="R12" i="5"/>
  <c r="S12" i="8"/>
  <c r="S39" i="8"/>
  <c r="P21" i="17"/>
  <c r="P24" i="17" s="1"/>
  <c r="V16" i="9"/>
  <c r="V20" i="9" s="1"/>
  <c r="U22" i="9"/>
  <c r="O25" i="17"/>
  <c r="P15" i="17"/>
  <c r="P17" i="17" s="1"/>
  <c r="P17" i="8"/>
  <c r="R13" i="17"/>
  <c r="O19" i="8"/>
  <c r="P21" i="8"/>
  <c r="P24" i="8" s="1"/>
  <c r="O25" i="8"/>
  <c r="T32" i="9"/>
  <c r="T38" i="8"/>
  <c r="O49" i="17"/>
  <c r="O47" i="8" l="1"/>
  <c r="O48" i="8" s="1"/>
  <c r="N47" i="8"/>
  <c r="N48" i="8" s="1"/>
  <c r="P25" i="8"/>
  <c r="T12" i="8"/>
  <c r="T39" i="8"/>
  <c r="Q21" i="17"/>
  <c r="Q24" i="17" s="1"/>
  <c r="U38" i="8"/>
  <c r="U32" i="9"/>
  <c r="P25" i="17"/>
  <c r="S12" i="5"/>
  <c r="S15" i="8" s="1"/>
  <c r="S15" i="17" s="1"/>
  <c r="R15" i="8"/>
  <c r="P19" i="8"/>
  <c r="Q21" i="8"/>
  <c r="Q24" i="8" s="1"/>
  <c r="V22" i="9"/>
  <c r="W16" i="9"/>
  <c r="W20" i="9" s="1"/>
  <c r="P49" i="17"/>
  <c r="S13" i="17"/>
  <c r="S17" i="8"/>
  <c r="Q15" i="17"/>
  <c r="Q17" i="17" s="1"/>
  <c r="Q17" i="8"/>
  <c r="S17" i="17" l="1"/>
  <c r="S18" i="17" s="1"/>
  <c r="Q25" i="8"/>
  <c r="R21" i="17"/>
  <c r="R24" i="17" s="1"/>
  <c r="X16" i="9"/>
  <c r="X20" i="9" s="1"/>
  <c r="W22" i="9"/>
  <c r="R15" i="17"/>
  <c r="R17" i="17" s="1"/>
  <c r="R17" i="8"/>
  <c r="U12" i="8"/>
  <c r="U39" i="8"/>
  <c r="Q25" i="17"/>
  <c r="R21" i="8"/>
  <c r="R24" i="8" s="1"/>
  <c r="R25" i="8" s="1"/>
  <c r="Q19" i="8"/>
  <c r="T21" i="8"/>
  <c r="T24" i="8" s="1"/>
  <c r="S19" i="8"/>
  <c r="V32" i="9"/>
  <c r="V38" i="8"/>
  <c r="Q49" i="17"/>
  <c r="T13" i="17"/>
  <c r="T17" i="17" s="1"/>
  <c r="T17" i="8"/>
  <c r="T42" i="8" s="1"/>
  <c r="T43" i="8" l="1"/>
  <c r="T47" i="8" s="1"/>
  <c r="T48" i="8" s="1"/>
  <c r="T44" i="8"/>
  <c r="T21" i="17"/>
  <c r="T24" i="17" s="1"/>
  <c r="T25" i="17" s="1"/>
  <c r="U21" i="17"/>
  <c r="U24" i="17" s="1"/>
  <c r="T18" i="17"/>
  <c r="V12" i="8"/>
  <c r="V39" i="8"/>
  <c r="U13" i="17"/>
  <c r="U17" i="17" s="1"/>
  <c r="U17" i="8"/>
  <c r="U42" i="8" s="1"/>
  <c r="S21" i="17"/>
  <c r="S24" i="17" s="1"/>
  <c r="S25" i="17" s="1"/>
  <c r="S49" i="17"/>
  <c r="R18" i="17"/>
  <c r="Y16" i="9"/>
  <c r="Y20" i="9" s="1"/>
  <c r="X22" i="9"/>
  <c r="R49" i="17"/>
  <c r="T19" i="8"/>
  <c r="U21" i="8"/>
  <c r="U24" i="8" s="1"/>
  <c r="T25" i="8"/>
  <c r="S21" i="8"/>
  <c r="S24" i="8" s="1"/>
  <c r="S25" i="8" s="1"/>
  <c r="R19" i="8"/>
  <c r="W38" i="8"/>
  <c r="W32" i="9"/>
  <c r="T49" i="17"/>
  <c r="R25" i="17"/>
  <c r="U43" i="8" l="1"/>
  <c r="U47" i="8" s="1"/>
  <c r="U48" i="8" s="1"/>
  <c r="U44" i="8"/>
  <c r="U25" i="8"/>
  <c r="W12" i="8"/>
  <c r="W39" i="8"/>
  <c r="X32" i="9"/>
  <c r="X38" i="8"/>
  <c r="U18" i="17"/>
  <c r="V21" i="17"/>
  <c r="V24" i="17" s="1"/>
  <c r="V13" i="17"/>
  <c r="V17" i="17" s="1"/>
  <c r="V17" i="8"/>
  <c r="V42" i="8" s="1"/>
  <c r="U25" i="17"/>
  <c r="Z16" i="9"/>
  <c r="Z20" i="9" s="1"/>
  <c r="Y22" i="9"/>
  <c r="V21" i="8"/>
  <c r="V24" i="8" s="1"/>
  <c r="U19" i="8"/>
  <c r="U49" i="17"/>
  <c r="V43" i="8" l="1"/>
  <c r="V47" i="8" s="1"/>
  <c r="V48" i="8" s="1"/>
  <c r="V25" i="8"/>
  <c r="V25" i="17"/>
  <c r="Y38" i="8"/>
  <c r="Y32" i="9"/>
  <c r="V18" i="17"/>
  <c r="W21" i="17"/>
  <c r="W24" i="17" s="1"/>
  <c r="X12" i="8"/>
  <c r="X39" i="8"/>
  <c r="Z22" i="9"/>
  <c r="AA16" i="9"/>
  <c r="AA20" i="9" s="1"/>
  <c r="W21" i="8"/>
  <c r="W24" i="8" s="1"/>
  <c r="V19" i="8"/>
  <c r="V49" i="17"/>
  <c r="W13" i="17"/>
  <c r="W17" i="17" s="1"/>
  <c r="W17" i="8"/>
  <c r="W42" i="8" s="1"/>
  <c r="W43" i="8" l="1"/>
  <c r="W47" i="8" s="1"/>
  <c r="W48" i="8" s="1"/>
  <c r="W44" i="8"/>
  <c r="V44" i="8"/>
  <c r="W25" i="17"/>
  <c r="Z38" i="8"/>
  <c r="Z32" i="9"/>
  <c r="X21" i="8"/>
  <c r="X24" i="8" s="1"/>
  <c r="W19" i="8"/>
  <c r="W25" i="8"/>
  <c r="X13" i="17"/>
  <c r="X17" i="8"/>
  <c r="X42" i="8" s="1"/>
  <c r="X21" i="17"/>
  <c r="X24" i="17" s="1"/>
  <c r="W18" i="17"/>
  <c r="AA22" i="9"/>
  <c r="AB16" i="9"/>
  <c r="AB20" i="9" s="1"/>
  <c r="W49" i="17"/>
  <c r="Y12" i="8"/>
  <c r="Y39" i="8"/>
  <c r="X43" i="8" l="1"/>
  <c r="X47" i="8" s="1"/>
  <c r="X48" i="8" s="1"/>
  <c r="X44" i="8"/>
  <c r="AA32" i="9"/>
  <c r="AA38" i="8"/>
  <c r="X19" i="8"/>
  <c r="Y21" i="8"/>
  <c r="Y24" i="8" s="1"/>
  <c r="X25" i="8"/>
  <c r="Y13" i="17"/>
  <c r="Y17" i="8"/>
  <c r="Y42" i="8" s="1"/>
  <c r="AB22" i="9"/>
  <c r="AC16" i="9"/>
  <c r="AC20" i="9" s="1"/>
  <c r="X17" i="17"/>
  <c r="Z12" i="8"/>
  <c r="Z39" i="8"/>
  <c r="Y43" i="8" l="1"/>
  <c r="Y47" i="8" s="1"/>
  <c r="Y48" i="8" s="1"/>
  <c r="Y21" i="17"/>
  <c r="Y24" i="17" s="1"/>
  <c r="X18" i="17"/>
  <c r="X49" i="17"/>
  <c r="Y19" i="8"/>
  <c r="Z21" i="8"/>
  <c r="Z24" i="8" s="1"/>
  <c r="AA39" i="8"/>
  <c r="AA12" i="8"/>
  <c r="AC22" i="9"/>
  <c r="AD16" i="9"/>
  <c r="AD20" i="9" s="1"/>
  <c r="Z13" i="17"/>
  <c r="Z17" i="8"/>
  <c r="Z42" i="8" s="1"/>
  <c r="AB32" i="9"/>
  <c r="AB38" i="8"/>
  <c r="Y17" i="17"/>
  <c r="Y25" i="8"/>
  <c r="X25" i="17"/>
  <c r="Z43" i="8" l="1"/>
  <c r="Z47" i="8" s="1"/>
  <c r="Z48" i="8" s="1"/>
  <c r="Y44" i="8"/>
  <c r="Z17" i="17"/>
  <c r="Z18" i="17" s="1"/>
  <c r="AA21" i="8"/>
  <c r="AA24" i="8" s="1"/>
  <c r="Z19" i="8"/>
  <c r="AD22" i="9"/>
  <c r="AD32" i="9" s="1"/>
  <c r="AE16" i="9"/>
  <c r="AE20" i="9" s="1"/>
  <c r="Z21" i="17"/>
  <c r="Z24" i="17" s="1"/>
  <c r="Y18" i="17"/>
  <c r="AB39" i="8"/>
  <c r="AB12" i="8"/>
  <c r="AA17" i="8"/>
  <c r="AA42" i="8" s="1"/>
  <c r="AA13" i="17"/>
  <c r="E28" i="18" s="1"/>
  <c r="E33" i="18" s="1"/>
  <c r="Z25" i="8"/>
  <c r="Y25" i="17"/>
  <c r="AC32" i="9"/>
  <c r="AC38" i="8"/>
  <c r="Y49" i="17"/>
  <c r="Z44" i="8" l="1"/>
  <c r="AA43" i="8"/>
  <c r="AA47" i="8" s="1"/>
  <c r="AA48" i="8" s="1"/>
  <c r="AE22" i="9"/>
  <c r="AE32" i="9" s="1"/>
  <c r="AF16" i="9"/>
  <c r="AF20" i="9" s="1"/>
  <c r="AF22" i="9" s="1"/>
  <c r="AB21" i="8"/>
  <c r="AB24" i="8" s="1"/>
  <c r="AA19" i="8"/>
  <c r="AA21" i="17"/>
  <c r="AA24" i="17" s="1"/>
  <c r="Z49" i="17"/>
  <c r="Z25" i="17"/>
  <c r="AA17" i="17"/>
  <c r="AD38" i="8"/>
  <c r="AD39" i="8" s="1"/>
  <c r="AA25" i="8"/>
  <c r="AC39" i="8"/>
  <c r="AC12" i="8"/>
  <c r="AB17" i="8"/>
  <c r="AB42" i="8" s="1"/>
  <c r="AB13" i="17"/>
  <c r="AB43" i="8" l="1"/>
  <c r="AB44" i="8" s="1"/>
  <c r="AA44" i="8"/>
  <c r="AB17" i="17"/>
  <c r="AC21" i="17" s="1"/>
  <c r="AC24" i="17" s="1"/>
  <c r="D28" i="18"/>
  <c r="D33" i="18" s="1"/>
  <c r="AC21" i="8"/>
  <c r="AC24" i="8" s="1"/>
  <c r="AB19" i="8"/>
  <c r="C52" i="18" s="1"/>
  <c r="C54" i="18" s="1"/>
  <c r="E54" i="18" s="1"/>
  <c r="AF32" i="9"/>
  <c r="AF38" i="8"/>
  <c r="AE38" i="8"/>
  <c r="AE12" i="8" s="1"/>
  <c r="E52" i="18"/>
  <c r="AA25" i="17"/>
  <c r="AB21" i="17"/>
  <c r="AB24" i="17" s="1"/>
  <c r="AA49" i="17"/>
  <c r="AA18" i="17"/>
  <c r="G28" i="18"/>
  <c r="AD12" i="8"/>
  <c r="AD17" i="8" s="1"/>
  <c r="AB25" i="8"/>
  <c r="AC13" i="17"/>
  <c r="AC17" i="17" s="1"/>
  <c r="AC17" i="8"/>
  <c r="AB49" i="17"/>
  <c r="AB47" i="8" l="1"/>
  <c r="AB18" i="17"/>
  <c r="AD21" i="8"/>
  <c r="AD24" i="8" s="1"/>
  <c r="AD25" i="8" s="1"/>
  <c r="AC42" i="8"/>
  <c r="C56" i="18"/>
  <c r="E56" i="18" s="1"/>
  <c r="AE21" i="8"/>
  <c r="AE24" i="8" s="1"/>
  <c r="AD42" i="8"/>
  <c r="AC49" i="17"/>
  <c r="AB25" i="17"/>
  <c r="AF12" i="8"/>
  <c r="AF39" i="8"/>
  <c r="AE39" i="8"/>
  <c r="G33" i="18"/>
  <c r="H33" i="18" s="1"/>
  <c r="H28" i="18"/>
  <c r="AD13" i="17"/>
  <c r="AD17" i="17" s="1"/>
  <c r="AD18" i="17" s="1"/>
  <c r="AE17" i="8"/>
  <c r="AE42" i="8" s="1"/>
  <c r="AE13" i="17"/>
  <c r="AE17" i="17" s="1"/>
  <c r="AD21" i="17"/>
  <c r="AD24" i="17" s="1"/>
  <c r="AC18" i="17"/>
  <c r="AC25" i="17"/>
  <c r="AC25" i="8"/>
  <c r="AB48" i="8" l="1"/>
  <c r="AC43" i="8"/>
  <c r="AC47" i="8" s="1"/>
  <c r="AC44" i="8"/>
  <c r="AE43" i="8"/>
  <c r="AD43" i="8"/>
  <c r="AD47" i="8" s="1"/>
  <c r="AF17" i="8"/>
  <c r="AF42" i="8" s="1"/>
  <c r="AF13" i="17"/>
  <c r="AF17" i="17" s="1"/>
  <c r="AF18" i="17" s="1"/>
  <c r="AE18" i="17"/>
  <c r="AF21" i="17"/>
  <c r="AF24" i="17" s="1"/>
  <c r="AE25" i="8"/>
  <c r="AF21" i="8"/>
  <c r="AF24" i="8" s="1"/>
  <c r="AE21" i="17"/>
  <c r="AE24" i="17" s="1"/>
  <c r="AE25" i="17" s="1"/>
  <c r="AD49" i="17"/>
  <c r="AE49" i="17"/>
  <c r="AD25" i="17"/>
  <c r="AE47" i="8" l="1"/>
  <c r="AD48" i="8"/>
  <c r="AC48" i="8"/>
  <c r="AE44" i="8"/>
  <c r="AF43" i="8"/>
  <c r="AF47" i="8" s="1"/>
  <c r="AD44" i="8"/>
  <c r="AF25" i="17"/>
  <c r="AF25" i="8"/>
  <c r="AF49" i="17"/>
  <c r="AF48" i="8" l="1"/>
  <c r="AF44" i="8"/>
  <c r="AE48" i="8"/>
</calcChain>
</file>

<file path=xl/comments1.xml><?xml version="1.0" encoding="utf-8"?>
<comments xmlns="http://schemas.openxmlformats.org/spreadsheetml/2006/main">
  <authors>
    <author>Fong, Pauline (MOF)</author>
    <author>Pauline Fong</author>
  </authors>
  <commentList>
    <comment ref="T15" authorId="0">
      <text>
        <r>
          <rPr>
            <b/>
            <sz val="9"/>
            <color indexed="81"/>
            <rFont val="Tahoma"/>
            <family val="2"/>
          </rPr>
          <t>Fong, Pauline (MOF):</t>
        </r>
        <r>
          <rPr>
            <sz val="9"/>
            <color indexed="81"/>
            <rFont val="Tahoma"/>
            <family val="2"/>
          </rPr>
          <t xml:space="preserve">
See below:
Use $10M for PA and RbP.  Included as art of experience gains/losses.</t>
        </r>
      </text>
    </comment>
    <comment ref="Q18" authorId="1">
      <text>
        <r>
          <rPr>
            <b/>
            <sz val="8"/>
            <color indexed="81"/>
            <rFont val="Tahoma"/>
            <family val="2"/>
          </rPr>
          <t>Pauline Fong:</t>
        </r>
        <r>
          <rPr>
            <sz val="8"/>
            <color indexed="81"/>
            <rFont val="Tahoma"/>
            <family val="2"/>
          </rPr>
          <t xml:space="preserve">
Needed to be booked into OG to agree liability per OG to continuity.</t>
        </r>
      </text>
    </comment>
  </commentList>
</comments>
</file>

<file path=xl/comments2.xml><?xml version="1.0" encoding="utf-8"?>
<comments xmlns="http://schemas.openxmlformats.org/spreadsheetml/2006/main">
  <authors>
    <author>Noor, Khalida (MOF)</author>
  </authors>
  <commentList>
    <comment ref="U25" authorId="0">
      <text>
        <r>
          <rPr>
            <b/>
            <sz val="9"/>
            <color indexed="81"/>
            <rFont val="Tahoma"/>
            <family val="2"/>
          </rPr>
          <t>Noor, Khalida (MOF):</t>
        </r>
        <r>
          <rPr>
            <sz val="9"/>
            <color indexed="81"/>
            <rFont val="Tahoma"/>
            <family val="2"/>
          </rPr>
          <t xml:space="preserve">
none of this is picked up in the 50% calc up above as all contribution is deducted from the liability side.  On the liability, we subtract 100% of employer contribution (which equals to 50% employee + 50% employer) - the Trust is entitled to 50% of the Province's contribution, therefore we cannot deduct full 100% of employer and 50% of employee contributions. </t>
        </r>
      </text>
    </comment>
  </commentList>
</comments>
</file>

<file path=xl/comments3.xml><?xml version="1.0" encoding="utf-8"?>
<comments xmlns="http://schemas.openxmlformats.org/spreadsheetml/2006/main">
  <authors>
    <author>Fong, Pauline (MOF)</author>
    <author>Fong, Pauline (FIN)</author>
  </authors>
  <commentList>
    <comment ref="AB20" authorId="0">
      <text>
        <r>
          <rPr>
            <b/>
            <sz val="9"/>
            <color indexed="81"/>
            <rFont val="Tahoma"/>
            <family val="2"/>
          </rPr>
          <t>Fong, Pauline (MOF):</t>
        </r>
        <r>
          <rPr>
            <sz val="9"/>
            <color indexed="81"/>
            <rFont val="Tahoma"/>
            <family val="2"/>
          </rPr>
          <t xml:space="preserve">
Change in mortality Basis 1:             1,054
Change in com. Value Basis 1:            116
Change in disc. Rate Basis 1 to 4:     4,131
Change in infl./salary Basis 1 to 4:   </t>
        </r>
        <r>
          <rPr>
            <u/>
            <sz val="9"/>
            <color indexed="81"/>
            <rFont val="Tahoma"/>
            <family val="2"/>
          </rPr>
          <t xml:space="preserve"> (5,666)</t>
        </r>
        <r>
          <rPr>
            <sz val="9"/>
            <color indexed="81"/>
            <rFont val="Tahoma"/>
            <family val="2"/>
          </rPr>
          <t xml:space="preserve">
Total change in assumption                365</t>
        </r>
      </text>
    </comment>
    <comment ref="Z26" authorId="1">
      <text>
        <r>
          <rPr>
            <b/>
            <sz val="9"/>
            <color indexed="81"/>
            <rFont val="Tahoma"/>
            <family val="2"/>
          </rPr>
          <t>Fong, Pauline (FIN):</t>
        </r>
        <r>
          <rPr>
            <sz val="9"/>
            <color indexed="81"/>
            <rFont val="Tahoma"/>
            <family val="2"/>
          </rPr>
          <t xml:space="preserve">
February 1st letter amount was $129,622.  The audited OTTP financials = $ 129,524.  Net assets available for benefits have been updated for new numbers for Public Accounts &amp; Smoothing updated accordingly.</t>
        </r>
      </text>
    </comment>
    <comment ref="AA26" authorId="0">
      <text>
        <r>
          <rPr>
            <b/>
            <sz val="9"/>
            <color indexed="81"/>
            <rFont val="Tahoma"/>
            <family val="2"/>
          </rPr>
          <t>Fong, Pauline (MOF):</t>
        </r>
        <r>
          <rPr>
            <sz val="9"/>
            <color indexed="81"/>
            <rFont val="Tahoma"/>
            <family val="2"/>
          </rPr>
          <t xml:space="preserve">
Actuary Letter 140,777; final audited financial statements from OTPP is 140,764.  Numbers have been updated for final audited financial statements for OTPP as of December 31, 2013</t>
        </r>
      </text>
    </comment>
    <comment ref="AB26" authorId="0">
      <text>
        <r>
          <rPr>
            <b/>
            <sz val="9"/>
            <color indexed="81"/>
            <rFont val="Tahoma"/>
            <family val="2"/>
          </rPr>
          <t>Fong, Pauline (MOF):</t>
        </r>
        <r>
          <rPr>
            <sz val="9"/>
            <color indexed="81"/>
            <rFont val="Tahoma"/>
            <family val="2"/>
          </rPr>
          <t xml:space="preserve">
Actuary Letter 154,485; final audited financial statements from OTPP is 154,476.  Numbers have been updated for final audited financial statements for OTPP as of December 31, 2014</t>
        </r>
      </text>
    </comment>
    <comment ref="AC26" authorId="0">
      <text>
        <r>
          <rPr>
            <b/>
            <sz val="9"/>
            <color indexed="81"/>
            <rFont val="Tahoma"/>
            <family val="2"/>
          </rPr>
          <t>Fong, Pauline (MOF):</t>
        </r>
        <r>
          <rPr>
            <sz val="9"/>
            <color indexed="81"/>
            <rFont val="Tahoma"/>
            <family val="2"/>
          </rPr>
          <t xml:space="preserve">
Actuary Letter 171,420; final audited financial statements from OTPP is 171,440.  Numbers have been updated for final audited financial statements for OTPP as of December 31, 2015</t>
        </r>
      </text>
    </comment>
  </commentList>
</comments>
</file>

<file path=xl/comments4.xml><?xml version="1.0" encoding="utf-8"?>
<comments xmlns="http://schemas.openxmlformats.org/spreadsheetml/2006/main">
  <authors>
    <author>Fong, Pauline (MOF)</author>
  </authors>
  <commentList>
    <comment ref="Z40" authorId="0">
      <text>
        <r>
          <rPr>
            <b/>
            <sz val="9"/>
            <color indexed="81"/>
            <rFont val="Tahoma"/>
            <family val="2"/>
          </rPr>
          <t>Fong, Pauline (MOF):</t>
        </r>
        <r>
          <rPr>
            <sz val="9"/>
            <color indexed="81"/>
            <rFont val="Tahoma"/>
            <family val="2"/>
          </rPr>
          <t xml:space="preserve">
Use $885 for Budget and PA.  Include $6M as part of experience gains.
</t>
        </r>
      </text>
    </comment>
  </commentList>
</comments>
</file>

<file path=xl/comments5.xml><?xml version="1.0" encoding="utf-8"?>
<comments xmlns="http://schemas.openxmlformats.org/spreadsheetml/2006/main">
  <authors>
    <author>Fong, Pauline (MOF)</author>
  </authors>
  <commentList>
    <comment ref="D55" authorId="0">
      <text>
        <r>
          <rPr>
            <b/>
            <sz val="9"/>
            <color indexed="81"/>
            <rFont val="Tahoma"/>
            <family val="2"/>
          </rPr>
          <t>Fong, Pauline (MOF):</t>
        </r>
        <r>
          <rPr>
            <sz val="9"/>
            <color indexed="81"/>
            <rFont val="Tahoma"/>
            <family val="2"/>
          </rPr>
          <t xml:space="preserve">
$3M difference between RCA liability on calculation versus IFIS run through as a credit to RCA expense this year
</t>
        </r>
      </text>
    </comment>
  </commentList>
</comments>
</file>

<file path=xl/comments6.xml><?xml version="1.0" encoding="utf-8"?>
<comments xmlns="http://schemas.openxmlformats.org/spreadsheetml/2006/main">
  <authors>
    <author>Pauline Fong</author>
  </authors>
  <commentList>
    <comment ref="O25" authorId="0">
      <text>
        <r>
          <rPr>
            <b/>
            <sz val="8"/>
            <color indexed="81"/>
            <rFont val="Tahoma"/>
            <family val="2"/>
          </rPr>
          <t>Pauline Fong:</t>
        </r>
        <r>
          <rPr>
            <sz val="8"/>
            <color indexed="81"/>
            <rFont val="Tahoma"/>
            <family val="2"/>
          </rPr>
          <t xml:space="preserve">
Per OTPP December 31, 2010 financial statements</t>
        </r>
      </text>
    </comment>
  </commentList>
</comments>
</file>

<file path=xl/comments7.xml><?xml version="1.0" encoding="utf-8"?>
<comments xmlns="http://schemas.openxmlformats.org/spreadsheetml/2006/main">
  <authors>
    <author>Fong, Pauline (MOF)</author>
  </authors>
  <commentList>
    <comment ref="K6" authorId="0">
      <text>
        <r>
          <rPr>
            <b/>
            <sz val="9"/>
            <color indexed="81"/>
            <rFont val="Tahoma"/>
            <family val="2"/>
          </rPr>
          <t>Fong, Pauline (MOF):</t>
        </r>
        <r>
          <rPr>
            <sz val="9"/>
            <color indexed="81"/>
            <rFont val="Tahoma"/>
            <family val="2"/>
          </rPr>
          <t xml:space="preserve">
Actuary Letter 154,485; final audited financial statements from OTPP is 154,476.  Numbers have been updated for final audited financial statements for OTPP as of December 31, 2014</t>
        </r>
      </text>
    </comment>
    <comment ref="K19" authorId="0">
      <text>
        <r>
          <rPr>
            <b/>
            <sz val="9"/>
            <color indexed="81"/>
            <rFont val="Tahoma"/>
            <family val="2"/>
          </rPr>
          <t>Fong, Pauline (MOF):</t>
        </r>
        <r>
          <rPr>
            <sz val="9"/>
            <color indexed="81"/>
            <rFont val="Tahoma"/>
            <family val="2"/>
          </rPr>
          <t xml:space="preserve">
Actuary Letter 171,420; final audited financial statements from OTPP is 171,440.  Numbers have been updated for final audited financial statements for OTPP as of December 31, 2015</t>
        </r>
      </text>
    </comment>
  </commentList>
</comments>
</file>

<file path=xl/comments8.xml><?xml version="1.0" encoding="utf-8"?>
<comments xmlns="http://schemas.openxmlformats.org/spreadsheetml/2006/main">
  <authors>
    <author>Pauline Fong</author>
    <author>Fong, Pauline (MOF)</author>
  </authors>
  <commentList>
    <comment ref="H16" authorId="0">
      <text>
        <r>
          <rPr>
            <b/>
            <sz val="8"/>
            <color indexed="81"/>
            <rFont val="Tahoma"/>
            <family val="2"/>
          </rPr>
          <t>Pauline Fong:</t>
        </r>
        <r>
          <rPr>
            <sz val="8"/>
            <color indexed="81"/>
            <rFont val="Tahoma"/>
            <family val="2"/>
          </rPr>
          <t xml:space="preserve">
Actual per BOG</t>
        </r>
      </text>
    </comment>
    <comment ref="K16" authorId="1">
      <text>
        <r>
          <rPr>
            <b/>
            <sz val="9"/>
            <color indexed="81"/>
            <rFont val="Tahoma"/>
            <family val="2"/>
          </rPr>
          <t>Fong, Pauline (MOF):</t>
        </r>
        <r>
          <rPr>
            <sz val="9"/>
            <color indexed="81"/>
            <rFont val="Tahoma"/>
            <family val="2"/>
          </rPr>
          <t xml:space="preserve">
Per 2012-13 PA FS</t>
        </r>
      </text>
    </comment>
    <comment ref="L16" authorId="1">
      <text>
        <r>
          <rPr>
            <b/>
            <sz val="9"/>
            <color indexed="81"/>
            <rFont val="Tahoma"/>
            <family val="2"/>
          </rPr>
          <t>Fong, Pauline (MOF):</t>
        </r>
        <r>
          <rPr>
            <sz val="9"/>
            <color indexed="81"/>
            <rFont val="Tahoma"/>
            <family val="2"/>
          </rPr>
          <t xml:space="preserve">
Per 2013-14 PA FS</t>
        </r>
      </text>
    </comment>
    <comment ref="H17" authorId="0">
      <text>
        <r>
          <rPr>
            <b/>
            <sz val="8"/>
            <color indexed="81"/>
            <rFont val="Tahoma"/>
            <family val="2"/>
          </rPr>
          <t>Pauline Fong:</t>
        </r>
        <r>
          <rPr>
            <sz val="8"/>
            <color indexed="81"/>
            <rFont val="Tahoma"/>
            <family val="2"/>
          </rPr>
          <t xml:space="preserve">
Actual per BOG</t>
        </r>
      </text>
    </comment>
    <comment ref="K17" authorId="1">
      <text>
        <r>
          <rPr>
            <b/>
            <sz val="9"/>
            <color indexed="81"/>
            <rFont val="Tahoma"/>
            <family val="2"/>
          </rPr>
          <t>Fong, Pauline (MOF):</t>
        </r>
        <r>
          <rPr>
            <sz val="9"/>
            <color indexed="81"/>
            <rFont val="Tahoma"/>
            <family val="2"/>
          </rPr>
          <t xml:space="preserve">
Per 2012-13 PA FS</t>
        </r>
      </text>
    </comment>
    <comment ref="L17" authorId="1">
      <text>
        <r>
          <rPr>
            <b/>
            <sz val="9"/>
            <color indexed="81"/>
            <rFont val="Tahoma"/>
            <family val="2"/>
          </rPr>
          <t>Fong, Pauline (MOF):</t>
        </r>
        <r>
          <rPr>
            <sz val="9"/>
            <color indexed="81"/>
            <rFont val="Tahoma"/>
            <family val="2"/>
          </rPr>
          <t xml:space="preserve">
Per 2013-14 PA FS</t>
        </r>
      </text>
    </comment>
    <comment ref="P65" authorId="1">
      <text>
        <r>
          <rPr>
            <b/>
            <sz val="9"/>
            <color indexed="81"/>
            <rFont val="Tahoma"/>
            <family val="2"/>
          </rPr>
          <t>Fong, Pauline (MOF):</t>
        </r>
        <r>
          <rPr>
            <sz val="9"/>
            <color indexed="81"/>
            <rFont val="Tahoma"/>
            <family val="2"/>
          </rPr>
          <t xml:space="preserve">
Pension Forecast has adjusted 4M for HOOP based on ORBIT allocations</t>
        </r>
      </text>
    </comment>
    <comment ref="Q65" authorId="1">
      <text>
        <r>
          <rPr>
            <b/>
            <sz val="9"/>
            <color indexed="81"/>
            <rFont val="Tahoma"/>
            <family val="2"/>
          </rPr>
          <t>Fong, Pauline (MOF):</t>
        </r>
        <r>
          <rPr>
            <sz val="9"/>
            <color indexed="81"/>
            <rFont val="Tahoma"/>
            <family val="2"/>
          </rPr>
          <t xml:space="preserve">
Pension Forecast has adjusted 4M for HOOP based on ORBIT allocations</t>
        </r>
      </text>
    </comment>
    <comment ref="R65" authorId="1">
      <text>
        <r>
          <rPr>
            <b/>
            <sz val="9"/>
            <color indexed="81"/>
            <rFont val="Tahoma"/>
            <family val="2"/>
          </rPr>
          <t>Fong, Pauline (MOF):</t>
        </r>
        <r>
          <rPr>
            <sz val="9"/>
            <color indexed="81"/>
            <rFont val="Tahoma"/>
            <family val="2"/>
          </rPr>
          <t xml:space="preserve">
Pension Forecast has adjusted 4M for HOOP based on ORBIT allocations</t>
        </r>
      </text>
    </comment>
    <comment ref="S65" authorId="1">
      <text>
        <r>
          <rPr>
            <b/>
            <sz val="9"/>
            <color indexed="81"/>
            <rFont val="Tahoma"/>
            <family val="2"/>
          </rPr>
          <t>Fong, Pauline (MOF):</t>
        </r>
        <r>
          <rPr>
            <sz val="9"/>
            <color indexed="81"/>
            <rFont val="Tahoma"/>
            <family val="2"/>
          </rPr>
          <t xml:space="preserve">
Pension Forecast has adjusted 4M for HOOP based on ORBIT allocations</t>
        </r>
      </text>
    </comment>
  </commentList>
</comments>
</file>

<file path=xl/sharedStrings.xml><?xml version="1.0" encoding="utf-8"?>
<sst xmlns="http://schemas.openxmlformats.org/spreadsheetml/2006/main" count="2016" uniqueCount="620">
  <si>
    <t>Best Estimate Economic Assumptions</t>
  </si>
  <si>
    <t>Calendar Year</t>
  </si>
  <si>
    <t xml:space="preserve">  salary escalation</t>
  </si>
  <si>
    <t xml:space="preserve">  inflation</t>
  </si>
  <si>
    <t>Obligation for Pension Benefits</t>
  </si>
  <si>
    <t xml:space="preserve">  interest accrued on benefits</t>
  </si>
  <si>
    <t xml:space="preserve">  experience loss (gain)</t>
  </si>
  <si>
    <t xml:space="preserve">  increase (decrease) due to change in assumptions</t>
  </si>
  <si>
    <t xml:space="preserve">    check (ending - opening - change)</t>
  </si>
  <si>
    <t xml:space="preserve">  benefit payments (including transfers)</t>
  </si>
  <si>
    <t xml:space="preserve">    Net increase (decrease)</t>
  </si>
  <si>
    <t xml:space="preserve">  accrued benefit obligation, closing</t>
  </si>
  <si>
    <t>n/a</t>
  </si>
  <si>
    <t>Pension Fund Assets</t>
  </si>
  <si>
    <t xml:space="preserve">  net assets available for benefits, closing</t>
  </si>
  <si>
    <t xml:space="preserve">  interest on accounts receivable from Ontario </t>
  </si>
  <si>
    <t xml:space="preserve">  employee contributions</t>
  </si>
  <si>
    <t xml:space="preserve">  other employers' contributions</t>
  </si>
  <si>
    <t xml:space="preserve">  transfers from other plans</t>
  </si>
  <si>
    <t xml:space="preserve">  ontario matching contributions</t>
  </si>
  <si>
    <t xml:space="preserve">  ontario special payments</t>
  </si>
  <si>
    <t xml:space="preserve">    Total contributions</t>
  </si>
  <si>
    <t xml:space="preserve">    Pension fund assets, closing</t>
  </si>
  <si>
    <t>Contributions - calendar year</t>
  </si>
  <si>
    <t>Contributions - ontario's fiscal year</t>
  </si>
  <si>
    <t>Expected average remaining service life of employees</t>
  </si>
  <si>
    <t>Source</t>
  </si>
  <si>
    <t>letter to pension board</t>
  </si>
  <si>
    <t>actuary</t>
  </si>
  <si>
    <t>pension board/actuary</t>
  </si>
  <si>
    <t>actuary or plug</t>
  </si>
  <si>
    <t>formula</t>
  </si>
  <si>
    <t>pension board</t>
  </si>
  <si>
    <t>Public Accounts vol. 1</t>
  </si>
  <si>
    <t>1991-92</t>
  </si>
  <si>
    <t>1992-93</t>
  </si>
  <si>
    <t>1993-94</t>
  </si>
  <si>
    <t>1994-95</t>
  </si>
  <si>
    <t>1995-96</t>
  </si>
  <si>
    <t>1996-97</t>
  </si>
  <si>
    <t>1997-98</t>
  </si>
  <si>
    <t>1998-99</t>
  </si>
  <si>
    <t>1999-00</t>
  </si>
  <si>
    <t>2000-01</t>
  </si>
  <si>
    <t>2001-02</t>
  </si>
  <si>
    <t>2002-03</t>
  </si>
  <si>
    <t>Ontario Teachers' Pension Plan - Data Input</t>
  </si>
  <si>
    <t>Step 1: Interest on average accrued benefit obligation</t>
  </si>
  <si>
    <t xml:space="preserve">  accrued benefit obligation, opening</t>
  </si>
  <si>
    <t>data input</t>
  </si>
  <si>
    <t xml:space="preserve">  current period benefit cost (earned by employees)</t>
  </si>
  <si>
    <t xml:space="preserve">  add: average current period benefit cost</t>
  </si>
  <si>
    <t xml:space="preserve">  add: average increase due to plan amendments</t>
  </si>
  <si>
    <t xml:space="preserve">  less: average benefit payments (including transfers)</t>
  </si>
  <si>
    <t xml:space="preserve">    Average accrued benefit obligation</t>
  </si>
  <si>
    <t xml:space="preserve">  interest assumption</t>
  </si>
  <si>
    <t xml:space="preserve">    Interest expenditure on accrued benefit obligation</t>
  </si>
  <si>
    <t>data input + formula</t>
  </si>
  <si>
    <t>Step 2: Earnings on average pension fund assets</t>
  </si>
  <si>
    <t xml:space="preserve">  add: average contributions</t>
  </si>
  <si>
    <t xml:space="preserve">    Average pension fund assets</t>
  </si>
  <si>
    <t xml:space="preserve">    Interest revenue on pension fund assets</t>
  </si>
  <si>
    <t>Step 1 - Interest on accrued benefit obligation</t>
  </si>
  <si>
    <t>Less: Step 2 - Interest on pension fund assets</t>
  </si>
  <si>
    <t xml:space="preserve">  one-time audit adjustment</t>
  </si>
  <si>
    <t xml:space="preserve">  Pension Interest Expenditure (Revenue)</t>
  </si>
  <si>
    <t>above</t>
  </si>
  <si>
    <t xml:space="preserve">Ontario Teachers' Pension Plan - PSAB Calculations </t>
  </si>
  <si>
    <t>Pension Expenditure - Pension Interest Expenditure (Revenue)</t>
  </si>
  <si>
    <t>Step 1: Experience gain (loss) on accrued benefit obligation</t>
  </si>
  <si>
    <t xml:space="preserve">  add: current period benefit cost</t>
  </si>
  <si>
    <t xml:space="preserve">  add: increase due to plan amendments</t>
  </si>
  <si>
    <t xml:space="preserve">  add: interest expenditure on accrued benefit obligation</t>
  </si>
  <si>
    <t>"interest" sheet</t>
  </si>
  <si>
    <t xml:space="preserve">  less: benefit payments (including transfers)</t>
  </si>
  <si>
    <t xml:space="preserve">  Actual closing accrued benefit obligation</t>
  </si>
  <si>
    <t xml:space="preserve">    Experience gain (loss) on accrued benefit obligation</t>
  </si>
  <si>
    <t>Step 2: Experience gain (loss) on pension fund assets</t>
  </si>
  <si>
    <t xml:space="preserve">  add: contributions</t>
  </si>
  <si>
    <t xml:space="preserve">  add: interest revenue on pension fund asset</t>
  </si>
  <si>
    <t xml:space="preserve">  one-time audit adjustments</t>
  </si>
  <si>
    <t xml:space="preserve">    Expected closing pension fund assets</t>
  </si>
  <si>
    <t xml:space="preserve">  Actual closing pension fund assets</t>
  </si>
  <si>
    <t xml:space="preserve">    Experience gain (loss) on pension fund assets</t>
  </si>
  <si>
    <t xml:space="preserve">  adjustment for interest on accounts receivable from ontario</t>
  </si>
  <si>
    <t>Step 1 - Experience gain (loss) on accrued benefit obligation</t>
  </si>
  <si>
    <t>Step 2 - Experience gain (loss) on pension fund assets</t>
  </si>
  <si>
    <t xml:space="preserve">    Experience gain (loss)</t>
  </si>
  <si>
    <t xml:space="preserve">  </t>
  </si>
  <si>
    <t xml:space="preserve">  expected average remaining service life of employees (EARSL)</t>
  </si>
  <si>
    <t xml:space="preserve">    Annual amortization of experience gain (loss)</t>
  </si>
  <si>
    <t xml:space="preserve">  annual amortization related to 1991 experience gain (loss)</t>
  </si>
  <si>
    <t xml:space="preserve">  annual amortization related to 1992 experience gain (loss)</t>
  </si>
  <si>
    <t xml:space="preserve">  annual amortization related to 1993 experience gain (loss)</t>
  </si>
  <si>
    <t xml:space="preserve">  annual amortization related to 1994 experience gain (loss)</t>
  </si>
  <si>
    <t xml:space="preserve">  annual amortization related to 1995 experience gain (loss)</t>
  </si>
  <si>
    <t xml:space="preserve">  annual amortization related to 1996 experience gain (loss)</t>
  </si>
  <si>
    <t xml:space="preserve">  annual amortization related to 1997 experience gain (loss)</t>
  </si>
  <si>
    <t xml:space="preserve">  annual amortization related to 1998 experience gain (loss)</t>
  </si>
  <si>
    <t xml:space="preserve">  annual amortization related to 1999 experience gain (loss)</t>
  </si>
  <si>
    <t xml:space="preserve">  annual amortization related to 2000 experience gain (loss)</t>
  </si>
  <si>
    <t xml:space="preserve">  annual amortization related to 2001 experience gain (loss)</t>
  </si>
  <si>
    <t xml:space="preserve">  annual amortization related to 2002 experience gain (loss)</t>
  </si>
  <si>
    <t xml:space="preserve">Step 3: Experience gain (loss) </t>
  </si>
  <si>
    <t xml:space="preserve">    Amortization of experience gain (loss)</t>
  </si>
  <si>
    <t>Pension Expenditure - Amortization of Experience Gain (Loss)</t>
  </si>
  <si>
    <t>unamortized</t>
  </si>
  <si>
    <t>beg of 1996</t>
  </si>
  <si>
    <t>"experience g(l)" sheet</t>
  </si>
  <si>
    <t>in 1996</t>
  </si>
  <si>
    <t xml:space="preserve">    Recogntion of unamortized experience gain in 1996</t>
  </si>
  <si>
    <t xml:space="preserve">    Revised annual amortization schedule after 1996 plan amendments</t>
  </si>
  <si>
    <t xml:space="preserve">  recognition of 1991 unamortized experience gain in 1996</t>
  </si>
  <si>
    <t>Annual amortization schedule before offset of cost of plan amendments</t>
  </si>
  <si>
    <t>Recognition of unamortized experience gain in 1996</t>
  </si>
  <si>
    <t>Revised annual amortization schedule after 1996 plan amendments</t>
  </si>
  <si>
    <t>beg of 1997</t>
  </si>
  <si>
    <t>in 1997</t>
  </si>
  <si>
    <t>Recognition of unamortized experience gain in 1997</t>
  </si>
  <si>
    <t xml:space="preserve">    Recognition of unamoritzed experience gain in 1997</t>
  </si>
  <si>
    <t xml:space="preserve">  recognition of 1991 unamortized experience gain in 1997</t>
  </si>
  <si>
    <t xml:space="preserve">  recognition of 1993 unamortized experience gain in 1997</t>
  </si>
  <si>
    <t>"amendment" sheet</t>
  </si>
  <si>
    <t>Revised annual amortization schedule after 1997 plan amendments</t>
  </si>
  <si>
    <t xml:space="preserve">    Revised annual amortization schedule after 1997 plan amendments</t>
  </si>
  <si>
    <t>beg of 2001</t>
  </si>
  <si>
    <t>in 2001</t>
  </si>
  <si>
    <t>Recognition of unamortized experience gain in 2001</t>
  </si>
  <si>
    <t xml:space="preserve">    Recognition of unamoritzed experience gain in 2001</t>
  </si>
  <si>
    <t>Revised annual amortization schedule after 2001 plan amendments</t>
  </si>
  <si>
    <t xml:space="preserve">    Revised annual amortization schedule after 2001 plan amendments</t>
  </si>
  <si>
    <t>proration/manual</t>
  </si>
  <si>
    <t xml:space="preserve">  recognition of 1993 unamortized experience gain in 2001</t>
  </si>
  <si>
    <t xml:space="preserve">  recognition of 1995 unamortized experience gain in 2001</t>
  </si>
  <si>
    <t xml:space="preserve">  recognition of 1996 unamortized experience gain in 2001</t>
  </si>
  <si>
    <t xml:space="preserve">  recognition of 1997 unamortized experience gain in 2001</t>
  </si>
  <si>
    <t xml:space="preserve">    Total amortization of experience gain (loss) of the year</t>
  </si>
  <si>
    <t>Step 4: Accumulated experience gain (loss)</t>
  </si>
  <si>
    <t>Step 5: Annual amortization schedule before offset of cost of plan amendments</t>
  </si>
  <si>
    <t>Step 6: Recognition of unamortized experience gain to offset cost of plan amendment</t>
  </si>
  <si>
    <t>Step 7: Impact of Step 6 on annual amortization schedule</t>
  </si>
  <si>
    <t xml:space="preserve">    Total impact of Step 6 on annual amortization schedule</t>
  </si>
  <si>
    <t>Step 8: Total amortization of experience gain (loss)</t>
  </si>
  <si>
    <t xml:space="preserve">  Step 5: amortization before offset to cost of plan amendments</t>
  </si>
  <si>
    <t xml:space="preserve">  Step 7: impact of plan amendment on amortization </t>
  </si>
  <si>
    <t>Step 9: Pension liability - Unamortized experience gain (loss)</t>
  </si>
  <si>
    <t>Pension Liability - Unamortized Experience Gain (Loss)</t>
  </si>
  <si>
    <t xml:space="preserve">  Step 4: accumulated experience gain (loss)</t>
  </si>
  <si>
    <t xml:space="preserve">    Unamortized experience gain - closing balance</t>
  </si>
  <si>
    <t xml:space="preserve">  Less: cumulative amortization before offset to cost of plan amendments</t>
  </si>
  <si>
    <t xml:space="preserve">  Less: cumulative recognition of unamortized for plan amendments</t>
  </si>
  <si>
    <t xml:space="preserve">  Less: cumulative impact of plan amendment on amortization</t>
  </si>
  <si>
    <t>Pension Expenditure - Amortization of Initial Unfunded Liability</t>
  </si>
  <si>
    <t>Pension Liability - Unamortized Initial Unfunded Liability</t>
  </si>
  <si>
    <t>Pension Expenditure - Amortization of Difference Between Employer and Employee Contributions</t>
  </si>
  <si>
    <t>Pension Liability - Unamortized Difference Between Employer and Employee Contributions</t>
  </si>
  <si>
    <t>Fiscal Year</t>
  </si>
  <si>
    <t>Input data</t>
  </si>
  <si>
    <t xml:space="preserve">  amortization of 1993-94 difference</t>
  </si>
  <si>
    <t xml:space="preserve">  amortization of 1994-95 difference</t>
  </si>
  <si>
    <t xml:space="preserve">  amortization of 1995-96 difference</t>
  </si>
  <si>
    <t xml:space="preserve">  amortization of 1996-97 difference</t>
  </si>
  <si>
    <t xml:space="preserve">  amortization of 1997-98 difference</t>
  </si>
  <si>
    <t xml:space="preserve">  amortization of 1998-99 difference</t>
  </si>
  <si>
    <t xml:space="preserve">  amortization of 1999-00 difference</t>
  </si>
  <si>
    <t xml:space="preserve">  amortization of 2000-01 difference</t>
  </si>
  <si>
    <t xml:space="preserve">  amortization of 2001-02 difference</t>
  </si>
  <si>
    <t xml:space="preserve">    Total annual amortization of difference in contributions</t>
  </si>
  <si>
    <t>2003-04</t>
  </si>
  <si>
    <t>2004-05</t>
  </si>
  <si>
    <t>2005-06</t>
  </si>
  <si>
    <t>2006-07</t>
  </si>
  <si>
    <t>2007-08</t>
  </si>
  <si>
    <t>2008-09</t>
  </si>
  <si>
    <t>2009-10</t>
  </si>
  <si>
    <t>2010-11</t>
  </si>
  <si>
    <t>2011-12</t>
  </si>
  <si>
    <t>2012-13</t>
  </si>
  <si>
    <t>2013-14</t>
  </si>
  <si>
    <t>Step 1: Ontario's over (under) contribution - fiscal year</t>
  </si>
  <si>
    <t xml:space="preserve">  Less: employee contributions - calendar year</t>
  </si>
  <si>
    <t xml:space="preserve">  Less: other employers' contributions - calendar year</t>
  </si>
  <si>
    <t xml:space="preserve">    Ontario over (under) contribution</t>
  </si>
  <si>
    <t xml:space="preserve">  50% of Ontario's over (under) contribution</t>
  </si>
  <si>
    <t xml:space="preserve">    Annual amortization of difference in contributions</t>
  </si>
  <si>
    <t>Step 2: Amortization of difference in contributions</t>
  </si>
  <si>
    <t>Step 3: Annual amortization of difference in contributions</t>
  </si>
  <si>
    <t>Step 2</t>
  </si>
  <si>
    <t>Step 4: Unamortized difference in contributions</t>
  </si>
  <si>
    <t xml:space="preserve">  cumulative 50% over (under) contributions</t>
  </si>
  <si>
    <t xml:space="preserve">  less: cumulative amortization</t>
  </si>
  <si>
    <t xml:space="preserve">    Unamortized difference in contributions closing balance</t>
  </si>
  <si>
    <t>Province</t>
  </si>
  <si>
    <t>1990-91</t>
  </si>
  <si>
    <t>100% Pension Liability</t>
  </si>
  <si>
    <t>Pension Liability</t>
  </si>
  <si>
    <t>Unamortized experience gains</t>
  </si>
  <si>
    <t>Accrued benefit obligation, closing balance</t>
  </si>
  <si>
    <t>Less: pension fund assets, closing balance</t>
  </si>
  <si>
    <t>Adjustment for OTPP receivable from Proivnce</t>
  </si>
  <si>
    <t xml:space="preserve">  Pension liability at December 31</t>
  </si>
  <si>
    <t>Data input</t>
  </si>
  <si>
    <t xml:space="preserve">  Pension liability (surplus)</t>
  </si>
  <si>
    <t>Adjustment for different year ends</t>
  </si>
  <si>
    <t>"year end" sheet</t>
  </si>
  <si>
    <t xml:space="preserve">  Pension liability at March 31</t>
  </si>
  <si>
    <t>Reclassification</t>
  </si>
  <si>
    <t xml:space="preserve">  increase due to plan amendments expensed</t>
  </si>
  <si>
    <t xml:space="preserve">  increase due to plan amendments amortized</t>
  </si>
  <si>
    <t>Step 3 - Interest on accounts receivable from ont.</t>
  </si>
  <si>
    <t>Pension Liability - Adjustment for Dfferent Year Ends Between Pension Plan and Province</t>
  </si>
  <si>
    <t>Pension expenditure</t>
  </si>
  <si>
    <t>Opening pension liability</t>
  </si>
  <si>
    <t>Ending pension liability</t>
  </si>
  <si>
    <t>Input data (vol. 1)</t>
  </si>
  <si>
    <t>Audit adjustment</t>
  </si>
  <si>
    <t>Difference - adjustment required</t>
  </si>
  <si>
    <t xml:space="preserve">  checking</t>
  </si>
  <si>
    <t>Current period benefit cost</t>
  </si>
  <si>
    <t>Amortization of experience gains</t>
  </si>
  <si>
    <t xml:space="preserve">  Pension expenditure</t>
  </si>
  <si>
    <t>Pension interest expenditure</t>
  </si>
  <si>
    <t>Cost of plan amendment</t>
  </si>
  <si>
    <t>Recognition of unamortized experience gains</t>
  </si>
  <si>
    <t>"Interest" sheet</t>
  </si>
  <si>
    <t>Less: employee &amp; other employers' contributions</t>
  </si>
  <si>
    <t>"liability" sheet</t>
  </si>
  <si>
    <t>"expense" sheet</t>
  </si>
  <si>
    <t xml:space="preserve">Less: employer contribution </t>
  </si>
  <si>
    <t>vs. "liability" sheet</t>
  </si>
  <si>
    <t>Less: transfers from other plans</t>
  </si>
  <si>
    <t xml:space="preserve">  50% of closing pension liability</t>
  </si>
  <si>
    <t>Closing pension liability</t>
  </si>
  <si>
    <t>EARSL</t>
  </si>
  <si>
    <t>Annual amortization</t>
  </si>
  <si>
    <t>Unamortized balance</t>
  </si>
  <si>
    <t>50% Pension Liability Reflecing Accounting Policy for Joint Plans</t>
  </si>
  <si>
    <t>Amortization of difference in contributions</t>
  </si>
  <si>
    <t>formula - 50% of below</t>
  </si>
  <si>
    <t>"initial ufl" sheet</t>
  </si>
  <si>
    <t>"contributions" sheet</t>
  </si>
  <si>
    <t xml:space="preserve">formula </t>
  </si>
  <si>
    <t>100% Pension Expenditure</t>
  </si>
  <si>
    <t xml:space="preserve">  100% Pension expenditure</t>
  </si>
  <si>
    <t>Pension Expenditure</t>
  </si>
  <si>
    <t>50% Pension Expenditure Reflecing Accounting Policy for Joint Plans</t>
  </si>
  <si>
    <t>Less: amortization of initial unfunded liability</t>
  </si>
  <si>
    <t>Less: recognition of unamortized experience gains</t>
  </si>
  <si>
    <t>Unamortized initial unfunded liability</t>
  </si>
  <si>
    <t>Unamortized difference in contributions</t>
  </si>
  <si>
    <t xml:space="preserve">Plan Amendment - supporting calculation for Pension Expenditure - Amortization of Experience Gain (Loss) </t>
  </si>
  <si>
    <t>Less: Employer contribution - fiscal year</t>
  </si>
  <si>
    <t>Opening pension liability - March 31</t>
  </si>
  <si>
    <t>Closing pension liability - March 31</t>
  </si>
  <si>
    <t>Data Input</t>
  </si>
  <si>
    <t>Continuity</t>
  </si>
  <si>
    <t>Ontario Teachers' Retirement Compensation Arrangement - Data Input</t>
  </si>
  <si>
    <t>OTRCA statements</t>
  </si>
  <si>
    <t>Ontario Teachers' Retirement Compensation Arrangement - PSAB Calculations</t>
  </si>
  <si>
    <t>RCA data</t>
  </si>
  <si>
    <t>RCA data + formula</t>
  </si>
  <si>
    <t>Interest on average accrued benefit obligation</t>
  </si>
  <si>
    <t>"RCA interest" sheet</t>
  </si>
  <si>
    <t>Step 2: Accumulated experience gain (loss)</t>
  </si>
  <si>
    <t>Step 3: Annual amortization schedule before offset of cost of plan amendments</t>
  </si>
  <si>
    <t>"RCA exp g(l)" sheet</t>
  </si>
  <si>
    <t xml:space="preserve">    Recogntion of unamortized experience gain in 2001</t>
  </si>
  <si>
    <t>"RCA amend" sheet</t>
  </si>
  <si>
    <t>Step 4: Recognition of unamortized experience gain to offset cost of plan amendment</t>
  </si>
  <si>
    <t>Step 5: Impact of Step 4 on annual amortization schedule</t>
  </si>
  <si>
    <t xml:space="preserve">    Total impact of Step 4 on annual amortization schedule</t>
  </si>
  <si>
    <t>Step 6: Total amortization of experience gain (loss)</t>
  </si>
  <si>
    <t xml:space="preserve">  Step 3: amortization before offset to cost of plan amendments</t>
  </si>
  <si>
    <t xml:space="preserve">  Step 5: impact of plan amendment on amortization </t>
  </si>
  <si>
    <t>Step 7: Pension liability - Unamortized experience gain (loss)</t>
  </si>
  <si>
    <t xml:space="preserve">  Step 2: accumulated experience gain (loss)</t>
  </si>
  <si>
    <t>"RCA Interest" sheet</t>
  </si>
  <si>
    <t>"RCA exp" sheet</t>
  </si>
  <si>
    <t xml:space="preserve">Ontario Teachers' Pension Plan and Retirement Compensation Arrangement </t>
  </si>
  <si>
    <t>Total Pension Liability and Expenditure Reflecting Accounting Policy for Joint Plans</t>
  </si>
  <si>
    <t>Pension Liability Reflecing Accounting Policy for Joint Plans</t>
  </si>
  <si>
    <t>"liability" + "RCA liab"</t>
  </si>
  <si>
    <t>"liability"</t>
  </si>
  <si>
    <t>below</t>
  </si>
  <si>
    <t>RCA pick up closing liability</t>
  </si>
  <si>
    <t>Pension Expenditure Reflecing Accounting Policy for Joint Plans</t>
  </si>
  <si>
    <t>"RCA liab"</t>
  </si>
  <si>
    <t>input data</t>
  </si>
  <si>
    <t>Net Journal Entry in a modified cash environment</t>
  </si>
  <si>
    <t xml:space="preserve">  Less: cash contribution made by Ontario (fiscal year)</t>
  </si>
  <si>
    <t xml:space="preserve">    Net journal entry</t>
  </si>
  <si>
    <t>checking</t>
  </si>
  <si>
    <t xml:space="preserve">  return on investment/benefit discount rate</t>
  </si>
  <si>
    <t xml:space="preserve">  amortization of 2002-03 difference</t>
  </si>
  <si>
    <t>2014-15</t>
  </si>
  <si>
    <t>1999-2000</t>
  </si>
  <si>
    <t xml:space="preserve">  pension fund asset, opening</t>
  </si>
  <si>
    <t xml:space="preserve">    Expected closing accrued benefit obligation</t>
  </si>
  <si>
    <t>Check</t>
  </si>
  <si>
    <t xml:space="preserve"> Unamortized Openning Balance</t>
  </si>
  <si>
    <t xml:space="preserve">  Current Year Amortization</t>
  </si>
  <si>
    <t xml:space="preserve">  Current Year Experience gain (loss)</t>
  </si>
  <si>
    <t xml:space="preserve">  Recognition of Experience Gains on Plan Amendments</t>
  </si>
  <si>
    <t>Unamortized Experience Gain - Closing Balance</t>
  </si>
  <si>
    <t>Pension Expense</t>
  </si>
  <si>
    <t>Pension expense</t>
  </si>
  <si>
    <t xml:space="preserve">  Pension expense</t>
  </si>
  <si>
    <t>Unrounded</t>
  </si>
  <si>
    <t xml:space="preserve">  annual amortization related to 2003 experience gain (loss)</t>
  </si>
  <si>
    <t>2015-16</t>
  </si>
  <si>
    <t xml:space="preserve">  annual amortization related to 2004 experience gain (loss)</t>
  </si>
  <si>
    <t xml:space="preserve">  annual amortization related to 2005 experience gain (loss)</t>
  </si>
  <si>
    <t xml:space="preserve">  annual amortization related to 2006 experience gain (loss)</t>
  </si>
  <si>
    <t xml:space="preserve">  annual amortization related to 2007 experience gain (loss)</t>
  </si>
  <si>
    <t xml:space="preserve">  annual amortization related to 2008 experience gain (loss)</t>
  </si>
  <si>
    <t>2016-17</t>
  </si>
  <si>
    <t>2017-18</t>
  </si>
  <si>
    <t>2018-19</t>
  </si>
  <si>
    <t>2019-20</t>
  </si>
  <si>
    <t>2020-21</t>
  </si>
  <si>
    <t xml:space="preserve">  amortization of 2003-04 difference</t>
  </si>
  <si>
    <t xml:space="preserve">  amortization of 2004-05 difference</t>
  </si>
  <si>
    <t xml:space="preserve">  amortization of 2005-06 difference</t>
  </si>
  <si>
    <t xml:space="preserve">  amortization of 2006-07 difference</t>
  </si>
  <si>
    <t xml:space="preserve">  amortization of 2007-08 difference</t>
  </si>
  <si>
    <t xml:space="preserve">  amortization of 2008-09 difference</t>
  </si>
  <si>
    <t>Schedule of Contributions</t>
  </si>
  <si>
    <t>Less: fiscal year contributions</t>
  </si>
  <si>
    <t>"RCA data" sheet</t>
  </si>
  <si>
    <t xml:space="preserve">  annual amortization related to 2009 experience gain (loss)</t>
  </si>
  <si>
    <t>2021-22</t>
  </si>
  <si>
    <t>2022-23</t>
  </si>
  <si>
    <t xml:space="preserve">  annual amortization related to 2010 experience gain (loss)</t>
  </si>
  <si>
    <t>2023-24</t>
  </si>
  <si>
    <t xml:space="preserve">  amortization of 2009-10 difference</t>
  </si>
  <si>
    <t xml:space="preserve">  amortization of 2010-11 difference</t>
  </si>
  <si>
    <t xml:space="preserve">  annual amortization related to 2011 experience gain (loss)</t>
  </si>
  <si>
    <t>2024-25</t>
  </si>
  <si>
    <t>2025-26</t>
  </si>
  <si>
    <t xml:space="preserve">  amortization of 2011-12 difference</t>
  </si>
  <si>
    <t xml:space="preserve">  add: average transfers from other plans</t>
  </si>
  <si>
    <t xml:space="preserve">  add: transfers from other plans</t>
  </si>
  <si>
    <t>Less: amortization of cumulative transfers from other plans</t>
  </si>
  <si>
    <t>Cumulative transfers from other plans</t>
  </si>
  <si>
    <t>Annual amortization of cumulative transfers from other plans</t>
  </si>
  <si>
    <t>Accumulated amortization</t>
  </si>
  <si>
    <t xml:space="preserve">  100% Pension expenditure before amortization of transfers</t>
  </si>
  <si>
    <t>"expense" + "RCA exp"</t>
  </si>
  <si>
    <t xml:space="preserve">"expense" </t>
  </si>
  <si>
    <t>"RCA exp"</t>
  </si>
  <si>
    <t xml:space="preserve">  annual amortization related to 2012 experience gain (loss)</t>
  </si>
  <si>
    <t xml:space="preserve">  amortization of 2012-13 difference</t>
  </si>
  <si>
    <t xml:space="preserve">   </t>
  </si>
  <si>
    <t xml:space="preserve"> </t>
  </si>
  <si>
    <t>2026-27</t>
  </si>
  <si>
    <t xml:space="preserve">  annual amortization related to 2013 experience gain (loss)</t>
  </si>
  <si>
    <t>*****Amount has been fully amortized by 2006-07, and no longer applies******</t>
  </si>
  <si>
    <t>2027-28</t>
  </si>
  <si>
    <t xml:space="preserve">  annual amortization related to 2014 experience gain (loss)</t>
  </si>
  <si>
    <t xml:space="preserve">  amortization of 2013-14 difference</t>
  </si>
  <si>
    <t>Why add 0.61439875 from this year onward?</t>
  </si>
  <si>
    <t xml:space="preserve">  amortization of 2014-15 difference</t>
  </si>
  <si>
    <t>gain/(loss)</t>
  </si>
  <si>
    <t xml:space="preserve">  annual amortization related to 2015 experience gain (loss)</t>
  </si>
  <si>
    <t xml:space="preserve">  amortization of 2015-16 difference</t>
  </si>
  <si>
    <t>2028-29</t>
  </si>
  <si>
    <t>Add:</t>
  </si>
  <si>
    <t>Impact in 2010-11</t>
  </si>
  <si>
    <t xml:space="preserve">  annual amortization related to 2016 expereince gain (loss)</t>
  </si>
  <si>
    <t>2029-30</t>
  </si>
  <si>
    <t xml:space="preserve">  amortization of 2016-17 difference</t>
  </si>
  <si>
    <t xml:space="preserve">  annual amortization related to 2017 expereince gain (loss)</t>
  </si>
  <si>
    <t xml:space="preserve">  amortization of 2017-18 difference</t>
  </si>
  <si>
    <t>Ontario Teachers' Pension Plan</t>
  </si>
  <si>
    <t>Variance Analysis</t>
  </si>
  <si>
    <t>Original</t>
  </si>
  <si>
    <t>Budget</t>
  </si>
  <si>
    <t>year over year</t>
  </si>
  <si>
    <t>budget to actual</t>
  </si>
  <si>
    <t>$</t>
  </si>
  <si>
    <t>%</t>
  </si>
  <si>
    <t>M</t>
  </si>
  <si>
    <t>Variance is within reason</t>
  </si>
  <si>
    <t>(1)</t>
  </si>
  <si>
    <t>(2)</t>
  </si>
  <si>
    <t>(3)</t>
  </si>
  <si>
    <t>Variance explanation</t>
  </si>
  <si>
    <t>(4)</t>
  </si>
  <si>
    <t>(5)</t>
  </si>
  <si>
    <t xml:space="preserve">  Pension liability (Asset) at March 31</t>
  </si>
  <si>
    <t>Pension interest (revenue) expense</t>
  </si>
  <si>
    <t>Unamortized experience gains (losses)</t>
  </si>
  <si>
    <t>OG Account in Ministry 10</t>
  </si>
  <si>
    <t>Less Contributions</t>
  </si>
  <si>
    <t>Difference</t>
  </si>
  <si>
    <t>PSAB Expense per PSAB Calculation</t>
  </si>
  <si>
    <t>PSAB Expense to reconcile IFIS to PSAB Liability Calculation</t>
  </si>
  <si>
    <t xml:space="preserve">  Less: Ontario special payments for foregone CPI - fiscal year</t>
  </si>
  <si>
    <t xml:space="preserve">  Ontario contribution - fiscal year </t>
  </si>
  <si>
    <t>Special Payments for foregone CPI Index post 2009 Service</t>
  </si>
  <si>
    <t>CPI Special Payments - calendar</t>
  </si>
  <si>
    <t>CPI Special Payments - Fiscal</t>
  </si>
  <si>
    <t>Adjustment for Province's special payments for foreconge CPI Index</t>
  </si>
  <si>
    <t>Adjustment for special payments - foregone CPI</t>
  </si>
  <si>
    <t>"CPI Special Payments" sheet</t>
  </si>
  <si>
    <t>Other Adjustments</t>
  </si>
  <si>
    <t>Fiscal year</t>
  </si>
  <si>
    <t xml:space="preserve">  annual amortization related to 2018 expereince gain (loss)</t>
  </si>
  <si>
    <t xml:space="preserve">  ontario special payments - share the pain payments (Note 1)</t>
  </si>
  <si>
    <t xml:space="preserve">Note 1:  Foregone inflation payments are back out for calculating contribution differences between employer and employee.  As the Province already includes 100% index inflation as part of their expense. Contribution variance impact on additional special payment for foregone inflation is backed out of the calculation on the "contributions" tab".
</t>
  </si>
  <si>
    <t>To bring ministry liability to be in line with PSAB</t>
  </si>
  <si>
    <t>in Budget and in PA for RCA liability</t>
  </si>
  <si>
    <t>Total expense for RCA</t>
  </si>
  <si>
    <t>Add adjust in RCA</t>
  </si>
  <si>
    <t>Total</t>
  </si>
  <si>
    <t>Dr. Liability RCA on EDU's books</t>
  </si>
  <si>
    <t>Dr. Pension RCA Expense</t>
  </si>
  <si>
    <t>Other Adjustment to reconcile RCA</t>
  </si>
  <si>
    <t>Step 3</t>
  </si>
  <si>
    <t xml:space="preserve">  amortization of 2018-19 difference</t>
  </si>
  <si>
    <t xml:space="preserve">  return on investment </t>
  </si>
  <si>
    <t>immaterial</t>
  </si>
  <si>
    <t>Add:  Contributions</t>
  </si>
  <si>
    <t xml:space="preserve"> PSAB expense to be booked</t>
  </si>
  <si>
    <t>Ontario Teachers' Pension Plan (OTPP) Actuarial Asset Value Adjustment ($ millions)</t>
  </si>
  <si>
    <t>Calendar</t>
  </si>
  <si>
    <t>Gain/</t>
  </si>
  <si>
    <t>Year</t>
  </si>
  <si>
    <t>(Loss)</t>
  </si>
  <si>
    <t>Smoothing adjustment or unamortized gains/(losses)</t>
  </si>
  <si>
    <t>Gain/(loss) to be recognized in year</t>
  </si>
  <si>
    <t>Losses incurred between 2000 and 2002</t>
  </si>
  <si>
    <t>Gains earned between 2003 and 2006</t>
  </si>
  <si>
    <t>Losses incurred between 2007 and 2008</t>
  </si>
  <si>
    <t>Gains earned in 2009</t>
  </si>
  <si>
    <t>Gains earned in 2010</t>
  </si>
  <si>
    <t>Gains earned in 2011</t>
  </si>
  <si>
    <t>Gains earned in 2012</t>
  </si>
  <si>
    <t>Gains earned in 2013</t>
  </si>
  <si>
    <t>Gains earned in 2014</t>
  </si>
  <si>
    <t>Net Assets Available December 31, 2014</t>
  </si>
  <si>
    <t>Adjustment for Interest on accounts receivable from Ontario</t>
  </si>
  <si>
    <t>Add:  Interest Earned on Pension Asset based on expected of 6.75%</t>
  </si>
  <si>
    <t>Closing Expected Pension Assets</t>
  </si>
  <si>
    <t>Gain available for smoothing</t>
  </si>
  <si>
    <t xml:space="preserve">  annual amortization related to 2019 expereince gain (loss)</t>
  </si>
  <si>
    <t xml:space="preserve">  amortization of 2019-20 difference</t>
  </si>
  <si>
    <r>
      <t>end of</t>
    </r>
    <r>
      <rPr>
        <sz val="10"/>
        <color indexed="12"/>
        <rFont val="Arial"/>
        <family val="2"/>
      </rPr>
      <t xml:space="preserve"> 2015</t>
    </r>
  </si>
  <si>
    <r>
      <t xml:space="preserve">end of </t>
    </r>
    <r>
      <rPr>
        <sz val="10"/>
        <color indexed="12"/>
        <rFont val="Arial"/>
        <family val="2"/>
      </rPr>
      <t>2015</t>
    </r>
  </si>
  <si>
    <t xml:space="preserve">  actuarial smoothing adjustment</t>
  </si>
  <si>
    <t>Gains earned in 2015</t>
  </si>
  <si>
    <t>2015 Gain available for snoothing based on expected rate of return assumption of 6.50%</t>
  </si>
  <si>
    <t>Gains are derived from the expected rate of return based on Province's Investment return assumption of 6.50%</t>
  </si>
  <si>
    <t>Add:  Total contributions in 2015</t>
  </si>
  <si>
    <t>Less:  Total Benefit Payments 2015</t>
  </si>
  <si>
    <t>Net Assets Available December 31, 2015</t>
  </si>
  <si>
    <t>Add:  Average contributions in 2015</t>
  </si>
  <si>
    <t>Less:  Average benefit payments in 2015</t>
  </si>
  <si>
    <t>Expected rate of return assumption of 6.50%</t>
  </si>
  <si>
    <t>Note:  The Province has moved to Basis 3  The assumptions is Basis 3 is adopted at the end of the year.  Therefore the expected rate of return assumption at the beginning of the year is used for this year (i.e. 6.50%).  For Fiscal 2016-17 the expected rate return of 6.25% will be used to calculate the smooting adjustment.</t>
  </si>
  <si>
    <t>Asset (Obligation) March 31, 2015 Per IFIS</t>
  </si>
  <si>
    <t xml:space="preserve">Increase in amortization gains is due to the following Increase in amortization of investment gains from 2009 to 2014 as more of the investment gains from this period is included in pension fund assets.
</t>
  </si>
  <si>
    <t>Increase benefit obligation is mainly due to 2015 current service cost, 2015 period interest expense less 2015 period benefit payments.</t>
  </si>
  <si>
    <t>The increase in pension fund assets is due to more of the 2009 to 2015 investment gains are being smoothed into pension fund asset closing balance.</t>
  </si>
  <si>
    <t>The unamortized experience gains have increase due to 2015 investment gains are now included in the unamortized experience gains (losses) balance.</t>
  </si>
  <si>
    <r>
      <rPr>
        <b/>
        <u/>
        <sz val="10"/>
        <color indexed="12"/>
        <rFont val="Arial"/>
        <family val="2"/>
      </rPr>
      <t>Overall:</t>
    </r>
    <r>
      <rPr>
        <b/>
        <sz val="10"/>
        <color indexed="12"/>
        <rFont val="Arial"/>
        <family val="2"/>
      </rPr>
      <t xml:space="preserve">  </t>
    </r>
    <r>
      <rPr>
        <sz val="10"/>
        <rFont val="Arial"/>
        <family val="2"/>
      </rPr>
      <t>OTTP pension expense has decreased from prior year mainly due to increase in amortization of investment gains from 2009 to 2014, as more of the investment gains from this period is included in pension fund asset (are being smoothed into pension fund assets).  OTPP Pension net asset has increased due more of the 2009 to 2015 investment gains are being smoothed into pension fund assets closing balance is higher than increase in accrued benefit obligation.</t>
    </r>
  </si>
  <si>
    <t>March 31, 2016</t>
  </si>
  <si>
    <t>Asset (Obligation) March 31, 2016 PSAB Calculation</t>
  </si>
  <si>
    <t>Asset (Obligation) March 31, 2016 IFIS</t>
  </si>
  <si>
    <t>Actual current service cost is higher than orginally forecasted due to the increase active members was higher than orginally forecasted.</t>
  </si>
  <si>
    <t>IFIS</t>
  </si>
  <si>
    <t>Net Pension Asset Reported</t>
  </si>
  <si>
    <t>Pension Expense/(surplus)/Forecasted Reported</t>
  </si>
  <si>
    <t>Less:  Allowance</t>
  </si>
  <si>
    <t>Restated Balance Sheet for OTPP</t>
  </si>
  <si>
    <t>Add:  Change in Allowance</t>
  </si>
  <si>
    <t>Restated OTPP Expense</t>
  </si>
  <si>
    <t>Actual Employer contributions</t>
  </si>
  <si>
    <t>Summary of Pension and Other Employee Future Benefits Expense</t>
  </si>
  <si>
    <t>PRRT 2016-17 - Preliminary Pension Expense Forecast For Discussion Purposes Only</t>
  </si>
  <si>
    <r>
      <t>2018-19</t>
    </r>
    <r>
      <rPr>
        <b/>
        <vertAlign val="superscript"/>
        <sz val="10"/>
        <rFont val="Arial"/>
        <family val="2"/>
      </rPr>
      <t xml:space="preserve"> (1)</t>
    </r>
  </si>
  <si>
    <r>
      <t>2019-20</t>
    </r>
    <r>
      <rPr>
        <b/>
        <vertAlign val="superscript"/>
        <sz val="10"/>
        <rFont val="Arial"/>
        <family val="2"/>
      </rPr>
      <t>(1)</t>
    </r>
  </si>
  <si>
    <r>
      <t>2020-21</t>
    </r>
    <r>
      <rPr>
        <b/>
        <vertAlign val="superscript"/>
        <sz val="10"/>
        <rFont val="Arial"/>
        <family val="2"/>
      </rPr>
      <t>(1)</t>
    </r>
  </si>
  <si>
    <t>Actual</t>
  </si>
  <si>
    <t>Interim</t>
  </si>
  <si>
    <t>Plan</t>
  </si>
  <si>
    <t>outlook</t>
  </si>
  <si>
    <r>
      <t xml:space="preserve">Forecast for 2016 Budget </t>
    </r>
    <r>
      <rPr>
        <i/>
        <u/>
        <sz val="10"/>
        <rFont val="Arial"/>
        <family val="2"/>
      </rPr>
      <t xml:space="preserve">(updated:  January 30th, 2016) </t>
    </r>
  </si>
  <si>
    <t xml:space="preserve">Teachers' Pension Plan </t>
  </si>
  <si>
    <t xml:space="preserve">Public Service Pension Plan </t>
  </si>
  <si>
    <t>Public Service Supplementary Plan (PSSP)</t>
  </si>
  <si>
    <t>OPSEU Pension Plan</t>
  </si>
  <si>
    <t>Consolidation Adjustment - Enterprises Pension Expense</t>
  </si>
  <si>
    <t xml:space="preserve">OPS - Other Retirement Benefits </t>
  </si>
  <si>
    <t>Sub-Total OPS Pension &amp; Retirement Benefits Plans</t>
  </si>
  <si>
    <t>Healthcare of Ontario Pension Plan</t>
  </si>
  <si>
    <t>Colleges of Applied Arts and Technology Pension Plan</t>
  </si>
  <si>
    <t>Total Pension and Other Employee Future Benefits</t>
  </si>
  <si>
    <t>Fiscal Plan built into RbP Allocations/ORBIT</t>
  </si>
  <si>
    <t>Teachers' Pension Plan</t>
  </si>
  <si>
    <t>Public Service Pension Plan</t>
  </si>
  <si>
    <t>OPS - Other Retirement Benefits</t>
  </si>
  <si>
    <t>Increase/(Decrease) from RbP Allocations to Feb 2015 Forecast</t>
  </si>
  <si>
    <t>Healthcare of Ontario Pension Plan (Change in HOOPP PSAB expense)</t>
  </si>
  <si>
    <r>
      <t>Change in Cash Contributions in HOOPP</t>
    </r>
    <r>
      <rPr>
        <vertAlign val="superscript"/>
        <sz val="10"/>
        <rFont val="Arial"/>
        <family val="2"/>
      </rPr>
      <t>(2)</t>
    </r>
  </si>
  <si>
    <t>Healthcare of Ontario Pension Plan (HOOP) fiscal impact</t>
  </si>
  <si>
    <t xml:space="preserve">Total Net Increase/(Decrease) from Fiscal Plan </t>
  </si>
  <si>
    <t>2015 Pension and Other Employee Benefit Expense Forecast/ORBIT Allocations</t>
  </si>
  <si>
    <t>Increase/(Decrease) from 2015 Pension and Other Employee Benefit Expense Forecast</t>
  </si>
  <si>
    <t xml:space="preserve">Healthcare of Ontario Pension Plan </t>
  </si>
  <si>
    <t>Total Net Increase/(Decrease) from 2015 Pension and OEFB Forecast</t>
  </si>
  <si>
    <t>2019-20 and beyond is flat-lined from 2018-19</t>
  </si>
  <si>
    <t>OPCD Contacts:</t>
  </si>
  <si>
    <t>Pauline Fong (416) 212-4007 - Teachers' Pension Plan, Other Retirement Benefits, Consolidated Adjustments, and OEFB, Judges Pension Plan</t>
  </si>
  <si>
    <t>Bharat Patel (416) 326-7860  - Public Service Pension Plan</t>
  </si>
  <si>
    <t>JinDong Fu (416) 212-0514 - OPSEU Pension Plan</t>
  </si>
  <si>
    <t>Patricia Ma (416) 327-1408 - Healthcare of Ontario Pension Plan</t>
  </si>
  <si>
    <t>Alicia Sun   - Colleges of Applied Arts and Technology Pension Plan</t>
  </si>
  <si>
    <t>OTPP</t>
  </si>
  <si>
    <t>RC</t>
  </si>
  <si>
    <t>2015-16 Actual - Pensions and Other Employee Future Benefits ($M)</t>
  </si>
  <si>
    <t>wp:</t>
  </si>
  <si>
    <t>B2</t>
  </si>
  <si>
    <t>Other</t>
  </si>
  <si>
    <t>Teachers</t>
  </si>
  <si>
    <t>OPS</t>
  </si>
  <si>
    <t>OTRCA</t>
  </si>
  <si>
    <t>PSPP</t>
  </si>
  <si>
    <t>PSSP</t>
  </si>
  <si>
    <t>OPSEU</t>
  </si>
  <si>
    <t>Agency</t>
  </si>
  <si>
    <t>HOOP</t>
  </si>
  <si>
    <t>CAAT</t>
  </si>
  <si>
    <t>Plans</t>
  </si>
  <si>
    <t>Pension</t>
  </si>
  <si>
    <t>LIABILITY (ASSET)</t>
  </si>
  <si>
    <t>Obligations for benefits</t>
  </si>
  <si>
    <t>Less: plan fund assets</t>
  </si>
  <si>
    <t>Unamortized actuarial gains (losses)</t>
  </si>
  <si>
    <t>Adjustments</t>
  </si>
  <si>
    <t>Total (Asset) Liability</t>
  </si>
  <si>
    <t>EXPENSE</t>
  </si>
  <si>
    <t>Cost of benefits</t>
  </si>
  <si>
    <t>Amortization of actuarial losses (gains)</t>
  </si>
  <si>
    <t>Employee contributions</t>
  </si>
  <si>
    <t>Cost of plan amendments</t>
  </si>
  <si>
    <t>Recognition of unamortized actuarial losses (gains)</t>
  </si>
  <si>
    <t>Interest expense (revenue)</t>
  </si>
  <si>
    <t>($ millions)</t>
  </si>
  <si>
    <t>Cash contributions</t>
  </si>
  <si>
    <t>(a)</t>
  </si>
  <si>
    <t>(b)</t>
  </si>
  <si>
    <t>(c )</t>
  </si>
  <si>
    <t>Per BOG</t>
  </si>
  <si>
    <t>Special Payment</t>
  </si>
  <si>
    <t>n/A</t>
  </si>
  <si>
    <t>N/A</t>
  </si>
  <si>
    <t>Benefit Payments</t>
  </si>
  <si>
    <t>Government's best estimate</t>
  </si>
  <si>
    <t>Inflation rate</t>
  </si>
  <si>
    <t>Salary escalation rate (Long-Term)</t>
  </si>
  <si>
    <t>Discount rate and expected rate of return on pension plan assets</t>
  </si>
  <si>
    <t>Pension Expense included in Salaries, Wages and Benefits Expense Per BOG used for disclosure</t>
  </si>
  <si>
    <t>Expense per calculation</t>
  </si>
  <si>
    <t>OTPP (inclu. RCA) Calculations 2015-16 PA</t>
  </si>
  <si>
    <t>PSPP Calculations 2015-16 PA</t>
  </si>
  <si>
    <t>OPSEU Calculations 2015-16 PA</t>
  </si>
  <si>
    <t>Total OTPP RCA expense per calculation</t>
  </si>
  <si>
    <t>OTPP (excluding RCA) expense per calculation according to PSAB before valuation allowance</t>
  </si>
  <si>
    <t>Revised forecast of OTPP Pension Expense if OTPP net Pension Asset written down to zero</t>
  </si>
  <si>
    <t>Total annual valuation allowance adjustment to bring net pension asset back to zero based on forecasted net pension asset</t>
  </si>
  <si>
    <t>Increase pressure on fiscal plan</t>
  </si>
  <si>
    <t>Add:  OTPP RCA expense forecasted per PSAB Calculation</t>
  </si>
  <si>
    <t>OPSEU Pension Plan Expense</t>
  </si>
  <si>
    <t xml:space="preserve">OPSEU Pension Plan - PSAB Calculations </t>
  </si>
  <si>
    <t xml:space="preserve">Interim </t>
  </si>
  <si>
    <t>Forecast</t>
  </si>
  <si>
    <t>2014-2015</t>
  </si>
  <si>
    <t>2015-2016</t>
  </si>
  <si>
    <t>2016-2017</t>
  </si>
  <si>
    <t>2017-2018</t>
  </si>
  <si>
    <t xml:space="preserve">  100% Pension expenditure before amortization of cumulative transfers</t>
  </si>
  <si>
    <t>Fiscal  Year</t>
  </si>
  <si>
    <t xml:space="preserve">  Pension liability (asset) at March 31</t>
  </si>
  <si>
    <t>OPSEUPP expense (net recoveries before valuation adjustment)</t>
  </si>
  <si>
    <t>Revised forecast of OPSEU Pension Expense if OPSEUP net Pension Asset written down to zero</t>
  </si>
  <si>
    <t>Total cash contributions (net recoveries)</t>
  </si>
  <si>
    <t>Teachers' Pension Plan Expense (Surplus)</t>
  </si>
  <si>
    <t>Teachers' Pension Plan Expense</t>
  </si>
  <si>
    <t>Pressure on fiscal plan</t>
  </si>
  <si>
    <t>Total pressure on the fiscal plan</t>
  </si>
  <si>
    <t>Forecasted as part of 2016 Budget</t>
  </si>
  <si>
    <t>Ontario's matching contributions forecasted for OTPP (excluding RCA)</t>
  </si>
  <si>
    <t>For Internal Discussion Only</t>
  </si>
  <si>
    <t>Impact on Fiscal Plan if Pension Asset are written off</t>
  </si>
  <si>
    <t>Note:</t>
  </si>
  <si>
    <t>Colleges of Applied Arts and Technology Pension Plan is forecasted to hit the asset position by 2016-17</t>
  </si>
  <si>
    <t>Healthcare of Ontario Pension Plan is forecasted to hit the asset position by 2017-18</t>
  </si>
  <si>
    <t xml:space="preserve">HOOPP - PSAB Calculations </t>
  </si>
  <si>
    <t>Pension Liability &amp; Expense - Hospitals Share</t>
  </si>
  <si>
    <t xml:space="preserve">Plan </t>
  </si>
  <si>
    <t>Outlook</t>
  </si>
  <si>
    <t>% of 56% Pension Liability Reflecing Accounting Policy for Joint Plans</t>
  </si>
  <si>
    <t>expense sheet</t>
  </si>
  <si>
    <t>liability sheet</t>
  </si>
  <si>
    <t xml:space="preserve">  Pension liability </t>
  </si>
  <si>
    <t>Continuity - pension liability</t>
  </si>
  <si>
    <t xml:space="preserve">Opening pension liability </t>
  </si>
  <si>
    <t>Data Input sheet</t>
  </si>
  <si>
    <t xml:space="preserve">Closing pension liability </t>
  </si>
  <si>
    <t>CAAT Pension and Supplementary Plans - PSAB Calculations ($000's)</t>
  </si>
  <si>
    <t xml:space="preserve">Total Pension Liability and Expenditure </t>
  </si>
  <si>
    <t>50% Pension Liability</t>
  </si>
  <si>
    <t>"experience g(l)"</t>
  </si>
  <si>
    <t>50% Pension Expense</t>
  </si>
  <si>
    <t>Amortization of experience losses (gains)</t>
  </si>
  <si>
    <t>"interest"</t>
  </si>
  <si>
    <t>Healthcare of Ontario Pension Plan (HOOPP)</t>
  </si>
  <si>
    <t>Colleges of Applied Arts and Technology Pension Plan (CAATPP)</t>
  </si>
  <si>
    <t>Revised forecast if pension assets are written off</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</si>
</sst>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4" formatCode="_-&quot;$&quot;* #,##0.00_-;\-&quot;$&quot;* #,##0.00_-;_-&quot;$&quot;* &quot;-&quot;??_-;_-@_-"/>
    <numFmt numFmtId="43" formatCode="_-* #,##0.00_-;\-* #,##0.00_-;_-* &quot;-&quot;??_-;_-@_-"/>
    <numFmt numFmtId="164" formatCode="_(* #,##0.00_);_(* \(#,##0.00\);_(* &quot;-&quot;??_);_(@_)"/>
    <numFmt numFmtId="165" formatCode="0.000%"/>
    <numFmt numFmtId="166" formatCode="_(* #,##0.0_);_(* \(#,##0.0\);_(* &quot;-&quot;??_);_(@_)"/>
    <numFmt numFmtId="167" formatCode="_(* #,##0_);_(* \(#,##0\);_(* &quot;-&quot;??_);_(@_)"/>
    <numFmt numFmtId="168" formatCode="0.0"/>
    <numFmt numFmtId="169" formatCode="#,##0.0"/>
    <numFmt numFmtId="170" formatCode="_(* #,##0.000_);_(* \(#,##0.000\);_(* &quot;-&quot;??_);_(@_)"/>
    <numFmt numFmtId="171" formatCode="_(* #,##0.00000_);_(* \(#,##0.00000\);_(* &quot;-&quot;??_);_(@_)"/>
    <numFmt numFmtId="172" formatCode="#,##0_ ;\-#,##0\ "/>
    <numFmt numFmtId="173" formatCode="0_ ;\-0\ "/>
    <numFmt numFmtId="174" formatCode="_-* #,##0_-;\-* #,##0_-;_-* &quot;-&quot;??_-;_-@_-"/>
    <numFmt numFmtId="175" formatCode="#,##0_ ;[Red]\-#,##0\ "/>
    <numFmt numFmtId="176" formatCode="0.0%"/>
    <numFmt numFmtId="177" formatCode="_(* #,##0_);_(* \(#,##0\);_(* &quot;-&quot;_);_(@_)"/>
  </numFmts>
  <fonts count="92"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i/>
      <sz val="10"/>
      <name val="Arial"/>
      <family val="2"/>
    </font>
    <font>
      <b/>
      <sz val="12"/>
      <name val="Arial"/>
      <family val="2"/>
    </font>
    <font>
      <b/>
      <i/>
      <sz val="10"/>
      <name val="Arial"/>
      <family val="2"/>
    </font>
    <font>
      <b/>
      <u/>
      <sz val="10"/>
      <name val="Arial"/>
      <family val="2"/>
    </font>
    <font>
      <b/>
      <i/>
      <u val="singleAccounting"/>
      <sz val="10"/>
      <name val="Arial"/>
      <family val="2"/>
    </font>
    <font>
      <b/>
      <u val="singleAccounting"/>
      <sz val="10"/>
      <name val="Arial"/>
      <family val="2"/>
    </font>
    <font>
      <b/>
      <i/>
      <sz val="12"/>
      <name val="Arial"/>
      <family val="2"/>
    </font>
    <font>
      <b/>
      <i/>
      <sz val="11"/>
      <name val="Arial"/>
      <family val="2"/>
    </font>
    <font>
      <i/>
      <sz val="11"/>
      <name val="Arial"/>
      <family val="2"/>
    </font>
    <font>
      <b/>
      <sz val="11"/>
      <name val="Arial"/>
      <family val="2"/>
    </font>
    <font>
      <sz val="11"/>
      <name val="Arial"/>
      <family val="2"/>
    </font>
    <font>
      <b/>
      <sz val="10"/>
      <color indexed="12"/>
      <name val="Arial"/>
      <family val="2"/>
    </font>
    <font>
      <sz val="10"/>
      <color indexed="12"/>
      <name val="Arial"/>
      <family val="2"/>
    </font>
    <font>
      <sz val="8"/>
      <name val="Arial"/>
      <family val="2"/>
    </font>
    <font>
      <b/>
      <sz val="8"/>
      <name val="Arial"/>
      <family val="2"/>
    </font>
    <font>
      <i/>
      <sz val="8"/>
      <name val="Arial"/>
      <family val="2"/>
    </font>
    <font>
      <b/>
      <i/>
      <sz val="8"/>
      <name val="Arial"/>
      <family val="2"/>
    </font>
    <font>
      <b/>
      <sz val="10"/>
      <name val="Arial"/>
      <family val="2"/>
    </font>
    <font>
      <sz val="10"/>
      <name val="Arial"/>
      <family val="2"/>
    </font>
    <font>
      <i/>
      <sz val="10"/>
      <name val="Arial"/>
      <family val="2"/>
    </font>
    <font>
      <sz val="10"/>
      <name val="Arial"/>
      <family val="2"/>
    </font>
    <font>
      <b/>
      <sz val="10"/>
      <color indexed="12"/>
      <name val="Arial"/>
      <family val="2"/>
    </font>
    <font>
      <sz val="8"/>
      <color indexed="81"/>
      <name val="Tahoma"/>
      <family val="2"/>
    </font>
    <font>
      <b/>
      <sz val="8"/>
      <color indexed="81"/>
      <name val="Tahoma"/>
      <family val="2"/>
    </font>
    <font>
      <strike/>
      <sz val="10"/>
      <color indexed="10"/>
      <name val="Arial"/>
      <family val="2"/>
    </font>
    <font>
      <b/>
      <sz val="10"/>
      <color indexed="17"/>
      <name val="Arial"/>
      <family val="2"/>
    </font>
    <font>
      <sz val="10"/>
      <color indexed="10"/>
      <name val="Arial"/>
      <family val="2"/>
    </font>
    <font>
      <b/>
      <sz val="10"/>
      <color indexed="10"/>
      <name val="Arial"/>
      <family val="2"/>
    </font>
    <font>
      <b/>
      <u/>
      <sz val="10"/>
      <color indexed="12"/>
      <name val="Arial"/>
      <family val="2"/>
    </font>
    <font>
      <sz val="10"/>
      <name val="Arial"/>
      <family val="2"/>
    </font>
    <font>
      <b/>
      <sz val="9"/>
      <color indexed="81"/>
      <name val="Tahoma"/>
      <family val="2"/>
    </font>
    <font>
      <sz val="9"/>
      <color indexed="81"/>
      <name val="Tahoma"/>
      <family val="2"/>
    </font>
    <font>
      <sz val="10"/>
      <color rgb="FF0070C0"/>
      <name val="Arial"/>
      <family val="2"/>
    </font>
    <font>
      <b/>
      <sz val="8"/>
      <color theme="6" tint="-0.499984740745262"/>
      <name val="Arial"/>
      <family val="2"/>
    </font>
    <font>
      <sz val="8"/>
      <color theme="6" tint="-0.499984740745262"/>
      <name val="Arial"/>
      <family val="2"/>
    </font>
    <font>
      <sz val="10"/>
      <color rgb="FFFFFF00"/>
      <name val="Arial"/>
      <family val="2"/>
    </font>
    <font>
      <sz val="10"/>
      <color theme="3"/>
      <name val="Arial"/>
      <family val="2"/>
    </font>
    <font>
      <sz val="10"/>
      <color rgb="FFC00000"/>
      <name val="Arial"/>
      <family val="2"/>
    </font>
    <font>
      <b/>
      <sz val="10"/>
      <color rgb="FFC00000"/>
      <name val="Arial"/>
      <family val="2"/>
    </font>
    <font>
      <sz val="10"/>
      <color theme="1"/>
      <name val="Arial"/>
      <family val="2"/>
    </font>
    <font>
      <sz val="10"/>
      <color theme="4"/>
      <name val="Arial"/>
      <family val="2"/>
    </font>
    <font>
      <u/>
      <sz val="9"/>
      <color indexed="81"/>
      <name val="Tahoma"/>
      <family val="2"/>
    </font>
    <font>
      <sz val="10"/>
      <color rgb="FF00B0F0"/>
      <name val="Arial"/>
      <family val="2"/>
    </font>
    <font>
      <i/>
      <sz val="10"/>
      <color theme="1"/>
      <name val="Arial"/>
      <family val="2"/>
    </font>
    <font>
      <b/>
      <sz val="10"/>
      <color theme="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66FF"/>
      <name val="Arial"/>
      <family val="2"/>
    </font>
    <font>
      <sz val="11"/>
      <color indexed="8"/>
      <name val="Calibri"/>
      <family val="2"/>
    </font>
    <font>
      <b/>
      <sz val="11"/>
      <color indexed="8"/>
      <name val="Calibri"/>
      <family val="2"/>
    </font>
    <font>
      <b/>
      <sz val="11"/>
      <color theme="7" tint="-0.249977111117893"/>
      <name val="Calibri"/>
      <family val="2"/>
    </font>
    <font>
      <sz val="10"/>
      <color theme="7" tint="-0.249977111117893"/>
      <name val="Arial"/>
      <family val="2"/>
    </font>
    <font>
      <sz val="10"/>
      <color rgb="FFFF0000"/>
      <name val="Arial"/>
      <family val="2"/>
    </font>
    <font>
      <i/>
      <sz val="10"/>
      <color rgb="FFFF0000"/>
      <name val="Arial"/>
      <family val="2"/>
    </font>
    <font>
      <sz val="10"/>
      <color theme="3" tint="0.39997558519241921"/>
      <name val="Arial"/>
      <family val="2"/>
    </font>
    <font>
      <b/>
      <sz val="10"/>
      <color rgb="FFFF0000"/>
      <name val="Arial"/>
      <family val="2"/>
    </font>
    <font>
      <b/>
      <vertAlign val="superscript"/>
      <sz val="10"/>
      <name val="Arial"/>
      <family val="2"/>
    </font>
    <font>
      <b/>
      <sz val="10"/>
      <color rgb="FF00CC00"/>
      <name val="Arial"/>
      <family val="2"/>
    </font>
    <font>
      <b/>
      <i/>
      <u/>
      <sz val="10"/>
      <name val="Arial"/>
      <family val="2"/>
    </font>
    <font>
      <i/>
      <u/>
      <sz val="10"/>
      <name val="Arial"/>
      <family val="2"/>
    </font>
    <font>
      <sz val="10"/>
      <color theme="9" tint="-0.249977111117893"/>
      <name val="Arial"/>
      <family val="2"/>
    </font>
    <font>
      <vertAlign val="superscript"/>
      <sz val="10"/>
      <name val="Arial"/>
      <family val="2"/>
    </font>
    <font>
      <sz val="10"/>
      <color theme="6" tint="-0.499984740745262"/>
      <name val="Arial"/>
      <family val="2"/>
    </font>
    <font>
      <sz val="10"/>
      <color theme="4" tint="-0.249977111117893"/>
      <name val="Arial"/>
      <family val="2"/>
    </font>
    <font>
      <b/>
      <sz val="10"/>
      <color theme="6" tint="-0.499984740745262"/>
      <name val="Arial"/>
      <family val="2"/>
    </font>
    <font>
      <b/>
      <sz val="10"/>
      <color indexed="0"/>
      <name val="Tahoma"/>
      <family val="2"/>
    </font>
    <font>
      <b/>
      <sz val="10"/>
      <name val="Tahoma"/>
      <family val="2"/>
    </font>
    <font>
      <sz val="10"/>
      <name val="Tahoma"/>
      <family val="2"/>
    </font>
    <font>
      <sz val="12"/>
      <color indexed="12"/>
      <name val="Arial"/>
      <family val="2"/>
    </font>
    <font>
      <b/>
      <sz val="10"/>
      <color rgb="FF0000FF"/>
      <name val="Arial"/>
      <family val="2"/>
    </font>
    <font>
      <sz val="10"/>
      <color rgb="FF0000FF"/>
      <name val="Arial"/>
      <family val="2"/>
    </font>
    <font>
      <sz val="9"/>
      <name val="Arial"/>
      <family val="2"/>
    </font>
  </fonts>
  <fills count="64">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46"/>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indexed="41"/>
        <bgColor indexed="64"/>
      </patternFill>
    </fill>
    <fill>
      <patternFill patternType="solid">
        <fgColor indexed="44"/>
        <bgColor indexed="64"/>
      </patternFill>
    </fill>
    <fill>
      <patternFill patternType="solid">
        <fgColor indexed="40"/>
      </patternFill>
    </fill>
    <fill>
      <patternFill patternType="solid">
        <fgColor indexed="49"/>
      </patternFill>
    </fill>
    <fill>
      <patternFill patternType="solid">
        <fgColor indexed="45"/>
      </patternFill>
    </fill>
    <fill>
      <patternFill patternType="solid">
        <fgColor indexed="52"/>
      </patternFill>
    </fill>
    <fill>
      <patternFill patternType="solid">
        <fgColor indexed="43"/>
      </patternFill>
    </fill>
    <fill>
      <patternFill patternType="solid">
        <fgColor theme="9" tint="0.79998168889431442"/>
        <bgColor indexed="64"/>
      </patternFill>
    </fill>
    <fill>
      <patternFill patternType="solid">
        <fgColor theme="0" tint="-0.249977111117893"/>
        <bgColor indexed="64"/>
      </patternFill>
    </fill>
    <fill>
      <patternFill patternType="solid">
        <fgColor rgb="FFCCFFFF"/>
        <bgColor indexed="64"/>
      </patternFill>
    </fill>
    <fill>
      <patternFill patternType="solid">
        <fgColor rgb="FFFFFFCC"/>
        <bgColor indexed="64"/>
      </patternFill>
    </fill>
    <fill>
      <patternFill patternType="solid">
        <fgColor rgb="FFFFFF99"/>
        <bgColor indexed="64"/>
      </patternFill>
    </fill>
  </fills>
  <borders count="4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69">
    <xf numFmtId="0" fontId="0" fillId="0" borderId="0"/>
    <xf numFmtId="164" fontId="3" fillId="0" borderId="0" applyFont="0" applyFill="0" applyBorder="0" applyAlignment="0" applyProtection="0"/>
    <xf numFmtId="9" fontId="3" fillId="0" borderId="0" applyFont="0" applyFill="0" applyBorder="0" applyAlignment="0" applyProtection="0"/>
    <xf numFmtId="0" fontId="51" fillId="0" borderId="0" applyNumberFormat="0" applyFill="0" applyBorder="0" applyAlignment="0" applyProtection="0"/>
    <xf numFmtId="0" fontId="52" fillId="0" borderId="11" applyNumberFormat="0" applyFill="0" applyAlignment="0" applyProtection="0"/>
    <xf numFmtId="0" fontId="53" fillId="0" borderId="12" applyNumberFormat="0" applyFill="0" applyAlignment="0" applyProtection="0"/>
    <xf numFmtId="0" fontId="54" fillId="0" borderId="13" applyNumberFormat="0" applyFill="0" applyAlignment="0" applyProtection="0"/>
    <xf numFmtId="0" fontId="54" fillId="0" borderId="0" applyNumberFormat="0" applyFill="0" applyBorder="0" applyAlignment="0" applyProtection="0"/>
    <xf numFmtId="0" fontId="55" fillId="15" borderId="0" applyNumberFormat="0" applyBorder="0" applyAlignment="0" applyProtection="0"/>
    <xf numFmtId="0" fontId="56" fillId="16" borderId="0" applyNumberFormat="0" applyBorder="0" applyAlignment="0" applyProtection="0"/>
    <xf numFmtId="0" fontId="57" fillId="17" borderId="0" applyNumberFormat="0" applyBorder="0" applyAlignment="0" applyProtection="0"/>
    <xf numFmtId="0" fontId="58" fillId="18" borderId="14" applyNumberFormat="0" applyAlignment="0" applyProtection="0"/>
    <xf numFmtId="0" fontId="59" fillId="19" borderId="15" applyNumberFormat="0" applyAlignment="0" applyProtection="0"/>
    <xf numFmtId="0" fontId="60" fillId="19" borderId="14" applyNumberFormat="0" applyAlignment="0" applyProtection="0"/>
    <xf numFmtId="0" fontId="61" fillId="0" borderId="16" applyNumberFormat="0" applyFill="0" applyAlignment="0" applyProtection="0"/>
    <xf numFmtId="0" fontId="62" fillId="20" borderId="17" applyNumberFormat="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19" applyNumberFormat="0" applyFill="0" applyAlignment="0" applyProtection="0"/>
    <xf numFmtId="0" fontId="66"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66" fillId="25" borderId="0" applyNumberFormat="0" applyBorder="0" applyAlignment="0" applyProtection="0"/>
    <xf numFmtId="0" fontId="66"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66" fillId="29" borderId="0" applyNumberFormat="0" applyBorder="0" applyAlignment="0" applyProtection="0"/>
    <xf numFmtId="0" fontId="66"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66" fillId="33" borderId="0" applyNumberFormat="0" applyBorder="0" applyAlignment="0" applyProtection="0"/>
    <xf numFmtId="0" fontId="66"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66" fillId="37" borderId="0" applyNumberFormat="0" applyBorder="0" applyAlignment="0" applyProtection="0"/>
    <xf numFmtId="0" fontId="66"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66" fillId="41" borderId="0" applyNumberFormat="0" applyBorder="0" applyAlignment="0" applyProtection="0"/>
    <xf numFmtId="0" fontId="66"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66" fillId="45" borderId="0" applyNumberFormat="0" applyBorder="0" applyAlignment="0" applyProtection="0"/>
    <xf numFmtId="0" fontId="2" fillId="0" borderId="0"/>
    <xf numFmtId="0" fontId="3" fillId="0" borderId="0"/>
    <xf numFmtId="0" fontId="2" fillId="21" borderId="18" applyNumberFormat="0" applyFont="0" applyAlignment="0" applyProtection="0"/>
    <xf numFmtId="0" fontId="68" fillId="0" borderId="0"/>
    <xf numFmtId="164" fontId="68" fillId="0" borderId="0" applyFont="0" applyFill="0" applyBorder="0" applyAlignment="0" applyProtection="0"/>
    <xf numFmtId="43" fontId="3" fillId="0" borderId="0" applyFont="0" applyFill="0" applyBorder="0" applyAlignment="0" applyProtection="0"/>
    <xf numFmtId="0" fontId="85"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86" fillId="54" borderId="0"/>
    <xf numFmtId="0" fontId="86" fillId="55" borderId="0"/>
    <xf numFmtId="0" fontId="86" fillId="56" borderId="0"/>
    <xf numFmtId="0" fontId="87" fillId="0" borderId="0"/>
    <xf numFmtId="0" fontId="1" fillId="0" borderId="0"/>
    <xf numFmtId="0" fontId="1" fillId="0" borderId="0"/>
    <xf numFmtId="0" fontId="1" fillId="0" borderId="0"/>
    <xf numFmtId="0" fontId="1" fillId="0" borderId="0"/>
    <xf numFmtId="0" fontId="86" fillId="57" borderId="0"/>
    <xf numFmtId="9" fontId="1" fillId="0" borderId="0" applyFont="0" applyFill="0" applyBorder="0" applyAlignment="0" applyProtection="0"/>
    <xf numFmtId="9" fontId="1" fillId="0" borderId="0" applyFont="0" applyFill="0" applyBorder="0" applyAlignment="0" applyProtection="0"/>
    <xf numFmtId="0" fontId="86" fillId="58" borderId="0"/>
    <xf numFmtId="164" fontId="3" fillId="0" borderId="0" applyFont="0" applyFill="0" applyBorder="0" applyAlignment="0" applyProtection="0"/>
    <xf numFmtId="9" fontId="3" fillId="0" borderId="0" applyFont="0" applyFill="0" applyBorder="0" applyAlignment="0" applyProtection="0"/>
    <xf numFmtId="0" fontId="91" fillId="0" borderId="0" applyBorder="0"/>
  </cellStyleXfs>
  <cellXfs count="1069">
    <xf numFmtId="0" fontId="0" fillId="0" borderId="0" xfId="0"/>
    <xf numFmtId="165" fontId="0" fillId="0" borderId="0" xfId="2" applyNumberFormat="1" applyFont="1"/>
    <xf numFmtId="0" fontId="4" fillId="0" borderId="0" xfId="0" applyFont="1"/>
    <xf numFmtId="167" fontId="0" fillId="0" borderId="0" xfId="1" applyNumberFormat="1" applyFont="1"/>
    <xf numFmtId="165" fontId="0" fillId="0" borderId="1" xfId="2" applyNumberFormat="1" applyFont="1" applyBorder="1"/>
    <xf numFmtId="165" fontId="0" fillId="0" borderId="2" xfId="2" applyNumberFormat="1" applyFont="1" applyBorder="1"/>
    <xf numFmtId="167" fontId="0" fillId="0" borderId="1" xfId="1" applyNumberFormat="1" applyFont="1" applyBorder="1"/>
    <xf numFmtId="167" fontId="0" fillId="0" borderId="2" xfId="1" applyNumberFormat="1" applyFont="1" applyBorder="1"/>
    <xf numFmtId="167" fontId="6" fillId="0" borderId="0" xfId="1" applyNumberFormat="1" applyFont="1"/>
    <xf numFmtId="167" fontId="5" fillId="0" borderId="0" xfId="1" applyNumberFormat="1" applyFont="1"/>
    <xf numFmtId="167" fontId="5" fillId="0" borderId="2" xfId="1" applyNumberFormat="1" applyFont="1" applyBorder="1"/>
    <xf numFmtId="0" fontId="0" fillId="0" borderId="1" xfId="0" applyBorder="1"/>
    <xf numFmtId="167" fontId="4" fillId="0" borderId="0" xfId="1" applyNumberFormat="1" applyFont="1"/>
    <xf numFmtId="0" fontId="4" fillId="0" borderId="0" xfId="0" applyFont="1" applyAlignment="1">
      <alignment horizontal="center"/>
    </xf>
    <xf numFmtId="0" fontId="6" fillId="0" borderId="0" xfId="0" applyFont="1"/>
    <xf numFmtId="167" fontId="6" fillId="0" borderId="0" xfId="0" applyNumberFormat="1" applyFont="1"/>
    <xf numFmtId="0" fontId="0" fillId="0" borderId="0" xfId="0" applyAlignment="1">
      <alignment horizontal="center"/>
    </xf>
    <xf numFmtId="0" fontId="5" fillId="0" borderId="0" xfId="0" applyFont="1" applyAlignment="1">
      <alignment horizontal="center"/>
    </xf>
    <xf numFmtId="0" fontId="7" fillId="0" borderId="0" xfId="0" applyFont="1"/>
    <xf numFmtId="0" fontId="4" fillId="0" borderId="3" xfId="0" applyFont="1" applyBorder="1"/>
    <xf numFmtId="0" fontId="4" fillId="0" borderId="3" xfId="0" applyFont="1" applyBorder="1" applyAlignment="1">
      <alignment horizontal="center"/>
    </xf>
    <xf numFmtId="167" fontId="6" fillId="0" borderId="4" xfId="1" applyNumberFormat="1" applyFont="1" applyBorder="1"/>
    <xf numFmtId="167" fontId="0" fillId="0" borderId="0" xfId="0" applyNumberFormat="1"/>
    <xf numFmtId="167" fontId="0" fillId="0" borderId="0" xfId="1" applyNumberFormat="1" applyFont="1" applyAlignment="1">
      <alignment horizontal="right"/>
    </xf>
    <xf numFmtId="167" fontId="0" fillId="0" borderId="1" xfId="1" applyNumberFormat="1" applyFont="1" applyBorder="1" applyAlignment="1">
      <alignment horizontal="right"/>
    </xf>
    <xf numFmtId="167" fontId="8" fillId="0" borderId="0" xfId="1" applyNumberFormat="1" applyFont="1"/>
    <xf numFmtId="167" fontId="8" fillId="0" borderId="4" xfId="1" applyNumberFormat="1" applyFont="1" applyBorder="1"/>
    <xf numFmtId="167" fontId="7" fillId="0" borderId="5" xfId="0" applyNumberFormat="1" applyFont="1" applyBorder="1"/>
    <xf numFmtId="0" fontId="9" fillId="0" borderId="0" xfId="0" applyFont="1"/>
    <xf numFmtId="167" fontId="0" fillId="0" borderId="6" xfId="1" applyNumberFormat="1" applyFont="1" applyBorder="1"/>
    <xf numFmtId="167" fontId="5" fillId="0" borderId="7" xfId="1" applyNumberFormat="1" applyFont="1" applyBorder="1" applyAlignment="1">
      <alignment horizontal="right"/>
    </xf>
    <xf numFmtId="0" fontId="8" fillId="0" borderId="0" xfId="0" applyFont="1"/>
    <xf numFmtId="167" fontId="8" fillId="0" borderId="8" xfId="0" applyNumberFormat="1" applyFont="1" applyBorder="1"/>
    <xf numFmtId="167" fontId="0" fillId="0" borderId="4" xfId="0" applyNumberFormat="1" applyBorder="1"/>
    <xf numFmtId="167" fontId="4" fillId="0" borderId="4" xfId="0" applyNumberFormat="1" applyFont="1" applyBorder="1"/>
    <xf numFmtId="167" fontId="6" fillId="0" borderId="1" xfId="1" applyNumberFormat="1" applyFont="1" applyBorder="1"/>
    <xf numFmtId="167" fontId="8" fillId="0" borderId="1" xfId="1" applyNumberFormat="1" applyFont="1" applyBorder="1"/>
    <xf numFmtId="167" fontId="8" fillId="0" borderId="4" xfId="0" applyNumberFormat="1" applyFont="1" applyBorder="1"/>
    <xf numFmtId="167" fontId="0" fillId="0" borderId="1" xfId="0" applyNumberFormat="1" applyBorder="1"/>
    <xf numFmtId="167" fontId="8" fillId="0" borderId="0" xfId="1" applyNumberFormat="1" applyFont="1" applyBorder="1"/>
    <xf numFmtId="167" fontId="10" fillId="0" borderId="0" xfId="1" applyNumberFormat="1" applyFont="1"/>
    <xf numFmtId="167" fontId="11" fillId="0" borderId="0" xfId="1" applyNumberFormat="1" applyFont="1"/>
    <xf numFmtId="167" fontId="5" fillId="0" borderId="0" xfId="1" quotePrefix="1" applyNumberFormat="1" applyFont="1"/>
    <xf numFmtId="167" fontId="7" fillId="0" borderId="4" xfId="0" applyNumberFormat="1" applyFont="1" applyBorder="1"/>
    <xf numFmtId="0" fontId="4" fillId="0" borderId="0" xfId="0" quotePrefix="1" applyFont="1"/>
    <xf numFmtId="167" fontId="0" fillId="0" borderId="0" xfId="1" applyNumberFormat="1" applyFont="1" applyBorder="1"/>
    <xf numFmtId="167" fontId="4" fillId="0" borderId="3" xfId="1" applyNumberFormat="1" applyFont="1" applyBorder="1"/>
    <xf numFmtId="167" fontId="4" fillId="0" borderId="3" xfId="1" applyNumberFormat="1" applyFont="1" applyBorder="1" applyAlignment="1">
      <alignment horizontal="center"/>
    </xf>
    <xf numFmtId="167" fontId="6" fillId="0" borderId="2" xfId="1" applyNumberFormat="1" applyFont="1" applyBorder="1"/>
    <xf numFmtId="167" fontId="7" fillId="0" borderId="0" xfId="1" applyNumberFormat="1" applyFont="1"/>
    <xf numFmtId="167" fontId="6" fillId="0" borderId="0" xfId="1" applyNumberFormat="1" applyFont="1" applyBorder="1"/>
    <xf numFmtId="167" fontId="0" fillId="0" borderId="5" xfId="1" applyNumberFormat="1" applyFont="1" applyBorder="1"/>
    <xf numFmtId="167" fontId="12" fillId="0" borderId="0" xfId="1" applyNumberFormat="1" applyFont="1"/>
    <xf numFmtId="167" fontId="4" fillId="0" borderId="0" xfId="1" quotePrefix="1" applyNumberFormat="1" applyFont="1"/>
    <xf numFmtId="167" fontId="7" fillId="0" borderId="5" xfId="1" applyNumberFormat="1" applyFont="1" applyBorder="1"/>
    <xf numFmtId="167" fontId="0" fillId="0" borderId="0" xfId="1" applyNumberFormat="1" applyFont="1" applyBorder="1" applyAlignment="1">
      <alignment horizontal="right"/>
    </xf>
    <xf numFmtId="167" fontId="7" fillId="0" borderId="4" xfId="1" applyNumberFormat="1" applyFont="1" applyBorder="1"/>
    <xf numFmtId="167" fontId="5" fillId="0" borderId="1" xfId="1" applyNumberFormat="1" applyFont="1" applyBorder="1"/>
    <xf numFmtId="165" fontId="5" fillId="0" borderId="0" xfId="2" applyNumberFormat="1" applyFont="1"/>
    <xf numFmtId="167" fontId="13" fillId="0" borderId="0" xfId="1" applyNumberFormat="1" applyFont="1"/>
    <xf numFmtId="167" fontId="14" fillId="0" borderId="0" xfId="1" applyNumberFormat="1" applyFont="1"/>
    <xf numFmtId="167" fontId="13" fillId="0" borderId="5" xfId="1" applyNumberFormat="1" applyFont="1" applyBorder="1"/>
    <xf numFmtId="49" fontId="4" fillId="0" borderId="3" xfId="0" applyNumberFormat="1" applyFont="1" applyBorder="1" applyAlignment="1">
      <alignment horizontal="center"/>
    </xf>
    <xf numFmtId="0" fontId="15" fillId="0" borderId="0" xfId="0" applyFont="1"/>
    <xf numFmtId="0" fontId="16" fillId="0" borderId="0" xfId="0" applyFont="1"/>
    <xf numFmtId="167" fontId="15" fillId="0" borderId="5" xfId="0" applyNumberFormat="1" applyFont="1" applyBorder="1"/>
    <xf numFmtId="167" fontId="0" fillId="0" borderId="5" xfId="0" applyNumberFormat="1" applyBorder="1"/>
    <xf numFmtId="167" fontId="4" fillId="0" borderId="5" xfId="0" applyNumberFormat="1" applyFont="1" applyBorder="1"/>
    <xf numFmtId="37" fontId="0" fillId="0" borderId="0" xfId="1" applyNumberFormat="1" applyFont="1"/>
    <xf numFmtId="167" fontId="0" fillId="0" borderId="0" xfId="1" quotePrefix="1" applyNumberFormat="1" applyFont="1"/>
    <xf numFmtId="3" fontId="5" fillId="0" borderId="0" xfId="1" applyNumberFormat="1" applyFont="1"/>
    <xf numFmtId="167" fontId="7" fillId="0" borderId="0" xfId="1" applyNumberFormat="1" applyFont="1" applyBorder="1"/>
    <xf numFmtId="37" fontId="5" fillId="0" borderId="0" xfId="1" applyNumberFormat="1" applyFont="1"/>
    <xf numFmtId="0" fontId="4" fillId="0" borderId="0" xfId="0" applyFont="1" applyBorder="1" applyAlignment="1">
      <alignment horizontal="center"/>
    </xf>
    <xf numFmtId="167" fontId="0" fillId="0" borderId="0" xfId="0" applyNumberFormat="1" applyBorder="1"/>
    <xf numFmtId="167" fontId="7" fillId="0" borderId="0" xfId="0" applyNumberFormat="1" applyFont="1" applyBorder="1"/>
    <xf numFmtId="0" fontId="0" fillId="2" borderId="0" xfId="0" applyFill="1"/>
    <xf numFmtId="0" fontId="4" fillId="2" borderId="3" xfId="0" applyFont="1" applyFill="1" applyBorder="1" applyAlignment="1">
      <alignment horizontal="center"/>
    </xf>
    <xf numFmtId="167" fontId="6" fillId="2" borderId="0" xfId="1" applyNumberFormat="1" applyFont="1" applyFill="1"/>
    <xf numFmtId="167" fontId="0" fillId="2" borderId="0" xfId="1" applyNumberFormat="1" applyFont="1" applyFill="1"/>
    <xf numFmtId="167" fontId="6" fillId="2" borderId="0" xfId="0" applyNumberFormat="1" applyFont="1" applyFill="1"/>
    <xf numFmtId="167" fontId="0" fillId="2" borderId="1" xfId="1" applyNumberFormat="1" applyFont="1" applyFill="1" applyBorder="1"/>
    <xf numFmtId="165" fontId="0" fillId="2" borderId="1" xfId="2" applyNumberFormat="1" applyFont="1" applyFill="1" applyBorder="1"/>
    <xf numFmtId="167" fontId="8" fillId="2" borderId="4" xfId="1" applyNumberFormat="1" applyFont="1" applyFill="1" applyBorder="1"/>
    <xf numFmtId="167" fontId="0" fillId="2" borderId="0" xfId="1" applyNumberFormat="1" applyFont="1" applyFill="1" applyAlignment="1">
      <alignment horizontal="right"/>
    </xf>
    <xf numFmtId="167" fontId="0" fillId="2" borderId="0" xfId="0" applyNumberFormat="1" applyFill="1"/>
    <xf numFmtId="167" fontId="0" fillId="2" borderId="1" xfId="1" applyNumberFormat="1" applyFont="1" applyFill="1" applyBorder="1" applyAlignment="1">
      <alignment horizontal="right"/>
    </xf>
    <xf numFmtId="167" fontId="15" fillId="2" borderId="5" xfId="0" applyNumberFormat="1" applyFont="1" applyFill="1" applyBorder="1"/>
    <xf numFmtId="167" fontId="8" fillId="2" borderId="8" xfId="0" applyNumberFormat="1" applyFont="1" applyFill="1" applyBorder="1"/>
    <xf numFmtId="0" fontId="0" fillId="2" borderId="1" xfId="0" applyFill="1" applyBorder="1"/>
    <xf numFmtId="167" fontId="8" fillId="2" borderId="0" xfId="1" applyNumberFormat="1" applyFont="1" applyFill="1" applyBorder="1"/>
    <xf numFmtId="167" fontId="8" fillId="2" borderId="4" xfId="0" applyNumberFormat="1" applyFont="1" applyFill="1" applyBorder="1"/>
    <xf numFmtId="167" fontId="0" fillId="2" borderId="1" xfId="0" applyNumberFormat="1" applyFill="1" applyBorder="1"/>
    <xf numFmtId="167" fontId="7" fillId="2" borderId="5" xfId="0" applyNumberFormat="1" applyFont="1" applyFill="1" applyBorder="1"/>
    <xf numFmtId="167" fontId="0" fillId="2" borderId="5" xfId="0" applyNumberFormat="1" applyFill="1" applyBorder="1"/>
    <xf numFmtId="167" fontId="6" fillId="2" borderId="4" xfId="1" applyNumberFormat="1" applyFont="1" applyFill="1" applyBorder="1"/>
    <xf numFmtId="167" fontId="7" fillId="2" borderId="4" xfId="0" applyNumberFormat="1" applyFont="1" applyFill="1" applyBorder="1"/>
    <xf numFmtId="167" fontId="4" fillId="2" borderId="3" xfId="1" applyNumberFormat="1" applyFont="1" applyFill="1" applyBorder="1" applyAlignment="1">
      <alignment horizontal="center"/>
    </xf>
    <xf numFmtId="167" fontId="6" fillId="2" borderId="0" xfId="1" applyNumberFormat="1" applyFont="1" applyFill="1" applyBorder="1"/>
    <xf numFmtId="167" fontId="7" fillId="2" borderId="5" xfId="1" applyNumberFormat="1" applyFont="1" applyFill="1" applyBorder="1"/>
    <xf numFmtId="167" fontId="0" fillId="2" borderId="0" xfId="1" applyNumberFormat="1" applyFont="1" applyFill="1" applyBorder="1"/>
    <xf numFmtId="167" fontId="0" fillId="2" borderId="0" xfId="1" applyNumberFormat="1" applyFont="1" applyFill="1" applyBorder="1" applyAlignment="1">
      <alignment horizontal="right"/>
    </xf>
    <xf numFmtId="167" fontId="7" fillId="2" borderId="4" xfId="1" applyNumberFormat="1" applyFont="1" applyFill="1" applyBorder="1"/>
    <xf numFmtId="167" fontId="5" fillId="2" borderId="0" xfId="1" applyNumberFormat="1" applyFont="1" applyFill="1"/>
    <xf numFmtId="167" fontId="5" fillId="2" borderId="1" xfId="1" applyNumberFormat="1" applyFont="1" applyFill="1" applyBorder="1"/>
    <xf numFmtId="167" fontId="0" fillId="2" borderId="5" xfId="1" applyNumberFormat="1" applyFont="1" applyFill="1" applyBorder="1"/>
    <xf numFmtId="167" fontId="0" fillId="0" borderId="0" xfId="0" applyNumberFormat="1" applyFill="1"/>
    <xf numFmtId="167" fontId="13" fillId="2" borderId="5" xfId="1" applyNumberFormat="1" applyFont="1" applyFill="1" applyBorder="1"/>
    <xf numFmtId="49" fontId="4" fillId="2" borderId="3" xfId="0" applyNumberFormat="1" applyFont="1" applyFill="1" applyBorder="1" applyAlignment="1">
      <alignment horizontal="center"/>
    </xf>
    <xf numFmtId="167" fontId="0" fillId="2" borderId="0" xfId="1" quotePrefix="1" applyNumberFormat="1" applyFont="1" applyFill="1"/>
    <xf numFmtId="37" fontId="0" fillId="2" borderId="0" xfId="1" applyNumberFormat="1" applyFont="1" applyFill="1"/>
    <xf numFmtId="167" fontId="7" fillId="2" borderId="0" xfId="1" applyNumberFormat="1" applyFont="1" applyFill="1" applyBorder="1"/>
    <xf numFmtId="37" fontId="5" fillId="2" borderId="0" xfId="1" applyNumberFormat="1" applyFont="1" applyFill="1"/>
    <xf numFmtId="167" fontId="4" fillId="2" borderId="5" xfId="0" applyNumberFormat="1" applyFont="1" applyFill="1" applyBorder="1"/>
    <xf numFmtId="0" fontId="0" fillId="0" borderId="2" xfId="0" applyBorder="1"/>
    <xf numFmtId="0" fontId="0" fillId="0" borderId="0" xfId="0" applyFill="1"/>
    <xf numFmtId="0" fontId="4" fillId="0" borderId="3" xfId="0" applyFont="1" applyFill="1" applyBorder="1" applyAlignment="1">
      <alignment horizontal="center"/>
    </xf>
    <xf numFmtId="165" fontId="0" fillId="0" borderId="2" xfId="2" applyNumberFormat="1" applyFont="1" applyFill="1" applyBorder="1"/>
    <xf numFmtId="167" fontId="0" fillId="0" borderId="2" xfId="1" applyNumberFormat="1" applyFont="1" applyFill="1" applyBorder="1"/>
    <xf numFmtId="167" fontId="6" fillId="0" borderId="0" xfId="1" applyNumberFormat="1" applyFont="1" applyFill="1"/>
    <xf numFmtId="167" fontId="5" fillId="0" borderId="2" xfId="1" applyNumberFormat="1" applyFont="1" applyFill="1" applyBorder="1"/>
    <xf numFmtId="167" fontId="0" fillId="0" borderId="0" xfId="1" applyNumberFormat="1" applyFont="1" applyFill="1"/>
    <xf numFmtId="167" fontId="6" fillId="0" borderId="2" xfId="1" applyNumberFormat="1" applyFont="1" applyFill="1" applyBorder="1"/>
    <xf numFmtId="0" fontId="4" fillId="0" borderId="0" xfId="0" applyFont="1" applyFill="1" applyAlignment="1">
      <alignment horizontal="center"/>
    </xf>
    <xf numFmtId="167" fontId="6" fillId="0" borderId="0" xfId="0" applyNumberFormat="1" applyFont="1" applyFill="1"/>
    <xf numFmtId="167" fontId="0" fillId="0" borderId="1" xfId="1" applyNumberFormat="1" applyFont="1" applyFill="1" applyBorder="1"/>
    <xf numFmtId="167" fontId="7" fillId="0" borderId="5" xfId="1" applyNumberFormat="1" applyFont="1" applyFill="1" applyBorder="1"/>
    <xf numFmtId="167" fontId="0" fillId="0" borderId="0" xfId="1" applyNumberFormat="1" applyFont="1" applyFill="1" applyBorder="1"/>
    <xf numFmtId="165" fontId="0" fillId="0" borderId="1" xfId="2" applyNumberFormat="1" applyFont="1" applyFill="1" applyBorder="1"/>
    <xf numFmtId="167" fontId="8" fillId="0" borderId="4" xfId="1" applyNumberFormat="1" applyFont="1" applyFill="1" applyBorder="1"/>
    <xf numFmtId="167" fontId="0" fillId="0" borderId="0" xfId="1" applyNumberFormat="1" applyFont="1" applyFill="1" applyAlignment="1">
      <alignment horizontal="right"/>
    </xf>
    <xf numFmtId="167" fontId="0" fillId="0" borderId="1" xfId="1" applyNumberFormat="1" applyFont="1" applyFill="1" applyBorder="1" applyAlignment="1">
      <alignment horizontal="right"/>
    </xf>
    <xf numFmtId="167" fontId="15" fillId="0" borderId="5" xfId="0" applyNumberFormat="1" applyFont="1" applyFill="1" applyBorder="1"/>
    <xf numFmtId="167" fontId="8" fillId="0" borderId="8" xfId="0" applyNumberFormat="1" applyFont="1" applyFill="1" applyBorder="1"/>
    <xf numFmtId="0" fontId="0" fillId="0" borderId="1" xfId="0" applyFill="1" applyBorder="1"/>
    <xf numFmtId="167" fontId="8" fillId="0" borderId="0" xfId="1" applyNumberFormat="1" applyFont="1" applyFill="1" applyBorder="1"/>
    <xf numFmtId="167" fontId="8" fillId="0" borderId="4" xfId="0" applyNumberFormat="1" applyFont="1" applyFill="1" applyBorder="1"/>
    <xf numFmtId="167" fontId="0" fillId="0" borderId="1" xfId="0" applyNumberFormat="1" applyFill="1" applyBorder="1"/>
    <xf numFmtId="167" fontId="7" fillId="0" borderId="5" xfId="0" applyNumberFormat="1" applyFont="1" applyFill="1" applyBorder="1"/>
    <xf numFmtId="167" fontId="0" fillId="0" borderId="5" xfId="0" applyNumberFormat="1" applyFill="1" applyBorder="1"/>
    <xf numFmtId="167" fontId="6" fillId="0" borderId="4" xfId="1" applyNumberFormat="1" applyFont="1" applyFill="1" applyBorder="1"/>
    <xf numFmtId="167" fontId="7" fillId="0" borderId="4" xfId="0" applyNumberFormat="1" applyFont="1" applyFill="1" applyBorder="1"/>
    <xf numFmtId="167" fontId="4" fillId="0" borderId="3" xfId="1" applyNumberFormat="1" applyFont="1" applyFill="1" applyBorder="1" applyAlignment="1">
      <alignment horizontal="center"/>
    </xf>
    <xf numFmtId="167" fontId="6" fillId="0" borderId="0" xfId="1" applyNumberFormat="1" applyFont="1" applyFill="1" applyBorder="1"/>
    <xf numFmtId="167" fontId="0" fillId="0" borderId="0" xfId="1" applyNumberFormat="1" applyFont="1" applyFill="1" applyBorder="1" applyAlignment="1">
      <alignment horizontal="right"/>
    </xf>
    <xf numFmtId="167" fontId="7" fillId="0" borderId="4" xfId="1" applyNumberFormat="1" applyFont="1" applyFill="1" applyBorder="1"/>
    <xf numFmtId="167" fontId="5" fillId="0" borderId="0" xfId="1" applyNumberFormat="1" applyFont="1" applyFill="1"/>
    <xf numFmtId="167" fontId="5" fillId="0" borderId="1" xfId="1" applyNumberFormat="1" applyFont="1" applyFill="1" applyBorder="1"/>
    <xf numFmtId="167" fontId="0" fillId="0" borderId="5" xfId="1" applyNumberFormat="1" applyFont="1" applyFill="1" applyBorder="1"/>
    <xf numFmtId="167" fontId="4" fillId="0" borderId="5" xfId="0" applyNumberFormat="1" applyFont="1" applyFill="1" applyBorder="1"/>
    <xf numFmtId="49" fontId="4" fillId="0" borderId="3" xfId="0" applyNumberFormat="1" applyFont="1" applyFill="1" applyBorder="1" applyAlignment="1">
      <alignment horizontal="center"/>
    </xf>
    <xf numFmtId="167" fontId="0" fillId="0" borderId="0" xfId="1" quotePrefix="1" applyNumberFormat="1" applyFont="1" applyFill="1"/>
    <xf numFmtId="167" fontId="13" fillId="0" borderId="5" xfId="1" applyNumberFormat="1" applyFont="1" applyFill="1" applyBorder="1"/>
    <xf numFmtId="37" fontId="0" fillId="0" borderId="0" xfId="1" applyNumberFormat="1" applyFont="1" applyFill="1"/>
    <xf numFmtId="167" fontId="7" fillId="0" borderId="0" xfId="1" applyNumberFormat="1" applyFont="1" applyFill="1" applyBorder="1"/>
    <xf numFmtId="1" fontId="0" fillId="0" borderId="2" xfId="0" applyNumberFormat="1" applyFill="1" applyBorder="1"/>
    <xf numFmtId="167" fontId="5" fillId="0" borderId="0" xfId="1" applyNumberFormat="1" applyFont="1" applyFill="1" applyBorder="1"/>
    <xf numFmtId="167" fontId="0" fillId="3" borderId="0" xfId="1" applyNumberFormat="1" applyFont="1" applyFill="1"/>
    <xf numFmtId="167" fontId="0" fillId="3" borderId="2" xfId="1" applyNumberFormat="1" applyFont="1" applyFill="1" applyBorder="1"/>
    <xf numFmtId="3" fontId="0" fillId="0" borderId="0" xfId="0" applyNumberFormat="1" applyFill="1"/>
    <xf numFmtId="3" fontId="0" fillId="2" borderId="0" xfId="0" applyNumberFormat="1" applyFill="1"/>
    <xf numFmtId="0" fontId="0" fillId="3" borderId="1" xfId="0" applyFill="1" applyBorder="1"/>
    <xf numFmtId="3" fontId="0" fillId="3" borderId="1" xfId="0" applyNumberFormat="1" applyFill="1" applyBorder="1"/>
    <xf numFmtId="167" fontId="7" fillId="0" borderId="0" xfId="0" applyNumberFormat="1" applyFont="1" applyFill="1"/>
    <xf numFmtId="0" fontId="7" fillId="0" borderId="0" xfId="0" applyFont="1" applyFill="1"/>
    <xf numFmtId="3" fontId="7" fillId="0" borderId="0" xfId="0" applyNumberFormat="1" applyFont="1" applyFill="1"/>
    <xf numFmtId="3" fontId="7" fillId="2" borderId="0" xfId="0" applyNumberFormat="1" applyFont="1" applyFill="1"/>
    <xf numFmtId="3" fontId="7" fillId="0" borderId="0" xfId="0" applyNumberFormat="1" applyFont="1"/>
    <xf numFmtId="167" fontId="7" fillId="2" borderId="0" xfId="0" applyNumberFormat="1" applyFont="1" applyFill="1"/>
    <xf numFmtId="3" fontId="0" fillId="0" borderId="1" xfId="0" applyNumberFormat="1" applyFill="1" applyBorder="1"/>
    <xf numFmtId="37" fontId="5" fillId="0" borderId="0" xfId="1" applyNumberFormat="1" applyFont="1" applyFill="1"/>
    <xf numFmtId="0" fontId="0" fillId="0" borderId="0" xfId="0" applyFill="1" applyBorder="1"/>
    <xf numFmtId="0" fontId="4" fillId="0" borderId="0" xfId="0" applyFont="1" applyFill="1" applyBorder="1"/>
    <xf numFmtId="165" fontId="0" fillId="0" borderId="0" xfId="2" applyNumberFormat="1" applyFont="1" applyFill="1" applyBorder="1"/>
    <xf numFmtId="0" fontId="6" fillId="0" borderId="0" xfId="0" applyFont="1" applyFill="1" applyBorder="1"/>
    <xf numFmtId="167" fontId="8" fillId="2" borderId="0" xfId="1" applyNumberFormat="1" applyFont="1" applyFill="1"/>
    <xf numFmtId="0" fontId="19" fillId="0" borderId="0" xfId="0" applyFont="1"/>
    <xf numFmtId="0" fontId="20" fillId="0" borderId="0" xfId="0" applyFont="1"/>
    <xf numFmtId="167" fontId="19" fillId="0" borderId="0" xfId="1" applyNumberFormat="1" applyFont="1"/>
    <xf numFmtId="167" fontId="21" fillId="0" borderId="0" xfId="1" applyNumberFormat="1" applyFont="1"/>
    <xf numFmtId="0" fontId="19" fillId="0" borderId="0" xfId="0" applyFont="1" applyAlignment="1">
      <alignment horizontal="right"/>
    </xf>
    <xf numFmtId="0" fontId="20" fillId="0" borderId="0" xfId="0" applyFont="1" applyAlignment="1">
      <alignment horizontal="right"/>
    </xf>
    <xf numFmtId="167" fontId="19" fillId="0" borderId="0" xfId="1" applyNumberFormat="1" applyFont="1" applyAlignment="1">
      <alignment horizontal="right"/>
    </xf>
    <xf numFmtId="167" fontId="21" fillId="0" borderId="0" xfId="1" applyNumberFormat="1" applyFont="1" applyAlignment="1">
      <alignment horizontal="right"/>
    </xf>
    <xf numFmtId="167" fontId="19" fillId="2" borderId="0" xfId="1" applyNumberFormat="1" applyFont="1" applyFill="1" applyAlignment="1">
      <alignment horizontal="right"/>
    </xf>
    <xf numFmtId="167" fontId="22" fillId="0" borderId="0" xfId="1" applyNumberFormat="1" applyFont="1"/>
    <xf numFmtId="165" fontId="19" fillId="0" borderId="0" xfId="2" applyNumberFormat="1" applyFont="1"/>
    <xf numFmtId="0" fontId="22" fillId="0" borderId="0" xfId="0" applyFont="1"/>
    <xf numFmtId="167" fontId="19" fillId="0" borderId="0" xfId="0" applyNumberFormat="1" applyFont="1"/>
    <xf numFmtId="167" fontId="19" fillId="0" borderId="0" xfId="0" applyNumberFormat="1" applyFont="1" applyFill="1"/>
    <xf numFmtId="37" fontId="0" fillId="3" borderId="0" xfId="1" applyNumberFormat="1" applyFont="1" applyFill="1"/>
    <xf numFmtId="0" fontId="3" fillId="2" borderId="0" xfId="0" applyFont="1" applyFill="1"/>
    <xf numFmtId="0" fontId="23" fillId="2" borderId="3" xfId="0" applyFont="1" applyFill="1" applyBorder="1" applyAlignment="1">
      <alignment horizontal="center"/>
    </xf>
    <xf numFmtId="0" fontId="24" fillId="2" borderId="0" xfId="0" applyFont="1" applyFill="1"/>
    <xf numFmtId="167" fontId="15" fillId="0" borderId="0" xfId="1" applyNumberFormat="1" applyFont="1"/>
    <xf numFmtId="0" fontId="3" fillId="0" borderId="0" xfId="0" applyFont="1" applyFill="1"/>
    <xf numFmtId="0" fontId="23" fillId="0" borderId="3" xfId="0" applyFont="1" applyFill="1" applyBorder="1" applyAlignment="1">
      <alignment horizontal="center"/>
    </xf>
    <xf numFmtId="0" fontId="24" fillId="0" borderId="0" xfId="0" applyFont="1" applyFill="1"/>
    <xf numFmtId="165" fontId="24" fillId="0" borderId="2" xfId="2" applyNumberFormat="1" applyFont="1" applyFill="1" applyBorder="1"/>
    <xf numFmtId="167" fontId="24" fillId="0" borderId="2" xfId="1" applyNumberFormat="1" applyFont="1" applyFill="1" applyBorder="1"/>
    <xf numFmtId="167" fontId="25" fillId="0" borderId="0" xfId="1" applyNumberFormat="1" applyFont="1" applyFill="1"/>
    <xf numFmtId="0" fontId="26" fillId="0" borderId="0" xfId="0" applyFont="1" applyFill="1"/>
    <xf numFmtId="167" fontId="26" fillId="0" borderId="2" xfId="1" applyNumberFormat="1" applyFont="1" applyFill="1" applyBorder="1"/>
    <xf numFmtId="167" fontId="26" fillId="0" borderId="0" xfId="1" applyNumberFormat="1" applyFont="1" applyFill="1"/>
    <xf numFmtId="167" fontId="25" fillId="0" borderId="2" xfId="1" applyNumberFormat="1" applyFont="1" applyFill="1" applyBorder="1"/>
    <xf numFmtId="0" fontId="23" fillId="0" borderId="0" xfId="0" applyFont="1" applyFill="1" applyAlignment="1">
      <alignment horizontal="center"/>
    </xf>
    <xf numFmtId="167" fontId="25" fillId="0" borderId="0" xfId="0" applyNumberFormat="1" applyFont="1" applyFill="1"/>
    <xf numFmtId="167" fontId="18" fillId="0" borderId="0" xfId="0" applyNumberFormat="1" applyFont="1" applyFill="1"/>
    <xf numFmtId="168" fontId="0" fillId="0" borderId="1" xfId="0" applyNumberFormat="1" applyFill="1" applyBorder="1"/>
    <xf numFmtId="3" fontId="5" fillId="0" borderId="0" xfId="1" applyNumberFormat="1" applyFont="1" applyFill="1"/>
    <xf numFmtId="167" fontId="19" fillId="0" borderId="0" xfId="1" applyNumberFormat="1" applyFont="1" applyFill="1" applyAlignment="1">
      <alignment horizontal="right"/>
    </xf>
    <xf numFmtId="166" fontId="0" fillId="2" borderId="0" xfId="1" applyNumberFormat="1" applyFont="1" applyFill="1"/>
    <xf numFmtId="166" fontId="0" fillId="0" borderId="0" xfId="1" applyNumberFormat="1" applyFont="1" applyFill="1"/>
    <xf numFmtId="170" fontId="0" fillId="2" borderId="0" xfId="0" applyNumberFormat="1" applyFill="1"/>
    <xf numFmtId="0" fontId="4" fillId="0" borderId="0" xfId="0" applyFont="1" applyFill="1"/>
    <xf numFmtId="167" fontId="7" fillId="0" borderId="0" xfId="1" applyNumberFormat="1" applyFont="1" applyFill="1"/>
    <xf numFmtId="167" fontId="13" fillId="0" borderId="0" xfId="1" applyNumberFormat="1" applyFont="1" applyFill="1"/>
    <xf numFmtId="0" fontId="6" fillId="0" borderId="0" xfId="0" applyFont="1" applyFill="1"/>
    <xf numFmtId="165" fontId="18" fillId="0" borderId="0" xfId="2" applyNumberFormat="1" applyFont="1" applyFill="1" applyBorder="1"/>
    <xf numFmtId="169" fontId="25" fillId="0" borderId="2" xfId="1" applyNumberFormat="1" applyFont="1" applyFill="1" applyBorder="1"/>
    <xf numFmtId="165" fontId="3" fillId="0" borderId="2" xfId="2" applyNumberFormat="1" applyFont="1" applyFill="1" applyBorder="1"/>
    <xf numFmtId="167" fontId="3" fillId="0" borderId="2" xfId="1" applyNumberFormat="1" applyFont="1" applyFill="1" applyBorder="1"/>
    <xf numFmtId="167" fontId="26" fillId="0" borderId="0" xfId="0" applyNumberFormat="1" applyFont="1" applyFill="1"/>
    <xf numFmtId="169" fontId="26" fillId="0" borderId="2" xfId="1" applyNumberFormat="1" applyFont="1" applyFill="1" applyBorder="1"/>
    <xf numFmtId="167" fontId="19" fillId="4" borderId="0" xfId="0" applyNumberFormat="1" applyFont="1" applyFill="1"/>
    <xf numFmtId="167" fontId="18" fillId="2" borderId="0" xfId="1" applyNumberFormat="1" applyFont="1" applyFill="1"/>
    <xf numFmtId="164" fontId="0" fillId="0" borderId="0" xfId="1" applyNumberFormat="1" applyFont="1" applyFill="1"/>
    <xf numFmtId="164" fontId="0" fillId="0" borderId="0" xfId="1" applyNumberFormat="1" applyFont="1" applyFill="1" applyBorder="1" applyAlignment="1">
      <alignment horizontal="right"/>
    </xf>
    <xf numFmtId="164" fontId="0" fillId="0" borderId="1" xfId="1" applyNumberFormat="1" applyFont="1" applyFill="1" applyBorder="1" applyAlignment="1">
      <alignment horizontal="right"/>
    </xf>
    <xf numFmtId="164" fontId="7" fillId="0" borderId="4" xfId="1" applyNumberFormat="1" applyFont="1" applyFill="1" applyBorder="1"/>
    <xf numFmtId="164" fontId="0" fillId="0" borderId="0" xfId="1" applyNumberFormat="1" applyFont="1" applyFill="1" applyAlignment="1">
      <alignment horizontal="right"/>
    </xf>
    <xf numFmtId="0" fontId="5" fillId="0" borderId="0" xfId="0" applyFont="1"/>
    <xf numFmtId="37" fontId="0" fillId="0" borderId="0" xfId="0" applyNumberFormat="1" applyFill="1"/>
    <xf numFmtId="167" fontId="18" fillId="0" borderId="2" xfId="1" applyNumberFormat="1" applyFont="1" applyFill="1" applyBorder="1"/>
    <xf numFmtId="169" fontId="0" fillId="0" borderId="2" xfId="1" applyNumberFormat="1" applyFont="1" applyFill="1" applyBorder="1"/>
    <xf numFmtId="0" fontId="18" fillId="2" borderId="0" xfId="0" applyFont="1" applyFill="1"/>
    <xf numFmtId="167" fontId="18" fillId="0" borderId="0" xfId="1" applyNumberFormat="1" applyFont="1"/>
    <xf numFmtId="167" fontId="3" fillId="2" borderId="0" xfId="1" applyNumberFormat="1" applyFont="1" applyFill="1"/>
    <xf numFmtId="0" fontId="0" fillId="5" borderId="0" xfId="0" applyFill="1"/>
    <xf numFmtId="0" fontId="17" fillId="5" borderId="3" xfId="0" applyFont="1" applyFill="1" applyBorder="1" applyAlignment="1">
      <alignment horizontal="center"/>
    </xf>
    <xf numFmtId="167" fontId="0" fillId="5" borderId="0" xfId="1" applyNumberFormat="1" applyFont="1" applyFill="1"/>
    <xf numFmtId="167" fontId="0" fillId="5" borderId="1" xfId="1" applyNumberFormat="1" applyFont="1" applyFill="1" applyBorder="1"/>
    <xf numFmtId="167" fontId="6" fillId="5" borderId="0" xfId="1" applyNumberFormat="1" applyFont="1" applyFill="1"/>
    <xf numFmtId="165" fontId="0" fillId="5" borderId="1" xfId="2" applyNumberFormat="1" applyFont="1" applyFill="1" applyBorder="1"/>
    <xf numFmtId="167" fontId="8" fillId="5" borderId="4" xfId="1" applyNumberFormat="1" applyFont="1" applyFill="1" applyBorder="1"/>
    <xf numFmtId="167" fontId="0" fillId="5" borderId="0" xfId="1" applyNumberFormat="1" applyFont="1" applyFill="1" applyAlignment="1">
      <alignment horizontal="right"/>
    </xf>
    <xf numFmtId="167" fontId="0" fillId="5" borderId="0" xfId="0" applyNumberFormat="1" applyFill="1"/>
    <xf numFmtId="167" fontId="0" fillId="5" borderId="1" xfId="1" applyNumberFormat="1" applyFont="1" applyFill="1" applyBorder="1" applyAlignment="1">
      <alignment horizontal="right"/>
    </xf>
    <xf numFmtId="167" fontId="15" fillId="5" borderId="5" xfId="0" applyNumberFormat="1" applyFont="1" applyFill="1" applyBorder="1"/>
    <xf numFmtId="167" fontId="8" fillId="5" borderId="8" xfId="0" applyNumberFormat="1" applyFont="1" applyFill="1" applyBorder="1"/>
    <xf numFmtId="0" fontId="0" fillId="5" borderId="1" xfId="0" applyFill="1" applyBorder="1"/>
    <xf numFmtId="167" fontId="8" fillId="5" borderId="0" xfId="1" applyNumberFormat="1" applyFont="1" applyFill="1"/>
    <xf numFmtId="167" fontId="8" fillId="5" borderId="0" xfId="1" applyNumberFormat="1" applyFont="1" applyFill="1" applyBorder="1"/>
    <xf numFmtId="167" fontId="8" fillId="5" borderId="4" xfId="0" applyNumberFormat="1" applyFont="1" applyFill="1" applyBorder="1"/>
    <xf numFmtId="167" fontId="0" fillId="5" borderId="1" xfId="0" applyNumberFormat="1" applyFill="1" applyBorder="1"/>
    <xf numFmtId="167" fontId="7" fillId="5" borderId="5" xfId="0" applyNumberFormat="1" applyFont="1" applyFill="1" applyBorder="1"/>
    <xf numFmtId="167" fontId="0" fillId="5" borderId="5" xfId="0" applyNumberFormat="1" applyFill="1" applyBorder="1"/>
    <xf numFmtId="0" fontId="3" fillId="5" borderId="0" xfId="0" applyFont="1" applyFill="1"/>
    <xf numFmtId="0" fontId="27" fillId="5" borderId="3" xfId="0" applyFont="1" applyFill="1" applyBorder="1" applyAlignment="1">
      <alignment horizontal="center"/>
    </xf>
    <xf numFmtId="0" fontId="24" fillId="5" borderId="0" xfId="0" applyFont="1" applyFill="1"/>
    <xf numFmtId="167" fontId="4" fillId="5" borderId="5" xfId="0" applyNumberFormat="1" applyFont="1" applyFill="1" applyBorder="1"/>
    <xf numFmtId="167" fontId="6" fillId="5" borderId="4" xfId="1" applyNumberFormat="1" applyFont="1" applyFill="1" applyBorder="1"/>
    <xf numFmtId="166" fontId="0" fillId="5" borderId="0" xfId="1" applyNumberFormat="1" applyFont="1" applyFill="1"/>
    <xf numFmtId="167" fontId="7" fillId="5" borderId="4" xfId="0" applyNumberFormat="1" applyFont="1" applyFill="1" applyBorder="1"/>
    <xf numFmtId="167" fontId="4" fillId="5" borderId="3" xfId="1" applyNumberFormat="1" applyFont="1" applyFill="1" applyBorder="1" applyAlignment="1">
      <alignment horizontal="center"/>
    </xf>
    <xf numFmtId="167" fontId="6" fillId="5" borderId="0" xfId="1" applyNumberFormat="1" applyFont="1" applyFill="1" applyBorder="1"/>
    <xf numFmtId="167" fontId="5" fillId="5" borderId="0" xfId="1" applyNumberFormat="1" applyFont="1" applyFill="1"/>
    <xf numFmtId="3" fontId="7" fillId="5" borderId="0" xfId="0" applyNumberFormat="1" applyFont="1" applyFill="1"/>
    <xf numFmtId="3" fontId="0" fillId="5" borderId="0" xfId="0" applyNumberFormat="1" applyFill="1"/>
    <xf numFmtId="167" fontId="7" fillId="5" borderId="0" xfId="0" applyNumberFormat="1" applyFont="1" applyFill="1"/>
    <xf numFmtId="167" fontId="7" fillId="5" borderId="5" xfId="1" applyNumberFormat="1" applyFont="1" applyFill="1" applyBorder="1"/>
    <xf numFmtId="167" fontId="0" fillId="5" borderId="0" xfId="1" applyNumberFormat="1" applyFont="1" applyFill="1" applyBorder="1"/>
    <xf numFmtId="3" fontId="0" fillId="5" borderId="1" xfId="0" applyNumberFormat="1" applyFill="1" applyBorder="1"/>
    <xf numFmtId="167" fontId="6" fillId="5" borderId="0" xfId="0" applyNumberFormat="1" applyFont="1" applyFill="1"/>
    <xf numFmtId="49" fontId="17" fillId="5" borderId="3" xfId="0" applyNumberFormat="1" applyFont="1" applyFill="1" applyBorder="1" applyAlignment="1">
      <alignment horizontal="center"/>
    </xf>
    <xf numFmtId="167" fontId="0" fillId="5" borderId="0" xfId="1" quotePrefix="1" applyNumberFormat="1" applyFont="1" applyFill="1"/>
    <xf numFmtId="170" fontId="0" fillId="5" borderId="0" xfId="0" applyNumberFormat="1" applyFill="1"/>
    <xf numFmtId="167" fontId="0" fillId="5" borderId="0" xfId="1" applyNumberFormat="1" applyFont="1" applyFill="1" applyBorder="1" applyAlignment="1">
      <alignment horizontal="right"/>
    </xf>
    <xf numFmtId="167" fontId="7" fillId="5" borderId="4" xfId="1" applyNumberFormat="1" applyFont="1" applyFill="1" applyBorder="1"/>
    <xf numFmtId="167" fontId="5" fillId="5" borderId="1" xfId="1" applyNumberFormat="1" applyFont="1" applyFill="1" applyBorder="1"/>
    <xf numFmtId="167" fontId="0" fillId="5" borderId="5" xfId="1" applyNumberFormat="1" applyFont="1" applyFill="1" applyBorder="1"/>
    <xf numFmtId="37" fontId="0" fillId="5" borderId="0" xfId="1" applyNumberFormat="1" applyFont="1" applyFill="1"/>
    <xf numFmtId="167" fontId="7" fillId="5" borderId="0" xfId="1" applyNumberFormat="1" applyFont="1" applyFill="1" applyBorder="1"/>
    <xf numFmtId="37" fontId="5" fillId="5" borderId="0" xfId="1" applyNumberFormat="1" applyFont="1" applyFill="1"/>
    <xf numFmtId="167" fontId="13" fillId="5" borderId="5" xfId="1" applyNumberFormat="1" applyFont="1" applyFill="1" applyBorder="1"/>
    <xf numFmtId="0" fontId="4" fillId="0" borderId="0" xfId="0" applyFont="1" applyAlignment="1">
      <alignment horizontal="right"/>
    </xf>
    <xf numFmtId="9" fontId="0" fillId="0" borderId="0" xfId="2" applyFont="1" applyFill="1"/>
    <xf numFmtId="9" fontId="0" fillId="0" borderId="5" xfId="2" applyFont="1" applyBorder="1"/>
    <xf numFmtId="0" fontId="30" fillId="0" borderId="0" xfId="0" applyFont="1"/>
    <xf numFmtId="167" fontId="0" fillId="0" borderId="0" xfId="0" applyNumberFormat="1" applyFill="1" applyBorder="1"/>
    <xf numFmtId="9" fontId="0" fillId="0" borderId="0" xfId="2" applyFont="1" applyFill="1" applyBorder="1"/>
    <xf numFmtId="9" fontId="0" fillId="0" borderId="5" xfId="2" applyFont="1" applyFill="1" applyBorder="1"/>
    <xf numFmtId="0" fontId="17" fillId="0" borderId="0" xfId="0" quotePrefix="1" applyFont="1"/>
    <xf numFmtId="0" fontId="17" fillId="0" borderId="0" xfId="0" applyFont="1"/>
    <xf numFmtId="3" fontId="24" fillId="0" borderId="2" xfId="1" applyNumberFormat="1" applyFont="1" applyFill="1" applyBorder="1"/>
    <xf numFmtId="0" fontId="18" fillId="0" borderId="0" xfId="0" applyFont="1" applyFill="1"/>
    <xf numFmtId="167" fontId="3" fillId="0" borderId="0" xfId="1" applyNumberFormat="1" applyFont="1"/>
    <xf numFmtId="3" fontId="0" fillId="2" borderId="1" xfId="0" applyNumberFormat="1" applyFill="1" applyBorder="1"/>
    <xf numFmtId="164" fontId="6" fillId="0" borderId="0" xfId="1" applyNumberFormat="1" applyFont="1" applyFill="1"/>
    <xf numFmtId="167" fontId="25" fillId="6" borderId="0" xfId="1" applyNumberFormat="1" applyFont="1" applyFill="1"/>
    <xf numFmtId="167" fontId="25" fillId="6" borderId="0" xfId="0" applyNumberFormat="1" applyFont="1" applyFill="1"/>
    <xf numFmtId="167" fontId="3" fillId="0" borderId="0" xfId="1" applyNumberFormat="1" applyFont="1" applyFill="1"/>
    <xf numFmtId="167" fontId="3" fillId="5" borderId="0" xfId="1" applyNumberFormat="1" applyFont="1" applyFill="1"/>
    <xf numFmtId="0" fontId="5" fillId="0" borderId="0" xfId="0" applyFont="1" applyFill="1"/>
    <xf numFmtId="0" fontId="0" fillId="7" borderId="0" xfId="0" applyFill="1"/>
    <xf numFmtId="0" fontId="3" fillId="7" borderId="0" xfId="0" applyFont="1" applyFill="1"/>
    <xf numFmtId="167" fontId="3" fillId="7" borderId="2" xfId="1" applyNumberFormat="1" applyFont="1" applyFill="1" applyBorder="1"/>
    <xf numFmtId="0" fontId="4" fillId="7" borderId="3" xfId="0" applyFont="1" applyFill="1" applyBorder="1" applyAlignment="1">
      <alignment horizontal="center"/>
    </xf>
    <xf numFmtId="0" fontId="39" fillId="0" borderId="0" xfId="0" applyFont="1"/>
    <xf numFmtId="0" fontId="40" fillId="2" borderId="0" xfId="0" applyFont="1" applyFill="1" applyAlignment="1">
      <alignment horizontal="center"/>
    </xf>
    <xf numFmtId="0" fontId="40" fillId="5" borderId="0" xfId="0" applyFont="1" applyFill="1" applyAlignment="1">
      <alignment horizontal="center"/>
    </xf>
    <xf numFmtId="0" fontId="5" fillId="2" borderId="0" xfId="0" applyFont="1" applyFill="1"/>
    <xf numFmtId="167" fontId="19" fillId="0" borderId="0" xfId="1" applyNumberFormat="1" applyFont="1" applyFill="1"/>
    <xf numFmtId="167" fontId="38" fillId="0" borderId="0" xfId="0" applyNumberFormat="1" applyFont="1" applyFill="1"/>
    <xf numFmtId="0" fontId="18" fillId="0" borderId="0" xfId="0" applyFont="1"/>
    <xf numFmtId="167" fontId="15" fillId="8" borderId="0" xfId="1" applyNumberFormat="1" applyFont="1" applyFill="1"/>
    <xf numFmtId="0" fontId="0" fillId="0" borderId="0" xfId="0" applyAlignment="1">
      <alignment wrapText="1"/>
    </xf>
    <xf numFmtId="165" fontId="5" fillId="0" borderId="2" xfId="2" applyNumberFormat="1" applyFont="1" applyFill="1" applyBorder="1"/>
    <xf numFmtId="0" fontId="5" fillId="7" borderId="0" xfId="0" applyFont="1" applyFill="1"/>
    <xf numFmtId="167" fontId="6" fillId="7" borderId="0" xfId="1" applyNumberFormat="1" applyFont="1" applyFill="1"/>
    <xf numFmtId="0" fontId="4" fillId="7" borderId="0" xfId="0" applyFont="1" applyFill="1" applyAlignment="1">
      <alignment horizontal="center"/>
    </xf>
    <xf numFmtId="167" fontId="5" fillId="0" borderId="0" xfId="0" applyNumberFormat="1" applyFont="1" applyFill="1"/>
    <xf numFmtId="0" fontId="40" fillId="7" borderId="0" xfId="0" applyFont="1" applyFill="1" applyAlignment="1">
      <alignment horizontal="center"/>
    </xf>
    <xf numFmtId="0" fontId="0" fillId="9" borderId="0" xfId="0" applyFill="1"/>
    <xf numFmtId="0" fontId="40" fillId="9" borderId="0" xfId="0" applyFont="1" applyFill="1" applyAlignment="1">
      <alignment horizontal="center"/>
    </xf>
    <xf numFmtId="0" fontId="17" fillId="9" borderId="3" xfId="0" applyFont="1" applyFill="1" applyBorder="1" applyAlignment="1">
      <alignment horizontal="center"/>
    </xf>
    <xf numFmtId="0" fontId="5" fillId="9" borderId="0" xfId="0" applyFont="1" applyFill="1"/>
    <xf numFmtId="0" fontId="3" fillId="9" borderId="0" xfId="0" applyFont="1" applyFill="1"/>
    <xf numFmtId="167" fontId="3" fillId="9" borderId="2" xfId="1" applyNumberFormat="1" applyFont="1" applyFill="1" applyBorder="1"/>
    <xf numFmtId="167" fontId="6" fillId="9" borderId="0" xfId="1" applyNumberFormat="1" applyFont="1" applyFill="1"/>
    <xf numFmtId="0" fontId="4" fillId="9" borderId="0" xfId="0" applyFont="1" applyFill="1" applyAlignment="1">
      <alignment horizontal="center"/>
    </xf>
    <xf numFmtId="167" fontId="4" fillId="0" borderId="5" xfId="1" applyNumberFormat="1" applyFont="1" applyFill="1" applyBorder="1"/>
    <xf numFmtId="0" fontId="3" fillId="0" borderId="0" xfId="0" applyFont="1"/>
    <xf numFmtId="170" fontId="5" fillId="0" borderId="0" xfId="1" applyNumberFormat="1" applyFont="1" applyFill="1"/>
    <xf numFmtId="170" fontId="6" fillId="0" borderId="4" xfId="1" applyNumberFormat="1" applyFont="1" applyFill="1" applyBorder="1"/>
    <xf numFmtId="17" fontId="4" fillId="0" borderId="0" xfId="0" quotePrefix="1" applyNumberFormat="1" applyFont="1" applyFill="1" applyAlignment="1">
      <alignment horizontal="right"/>
    </xf>
    <xf numFmtId="0" fontId="4" fillId="0" borderId="0" xfId="0" applyFont="1" applyFill="1" applyAlignment="1">
      <alignment horizontal="right"/>
    </xf>
    <xf numFmtId="0" fontId="40" fillId="10" borderId="0" xfId="0" applyFont="1" applyFill="1" applyAlignment="1">
      <alignment horizontal="center"/>
    </xf>
    <xf numFmtId="0" fontId="0" fillId="10" borderId="0" xfId="0" applyFill="1"/>
    <xf numFmtId="0" fontId="40" fillId="0" borderId="0" xfId="0" applyFont="1" applyFill="1" applyAlignment="1">
      <alignment horizontal="center"/>
    </xf>
    <xf numFmtId="170" fontId="6" fillId="0" borderId="0" xfId="1" applyNumberFormat="1" applyFont="1" applyFill="1"/>
    <xf numFmtId="169" fontId="5" fillId="0" borderId="2" xfId="1" applyNumberFormat="1" applyFont="1" applyFill="1" applyBorder="1"/>
    <xf numFmtId="0" fontId="4" fillId="10" borderId="3" xfId="0" applyFont="1" applyFill="1" applyBorder="1" applyAlignment="1">
      <alignment horizontal="center"/>
    </xf>
    <xf numFmtId="167" fontId="6" fillId="10" borderId="0" xfId="1" applyNumberFormat="1" applyFont="1" applyFill="1"/>
    <xf numFmtId="167" fontId="5" fillId="10" borderId="0" xfId="1" applyNumberFormat="1" applyFont="1" applyFill="1"/>
    <xf numFmtId="167" fontId="0" fillId="10" borderId="0" xfId="1" applyNumberFormat="1" applyFont="1" applyFill="1"/>
    <xf numFmtId="167" fontId="0" fillId="10" borderId="1" xfId="1" applyNumberFormat="1" applyFont="1" applyFill="1" applyBorder="1"/>
    <xf numFmtId="167" fontId="8" fillId="10" borderId="4" xfId="1" applyNumberFormat="1" applyFont="1" applyFill="1" applyBorder="1"/>
    <xf numFmtId="167" fontId="0" fillId="10" borderId="0" xfId="1" applyNumberFormat="1" applyFont="1" applyFill="1" applyAlignment="1">
      <alignment horizontal="right"/>
    </xf>
    <xf numFmtId="167" fontId="0" fillId="10" borderId="0" xfId="0" applyNumberFormat="1" applyFill="1"/>
    <xf numFmtId="167" fontId="0" fillId="10" borderId="1" xfId="1" applyNumberFormat="1" applyFont="1" applyFill="1" applyBorder="1" applyAlignment="1">
      <alignment horizontal="right"/>
    </xf>
    <xf numFmtId="167" fontId="8" fillId="10" borderId="8" xfId="0" applyNumberFormat="1" applyFont="1" applyFill="1" applyBorder="1"/>
    <xf numFmtId="0" fontId="0" fillId="10" borderId="1" xfId="0" applyFill="1" applyBorder="1"/>
    <xf numFmtId="167" fontId="8" fillId="10" borderId="0" xfId="1" applyNumberFormat="1" applyFont="1" applyFill="1"/>
    <xf numFmtId="167" fontId="8" fillId="10" borderId="0" xfId="1" applyNumberFormat="1" applyFont="1" applyFill="1" applyBorder="1"/>
    <xf numFmtId="167" fontId="8" fillId="10" borderId="4" xfId="0" applyNumberFormat="1" applyFont="1" applyFill="1" applyBorder="1"/>
    <xf numFmtId="167" fontId="0" fillId="10" borderId="1" xfId="0" applyNumberFormat="1" applyFill="1" applyBorder="1"/>
    <xf numFmtId="167" fontId="7" fillId="10" borderId="5" xfId="0" applyNumberFormat="1" applyFont="1" applyFill="1" applyBorder="1"/>
    <xf numFmtId="167" fontId="0" fillId="10" borderId="5" xfId="0" applyNumberFormat="1" applyFill="1" applyBorder="1"/>
    <xf numFmtId="167" fontId="4" fillId="10" borderId="5" xfId="0" applyNumberFormat="1" applyFont="1" applyFill="1" applyBorder="1"/>
    <xf numFmtId="167" fontId="33" fillId="0" borderId="0" xfId="1" applyNumberFormat="1" applyFont="1" applyFill="1"/>
    <xf numFmtId="167" fontId="6" fillId="10" borderId="4" xfId="1" applyNumberFormat="1" applyFont="1" applyFill="1" applyBorder="1"/>
    <xf numFmtId="166" fontId="0" fillId="10" borderId="0" xfId="1" applyNumberFormat="1" applyFont="1" applyFill="1"/>
    <xf numFmtId="167" fontId="7" fillId="10" borderId="4" xfId="0" applyNumberFormat="1" applyFont="1" applyFill="1" applyBorder="1"/>
    <xf numFmtId="167" fontId="41" fillId="0" borderId="0" xfId="0" applyNumberFormat="1" applyFont="1" applyFill="1"/>
    <xf numFmtId="167" fontId="3" fillId="0" borderId="0" xfId="0" applyNumberFormat="1" applyFont="1" applyFill="1"/>
    <xf numFmtId="167" fontId="7" fillId="10" borderId="5" xfId="1" applyNumberFormat="1" applyFont="1" applyFill="1" applyBorder="1"/>
    <xf numFmtId="167" fontId="0" fillId="10" borderId="0" xfId="1" applyNumberFormat="1" applyFont="1" applyFill="1" applyBorder="1"/>
    <xf numFmtId="3" fontId="0" fillId="10" borderId="1" xfId="0" applyNumberFormat="1" applyFill="1" applyBorder="1"/>
    <xf numFmtId="167" fontId="6" fillId="10" borderId="0" xfId="0" applyNumberFormat="1" applyFont="1" applyFill="1"/>
    <xf numFmtId="49" fontId="4" fillId="10" borderId="3" xfId="0" applyNumberFormat="1" applyFont="1" applyFill="1" applyBorder="1" applyAlignment="1">
      <alignment horizontal="center"/>
    </xf>
    <xf numFmtId="167" fontId="0" fillId="10" borderId="0" xfId="1" quotePrefix="1" applyNumberFormat="1" applyFont="1" applyFill="1"/>
    <xf numFmtId="170" fontId="0" fillId="10" borderId="0" xfId="0" applyNumberFormat="1" applyFill="1"/>
    <xf numFmtId="171" fontId="15" fillId="0" borderId="5" xfId="0" applyNumberFormat="1" applyFont="1" applyFill="1" applyBorder="1"/>
    <xf numFmtId="167" fontId="0" fillId="10" borderId="0" xfId="1" applyNumberFormat="1" applyFont="1" applyFill="1" applyBorder="1" applyAlignment="1">
      <alignment horizontal="right"/>
    </xf>
    <xf numFmtId="167" fontId="7" fillId="10" borderId="4" xfId="1" applyNumberFormat="1" applyFont="1" applyFill="1" applyBorder="1"/>
    <xf numFmtId="167" fontId="5" fillId="10" borderId="1" xfId="1" applyNumberFormat="1" applyFont="1" applyFill="1" applyBorder="1"/>
    <xf numFmtId="167" fontId="0" fillId="10" borderId="5" xfId="1" applyNumberFormat="1" applyFont="1" applyFill="1" applyBorder="1"/>
    <xf numFmtId="37" fontId="0" fillId="10" borderId="0" xfId="1" applyNumberFormat="1" applyFont="1" applyFill="1"/>
    <xf numFmtId="167" fontId="7" fillId="10" borderId="0" xfId="1" applyNumberFormat="1" applyFont="1" applyFill="1" applyBorder="1"/>
    <xf numFmtId="167" fontId="13" fillId="10" borderId="5" xfId="1" applyNumberFormat="1" applyFont="1" applyFill="1" applyBorder="1"/>
    <xf numFmtId="167" fontId="15" fillId="0" borderId="0" xfId="1" applyNumberFormat="1" applyFont="1" applyFill="1"/>
    <xf numFmtId="167" fontId="4" fillId="0" borderId="0" xfId="0" applyNumberFormat="1" applyFont="1" applyFill="1"/>
    <xf numFmtId="0" fontId="43" fillId="7" borderId="0" xfId="0" applyFont="1" applyFill="1"/>
    <xf numFmtId="0" fontId="43" fillId="9" borderId="0" xfId="0" applyFont="1" applyFill="1"/>
    <xf numFmtId="167" fontId="46" fillId="10" borderId="0" xfId="0" applyNumberFormat="1" applyFont="1" applyFill="1"/>
    <xf numFmtId="167" fontId="46" fillId="2" borderId="0" xfId="0" applyNumberFormat="1" applyFont="1" applyFill="1"/>
    <xf numFmtId="167" fontId="46" fillId="5" borderId="0" xfId="0" applyNumberFormat="1" applyFont="1" applyFill="1"/>
    <xf numFmtId="167" fontId="46" fillId="0" borderId="0" xfId="0" applyNumberFormat="1" applyFont="1" applyFill="1"/>
    <xf numFmtId="0" fontId="45" fillId="0" borderId="0" xfId="0" applyFont="1"/>
    <xf numFmtId="0" fontId="0" fillId="12" borderId="0" xfId="0" applyFill="1"/>
    <xf numFmtId="167" fontId="0" fillId="12" borderId="0" xfId="0" applyNumberFormat="1" applyFill="1"/>
    <xf numFmtId="0" fontId="3" fillId="0" borderId="0" xfId="0" applyFont="1" applyAlignment="1">
      <alignment horizontal="center"/>
    </xf>
    <xf numFmtId="167" fontId="45" fillId="0" borderId="0" xfId="1" applyNumberFormat="1" applyFont="1"/>
    <xf numFmtId="167" fontId="45" fillId="2" borderId="0" xfId="1" applyNumberFormat="1" applyFont="1" applyFill="1"/>
    <xf numFmtId="0" fontId="45" fillId="2" borderId="0" xfId="0" applyFont="1" applyFill="1"/>
    <xf numFmtId="167" fontId="45" fillId="2" borderId="0" xfId="0" applyNumberFormat="1" applyFont="1" applyFill="1"/>
    <xf numFmtId="167" fontId="0" fillId="13" borderId="0" xfId="1" applyNumberFormat="1" applyFont="1" applyFill="1"/>
    <xf numFmtId="0" fontId="0" fillId="13" borderId="0" xfId="0" applyFill="1"/>
    <xf numFmtId="167" fontId="0" fillId="13" borderId="0" xfId="0" applyNumberFormat="1" applyFill="1"/>
    <xf numFmtId="167" fontId="41" fillId="13" borderId="0" xfId="0" applyNumberFormat="1" applyFont="1" applyFill="1"/>
    <xf numFmtId="167" fontId="19" fillId="13" borderId="0" xfId="1" applyNumberFormat="1" applyFont="1" applyFill="1" applyAlignment="1">
      <alignment horizontal="right"/>
    </xf>
    <xf numFmtId="165" fontId="3" fillId="0" borderId="0" xfId="2" applyNumberFormat="1" applyFont="1"/>
    <xf numFmtId="167" fontId="48" fillId="2" borderId="0" xfId="0" applyNumberFormat="1" applyFont="1" applyFill="1"/>
    <xf numFmtId="167" fontId="3" fillId="2" borderId="0" xfId="0" applyNumberFormat="1" applyFont="1" applyFill="1"/>
    <xf numFmtId="167" fontId="38" fillId="13" borderId="0" xfId="0" applyNumberFormat="1" applyFont="1" applyFill="1"/>
    <xf numFmtId="165" fontId="38" fillId="0" borderId="1" xfId="2" applyNumberFormat="1" applyFont="1" applyFill="1" applyBorder="1"/>
    <xf numFmtId="167" fontId="42" fillId="2" borderId="0" xfId="0" applyNumberFormat="1" applyFont="1" applyFill="1"/>
    <xf numFmtId="167" fontId="42" fillId="5" borderId="0" xfId="0" applyNumberFormat="1" applyFont="1" applyFill="1"/>
    <xf numFmtId="167" fontId="42" fillId="0" borderId="0" xfId="0" applyNumberFormat="1" applyFont="1" applyFill="1"/>
    <xf numFmtId="167" fontId="4" fillId="0" borderId="10" xfId="1" applyNumberFormat="1" applyFont="1" applyFill="1" applyBorder="1"/>
    <xf numFmtId="167" fontId="4" fillId="0" borderId="20" xfId="0" applyNumberFormat="1" applyFont="1" applyFill="1" applyBorder="1"/>
    <xf numFmtId="167" fontId="4" fillId="0" borderId="4" xfId="0" applyNumberFormat="1" applyFont="1" applyFill="1" applyBorder="1"/>
    <xf numFmtId="167" fontId="4" fillId="0" borderId="9" xfId="0" applyNumberFormat="1" applyFont="1" applyFill="1" applyBorder="1"/>
    <xf numFmtId="1" fontId="4" fillId="0" borderId="0" xfId="44" applyNumberFormat="1" applyFont="1" applyAlignment="1">
      <alignment horizontal="left"/>
    </xf>
    <xf numFmtId="3" fontId="3" fillId="10" borderId="0" xfId="44" applyNumberFormat="1" applyFill="1"/>
    <xf numFmtId="167" fontId="31" fillId="0" borderId="0" xfId="1" applyNumberFormat="1" applyFont="1" applyFill="1"/>
    <xf numFmtId="3" fontId="3" fillId="0" borderId="0" xfId="44" applyNumberFormat="1" applyFill="1"/>
    <xf numFmtId="3" fontId="3" fillId="0" borderId="0" xfId="44" applyNumberFormat="1"/>
    <xf numFmtId="172" fontId="3" fillId="0" borderId="0" xfId="44" applyNumberFormat="1"/>
    <xf numFmtId="167" fontId="35" fillId="0" borderId="0" xfId="1" applyNumberFormat="1" applyFont="1" applyFill="1"/>
    <xf numFmtId="3" fontId="4" fillId="10" borderId="0" xfId="44" applyNumberFormat="1" applyFont="1" applyFill="1" applyAlignment="1">
      <alignment horizontal="center"/>
    </xf>
    <xf numFmtId="1" fontId="3" fillId="0" borderId="0" xfId="44" applyNumberFormat="1" applyFont="1" applyAlignment="1">
      <alignment horizontal="left"/>
    </xf>
    <xf numFmtId="3" fontId="3" fillId="0" borderId="0" xfId="44" applyNumberFormat="1" applyFont="1" applyFill="1"/>
    <xf numFmtId="1" fontId="50" fillId="0" borderId="1" xfId="44" applyNumberFormat="1" applyFont="1" applyBorder="1" applyAlignment="1">
      <alignment horizontal="center"/>
    </xf>
    <xf numFmtId="3" fontId="4" fillId="0" borderId="0" xfId="44" applyNumberFormat="1" applyFont="1" applyFill="1" applyAlignment="1">
      <alignment horizontal="center"/>
    </xf>
    <xf numFmtId="3" fontId="67" fillId="10" borderId="0" xfId="44" applyNumberFormat="1" applyFont="1" applyFill="1"/>
    <xf numFmtId="172" fontId="3" fillId="0" borderId="0" xfId="44" applyNumberFormat="1" applyFont="1" applyFill="1"/>
    <xf numFmtId="1" fontId="4" fillId="10" borderId="1" xfId="44" applyNumberFormat="1" applyFont="1" applyFill="1" applyBorder="1" applyAlignment="1">
      <alignment horizontal="center"/>
    </xf>
    <xf numFmtId="3" fontId="4" fillId="0" borderId="0" xfId="44" applyNumberFormat="1" applyFont="1" applyAlignment="1">
      <alignment horizontal="center"/>
    </xf>
    <xf numFmtId="3" fontId="45" fillId="10" borderId="0" xfId="44" applyNumberFormat="1" applyFont="1" applyFill="1"/>
    <xf numFmtId="1" fontId="3" fillId="0" borderId="0" xfId="44" applyNumberFormat="1" applyFill="1" applyAlignment="1">
      <alignment horizontal="left"/>
    </xf>
    <xf numFmtId="1" fontId="4" fillId="0" borderId="1" xfId="44" applyNumberFormat="1" applyFont="1" applyFill="1" applyBorder="1" applyAlignment="1">
      <alignment horizontal="center"/>
    </xf>
    <xf numFmtId="172" fontId="4" fillId="0" borderId="0" xfId="44" applyNumberFormat="1" applyFont="1" applyAlignment="1">
      <alignment horizontal="center"/>
    </xf>
    <xf numFmtId="172" fontId="3" fillId="10" borderId="0" xfId="44" applyNumberFormat="1" applyFill="1"/>
    <xf numFmtId="172" fontId="3" fillId="0" borderId="0" xfId="44" applyNumberFormat="1" applyFont="1"/>
    <xf numFmtId="173" fontId="4" fillId="0" borderId="1" xfId="44" applyNumberFormat="1" applyFont="1" applyBorder="1" applyAlignment="1">
      <alignment horizontal="center"/>
    </xf>
    <xf numFmtId="1" fontId="4" fillId="0" borderId="0" xfId="44" applyNumberFormat="1" applyFont="1" applyAlignment="1">
      <alignment horizontal="center"/>
    </xf>
    <xf numFmtId="172" fontId="3" fillId="14" borderId="0" xfId="44" applyNumberFormat="1" applyFill="1"/>
    <xf numFmtId="172" fontId="3" fillId="0" borderId="0" xfId="44" applyNumberFormat="1" applyFill="1"/>
    <xf numFmtId="172" fontId="4" fillId="0" borderId="1" xfId="44" applyNumberFormat="1" applyFont="1" applyBorder="1" applyAlignment="1">
      <alignment horizontal="center"/>
    </xf>
    <xf numFmtId="1" fontId="3" fillId="0" borderId="0" xfId="44" applyNumberFormat="1" applyAlignment="1">
      <alignment horizontal="left"/>
    </xf>
    <xf numFmtId="1" fontId="3" fillId="10" borderId="0" xfId="44" applyNumberFormat="1" applyFill="1" applyAlignment="1">
      <alignment horizontal="left"/>
    </xf>
    <xf numFmtId="1" fontId="4" fillId="0" borderId="1" xfId="44" applyNumberFormat="1" applyFont="1" applyBorder="1" applyAlignment="1">
      <alignment horizontal="center"/>
    </xf>
    <xf numFmtId="0" fontId="68" fillId="0" borderId="0" xfId="46"/>
    <xf numFmtId="0" fontId="69" fillId="0" borderId="0" xfId="46" applyFont="1"/>
    <xf numFmtId="0" fontId="69" fillId="0" borderId="0" xfId="46" applyFont="1" applyAlignment="1">
      <alignment horizontal="center"/>
    </xf>
    <xf numFmtId="0" fontId="68" fillId="0" borderId="0" xfId="46" quotePrefix="1" applyAlignment="1"/>
    <xf numFmtId="0" fontId="68" fillId="0" borderId="0" xfId="46" applyAlignment="1"/>
    <xf numFmtId="0" fontId="68" fillId="0" borderId="0" xfId="46" applyFill="1"/>
    <xf numFmtId="167" fontId="68" fillId="0" borderId="0" xfId="47" applyNumberFormat="1" applyFont="1" applyFill="1"/>
    <xf numFmtId="16" fontId="68" fillId="0" borderId="0" xfId="46" applyNumberFormat="1"/>
    <xf numFmtId="167" fontId="68" fillId="0" borderId="0" xfId="47" applyNumberFormat="1" applyFont="1"/>
    <xf numFmtId="0" fontId="68" fillId="0" borderId="0" xfId="46" applyAlignment="1">
      <alignment horizontal="center"/>
    </xf>
    <xf numFmtId="167" fontId="68" fillId="0" borderId="1" xfId="47" applyNumberFormat="1" applyFont="1" applyFill="1" applyBorder="1"/>
    <xf numFmtId="10" fontId="68" fillId="0" borderId="0" xfId="2" applyNumberFormat="1" applyFont="1" applyFill="1"/>
    <xf numFmtId="167" fontId="68" fillId="0" borderId="0" xfId="47" applyNumberFormat="1" applyFont="1" applyAlignment="1">
      <alignment horizontal="center"/>
    </xf>
    <xf numFmtId="0" fontId="17" fillId="0" borderId="0" xfId="0" quotePrefix="1" applyFont="1" applyFill="1"/>
    <xf numFmtId="0" fontId="3" fillId="0" borderId="0" xfId="0" applyFont="1" applyFill="1" applyAlignment="1"/>
    <xf numFmtId="0" fontId="0" fillId="0" borderId="0" xfId="0" applyFill="1" applyAlignment="1"/>
    <xf numFmtId="0" fontId="3" fillId="46" borderId="0" xfId="0" applyFont="1" applyFill="1"/>
    <xf numFmtId="0" fontId="40" fillId="46" borderId="0" xfId="0" applyFont="1" applyFill="1" applyAlignment="1">
      <alignment horizontal="center"/>
    </xf>
    <xf numFmtId="0" fontId="23" fillId="46" borderId="3" xfId="0" applyFont="1" applyFill="1" applyBorder="1" applyAlignment="1">
      <alignment horizontal="center"/>
    </xf>
    <xf numFmtId="0" fontId="24" fillId="46" borderId="0" xfId="0" applyFont="1" applyFill="1"/>
    <xf numFmtId="0" fontId="0" fillId="46" borderId="0" xfId="0" applyFill="1"/>
    <xf numFmtId="165" fontId="45" fillId="0" borderId="9" xfId="2" applyNumberFormat="1" applyFont="1" applyFill="1" applyBorder="1"/>
    <xf numFmtId="0" fontId="45" fillId="0" borderId="0" xfId="0" applyFont="1" applyFill="1"/>
    <xf numFmtId="167" fontId="45" fillId="0" borderId="2" xfId="1" applyNumberFormat="1" applyFont="1" applyFill="1" applyBorder="1"/>
    <xf numFmtId="167" fontId="45" fillId="0" borderId="9" xfId="1" applyNumberFormat="1" applyFont="1" applyFill="1" applyBorder="1"/>
    <xf numFmtId="3" fontId="45" fillId="0" borderId="2" xfId="0" applyNumberFormat="1" applyFont="1" applyFill="1" applyBorder="1"/>
    <xf numFmtId="167" fontId="49" fillId="0" borderId="0" xfId="1" applyNumberFormat="1" applyFont="1" applyFill="1"/>
    <xf numFmtId="167" fontId="45" fillId="0" borderId="0" xfId="1" applyNumberFormat="1" applyFont="1" applyFill="1"/>
    <xf numFmtId="169" fontId="49" fillId="0" borderId="2" xfId="1" applyNumberFormat="1" applyFont="1" applyFill="1" applyBorder="1"/>
    <xf numFmtId="0" fontId="50" fillId="0" borderId="0" xfId="0" applyFont="1" applyFill="1" applyAlignment="1">
      <alignment horizontal="center"/>
    </xf>
    <xf numFmtId="0" fontId="43" fillId="46" borderId="0" xfId="0" applyFont="1" applyFill="1"/>
    <xf numFmtId="0" fontId="4" fillId="46" borderId="3" xfId="0" applyFont="1" applyFill="1" applyBorder="1" applyAlignment="1">
      <alignment horizontal="center"/>
    </xf>
    <xf numFmtId="0" fontId="5" fillId="46" borderId="0" xfId="0" applyFont="1" applyFill="1"/>
    <xf numFmtId="167" fontId="3" fillId="46" borderId="2" xfId="1" applyNumberFormat="1" applyFont="1" applyFill="1" applyBorder="1"/>
    <xf numFmtId="167" fontId="6" fillId="46" borderId="0" xfId="1" applyNumberFormat="1" applyFont="1" applyFill="1"/>
    <xf numFmtId="0" fontId="4" fillId="46" borderId="0" xfId="0" applyFont="1" applyFill="1" applyAlignment="1">
      <alignment horizontal="center"/>
    </xf>
    <xf numFmtId="0" fontId="44" fillId="0" borderId="0" xfId="0" applyFont="1" applyFill="1"/>
    <xf numFmtId="167" fontId="0" fillId="46" borderId="0" xfId="1" applyNumberFormat="1" applyFont="1" applyFill="1"/>
    <xf numFmtId="167" fontId="0" fillId="46" borderId="1" xfId="1" applyNumberFormat="1" applyFont="1" applyFill="1" applyBorder="1"/>
    <xf numFmtId="165" fontId="0" fillId="46" borderId="1" xfId="2" applyNumberFormat="1" applyFont="1" applyFill="1" applyBorder="1"/>
    <xf numFmtId="167" fontId="8" fillId="46" borderId="4" xfId="1" applyNumberFormat="1" applyFont="1" applyFill="1" applyBorder="1"/>
    <xf numFmtId="167" fontId="0" fillId="46" borderId="0" xfId="1" applyNumberFormat="1" applyFont="1" applyFill="1" applyAlignment="1">
      <alignment horizontal="right"/>
    </xf>
    <xf numFmtId="167" fontId="0" fillId="46" borderId="0" xfId="0" applyNumberFormat="1" applyFill="1"/>
    <xf numFmtId="167" fontId="0" fillId="46" borderId="1" xfId="1" applyNumberFormat="1" applyFont="1" applyFill="1" applyBorder="1" applyAlignment="1">
      <alignment horizontal="right"/>
    </xf>
    <xf numFmtId="167" fontId="15" fillId="46" borderId="5" xfId="0" applyNumberFormat="1" applyFont="1" applyFill="1" applyBorder="1"/>
    <xf numFmtId="0" fontId="0" fillId="47" borderId="0" xfId="0" applyFill="1"/>
    <xf numFmtId="0" fontId="40" fillId="47" borderId="0" xfId="0" applyFont="1" applyFill="1" applyAlignment="1">
      <alignment horizontal="center"/>
    </xf>
    <xf numFmtId="0" fontId="4" fillId="47" borderId="3" xfId="0" applyFont="1" applyFill="1" applyBorder="1" applyAlignment="1">
      <alignment horizontal="center"/>
    </xf>
    <xf numFmtId="167" fontId="0" fillId="47" borderId="0" xfId="1" applyNumberFormat="1" applyFont="1" applyFill="1"/>
    <xf numFmtId="167" fontId="0" fillId="47" borderId="1" xfId="1" applyNumberFormat="1" applyFont="1" applyFill="1" applyBorder="1"/>
    <xf numFmtId="167" fontId="6" fillId="47" borderId="0" xfId="1" applyNumberFormat="1" applyFont="1" applyFill="1"/>
    <xf numFmtId="165" fontId="0" fillId="47" borderId="1" xfId="2" applyNumberFormat="1" applyFont="1" applyFill="1" applyBorder="1"/>
    <xf numFmtId="167" fontId="8" fillId="47" borderId="4" xfId="1" applyNumberFormat="1" applyFont="1" applyFill="1" applyBorder="1"/>
    <xf numFmtId="167" fontId="8" fillId="0" borderId="0" xfId="1" applyNumberFormat="1" applyFont="1" applyFill="1"/>
    <xf numFmtId="167" fontId="72" fillId="2" borderId="0" xfId="0" applyNumberFormat="1" applyFont="1" applyFill="1"/>
    <xf numFmtId="0" fontId="0" fillId="14" borderId="0" xfId="0" applyFill="1"/>
    <xf numFmtId="167" fontId="0" fillId="14" borderId="0" xfId="0" applyNumberFormat="1" applyFill="1"/>
    <xf numFmtId="167" fontId="48" fillId="14" borderId="0" xfId="0" applyNumberFormat="1" applyFont="1" applyFill="1"/>
    <xf numFmtId="1" fontId="0" fillId="0" borderId="0" xfId="0" applyNumberFormat="1" applyFill="1"/>
    <xf numFmtId="1" fontId="48" fillId="0" borderId="0" xfId="0" applyNumberFormat="1" applyFont="1" applyFill="1"/>
    <xf numFmtId="167" fontId="45" fillId="0" borderId="0" xfId="1" applyNumberFormat="1" applyFont="1" applyBorder="1"/>
    <xf numFmtId="0" fontId="4" fillId="12" borderId="3" xfId="0" applyFont="1" applyFill="1" applyBorder="1" applyAlignment="1">
      <alignment horizontal="center"/>
    </xf>
    <xf numFmtId="167" fontId="0" fillId="12" borderId="0" xfId="1" applyNumberFormat="1" applyFont="1" applyFill="1"/>
    <xf numFmtId="167" fontId="0" fillId="12" borderId="1" xfId="1" applyNumberFormat="1" applyFont="1" applyFill="1" applyBorder="1"/>
    <xf numFmtId="167" fontId="6" fillId="12" borderId="4" xfId="1" applyNumberFormat="1" applyFont="1" applyFill="1" applyBorder="1"/>
    <xf numFmtId="167" fontId="4" fillId="12" borderId="3" xfId="1" applyNumberFormat="1" applyFont="1" applyFill="1" applyBorder="1" applyAlignment="1">
      <alignment horizontal="center"/>
    </xf>
    <xf numFmtId="167" fontId="6" fillId="12" borderId="0" xfId="1" applyNumberFormat="1" applyFont="1" applyFill="1" applyBorder="1"/>
    <xf numFmtId="167" fontId="0" fillId="12" borderId="1" xfId="1" applyNumberFormat="1" applyFont="1" applyFill="1" applyBorder="1" applyAlignment="1">
      <alignment horizontal="right"/>
    </xf>
    <xf numFmtId="167" fontId="5" fillId="12" borderId="0" xfId="1" applyNumberFormat="1" applyFont="1" applyFill="1"/>
    <xf numFmtId="3" fontId="7" fillId="12" borderId="0" xfId="0" applyNumberFormat="1" applyFont="1" applyFill="1"/>
    <xf numFmtId="3" fontId="0" fillId="12" borderId="0" xfId="0" applyNumberFormat="1" applyFill="1"/>
    <xf numFmtId="167" fontId="7" fillId="12" borderId="0" xfId="0" applyNumberFormat="1" applyFont="1" applyFill="1"/>
    <xf numFmtId="167" fontId="3" fillId="47" borderId="0" xfId="1" applyNumberFormat="1" applyFont="1" applyFill="1"/>
    <xf numFmtId="167" fontId="4" fillId="47" borderId="3" xfId="1" applyNumberFormat="1" applyFont="1" applyFill="1" applyBorder="1" applyAlignment="1">
      <alignment horizontal="center"/>
    </xf>
    <xf numFmtId="167" fontId="6" fillId="47" borderId="0" xfId="1" applyNumberFormat="1" applyFont="1" applyFill="1" applyBorder="1"/>
    <xf numFmtId="167" fontId="7" fillId="47" borderId="0" xfId="0" applyNumberFormat="1" applyFont="1" applyFill="1"/>
    <xf numFmtId="170" fontId="0" fillId="0" borderId="0" xfId="0" applyNumberFormat="1" applyFill="1"/>
    <xf numFmtId="0" fontId="72" fillId="46" borderId="0" xfId="0" applyFont="1" applyFill="1"/>
    <xf numFmtId="0" fontId="72" fillId="2" borderId="0" xfId="0" applyFont="1" applyFill="1"/>
    <xf numFmtId="0" fontId="72" fillId="5" borderId="0" xfId="0" applyFont="1" applyFill="1"/>
    <xf numFmtId="167" fontId="73" fillId="46" borderId="0" xfId="1" applyNumberFormat="1" applyFont="1" applyFill="1"/>
    <xf numFmtId="167" fontId="72" fillId="46" borderId="0" xfId="1" applyNumberFormat="1" applyFont="1" applyFill="1"/>
    <xf numFmtId="165" fontId="3" fillId="46" borderId="9" xfId="2" applyNumberFormat="1" applyFont="1" applyFill="1" applyBorder="1"/>
    <xf numFmtId="165" fontId="3" fillId="2" borderId="9" xfId="2" applyNumberFormat="1" applyFont="1" applyFill="1" applyBorder="1"/>
    <xf numFmtId="165" fontId="3" fillId="5" borderId="9" xfId="2" applyNumberFormat="1" applyFont="1" applyFill="1" applyBorder="1"/>
    <xf numFmtId="167" fontId="3" fillId="2" borderId="2" xfId="1" applyNumberFormat="1" applyFont="1" applyFill="1" applyBorder="1"/>
    <xf numFmtId="167" fontId="3" fillId="5" borderId="2" xfId="1" applyNumberFormat="1" applyFont="1" applyFill="1" applyBorder="1"/>
    <xf numFmtId="3" fontId="3" fillId="46" borderId="0" xfId="0" applyNumberFormat="1" applyFont="1" applyFill="1"/>
    <xf numFmtId="167" fontId="3" fillId="46" borderId="9" xfId="1" applyNumberFormat="1" applyFont="1" applyFill="1" applyBorder="1"/>
    <xf numFmtId="167" fontId="3" fillId="2" borderId="9" xfId="1" applyNumberFormat="1" applyFont="1" applyFill="1" applyBorder="1"/>
    <xf numFmtId="167" fontId="3" fillId="5" borderId="9" xfId="1" applyNumberFormat="1" applyFont="1" applyFill="1" applyBorder="1"/>
    <xf numFmtId="167" fontId="3" fillId="46" borderId="0" xfId="1" applyNumberFormat="1" applyFont="1" applyFill="1"/>
    <xf numFmtId="169" fontId="6" fillId="46" borderId="2" xfId="1" applyNumberFormat="1" applyFont="1" applyFill="1" applyBorder="1"/>
    <xf numFmtId="169" fontId="6" fillId="2" borderId="2" xfId="1" applyNumberFormat="1" applyFont="1" applyFill="1" applyBorder="1"/>
    <xf numFmtId="169" fontId="6" fillId="5" borderId="2" xfId="1" applyNumberFormat="1" applyFont="1" applyFill="1" applyBorder="1"/>
    <xf numFmtId="0" fontId="4" fillId="2" borderId="0" xfId="0" applyFont="1" applyFill="1" applyAlignment="1">
      <alignment horizontal="center"/>
    </xf>
    <xf numFmtId="0" fontId="4" fillId="5" borderId="0" xfId="0" applyFont="1" applyFill="1" applyAlignment="1">
      <alignment horizontal="center"/>
    </xf>
    <xf numFmtId="167" fontId="6" fillId="46" borderId="0" xfId="0" applyNumberFormat="1" applyFont="1" applyFill="1"/>
    <xf numFmtId="0" fontId="72" fillId="7" borderId="0" xfId="0" applyFont="1" applyFill="1"/>
    <xf numFmtId="0" fontId="72" fillId="9" borderId="0" xfId="0" applyFont="1" applyFill="1"/>
    <xf numFmtId="169" fontId="3" fillId="46" borderId="2" xfId="1" applyNumberFormat="1" applyFont="1" applyFill="1" applyBorder="1"/>
    <xf numFmtId="169" fontId="3" fillId="11" borderId="2" xfId="1" applyNumberFormat="1" applyFont="1" applyFill="1" applyBorder="1"/>
    <xf numFmtId="165" fontId="3" fillId="46" borderId="2" xfId="2" applyNumberFormat="1" applyFont="1" applyFill="1" applyBorder="1"/>
    <xf numFmtId="165" fontId="3" fillId="11" borderId="2" xfId="2" applyNumberFormat="1" applyFont="1" applyFill="1" applyBorder="1"/>
    <xf numFmtId="167" fontId="3" fillId="7" borderId="0" xfId="1" applyNumberFormat="1" applyFont="1" applyFill="1"/>
    <xf numFmtId="167" fontId="3" fillId="9" borderId="0" xfId="1" applyNumberFormat="1" applyFont="1" applyFill="1"/>
    <xf numFmtId="3" fontId="3" fillId="48" borderId="0" xfId="44" applyNumberFormat="1" applyFill="1"/>
    <xf numFmtId="3" fontId="4" fillId="48" borderId="0" xfId="44" applyNumberFormat="1" applyFont="1" applyFill="1" applyAlignment="1">
      <alignment horizontal="center"/>
    </xf>
    <xf numFmtId="1" fontId="4" fillId="48" borderId="1" xfId="44" applyNumberFormat="1" applyFont="1" applyFill="1" applyBorder="1" applyAlignment="1">
      <alignment horizontal="center"/>
    </xf>
    <xf numFmtId="3" fontId="45" fillId="48" borderId="0" xfId="44" applyNumberFormat="1" applyFont="1" applyFill="1"/>
    <xf numFmtId="1" fontId="3" fillId="48" borderId="0" xfId="44" applyNumberFormat="1" applyFill="1" applyAlignment="1">
      <alignment horizontal="left"/>
    </xf>
    <xf numFmtId="172" fontId="3" fillId="48" borderId="0" xfId="44" applyNumberFormat="1" applyFill="1"/>
    <xf numFmtId="3" fontId="74" fillId="48" borderId="0" xfId="44" applyNumberFormat="1" applyFont="1" applyFill="1"/>
    <xf numFmtId="172" fontId="4" fillId="0" borderId="0" xfId="44" applyNumberFormat="1" applyFont="1"/>
    <xf numFmtId="174" fontId="68" fillId="0" borderId="0" xfId="47" applyNumberFormat="1" applyFont="1" applyFill="1"/>
    <xf numFmtId="167" fontId="69" fillId="0" borderId="0" xfId="47" applyNumberFormat="1" applyFont="1" applyFill="1"/>
    <xf numFmtId="43" fontId="68" fillId="0" borderId="0" xfId="46" applyNumberFormat="1"/>
    <xf numFmtId="167" fontId="15" fillId="49" borderId="0" xfId="1" applyNumberFormat="1" applyFont="1" applyFill="1"/>
    <xf numFmtId="167" fontId="4" fillId="50" borderId="0" xfId="0" applyNumberFormat="1" applyFont="1" applyFill="1"/>
    <xf numFmtId="167" fontId="4" fillId="0" borderId="0" xfId="0" applyNumberFormat="1" applyFont="1" applyFill="1" applyBorder="1"/>
    <xf numFmtId="167" fontId="35" fillId="0" borderId="0" xfId="1" applyNumberFormat="1" applyFont="1" applyFill="1" applyBorder="1"/>
    <xf numFmtId="167" fontId="4" fillId="0" borderId="0" xfId="1" applyNumberFormat="1" applyFont="1" applyFill="1" applyBorder="1"/>
    <xf numFmtId="167" fontId="31" fillId="0" borderId="0" xfId="1" applyNumberFormat="1" applyFont="1" applyFill="1" applyBorder="1"/>
    <xf numFmtId="43" fontId="0" fillId="0" borderId="0" xfId="1" applyNumberFormat="1" applyFont="1"/>
    <xf numFmtId="43" fontId="0" fillId="0" borderId="0" xfId="1" applyNumberFormat="1" applyFont="1" applyFill="1"/>
    <xf numFmtId="0" fontId="3" fillId="0" borderId="0" xfId="44"/>
    <xf numFmtId="0" fontId="4" fillId="0" borderId="0" xfId="44" applyFont="1"/>
    <xf numFmtId="0" fontId="3" fillId="0" borderId="0" xfId="44" applyFill="1"/>
    <xf numFmtId="0" fontId="3" fillId="0" borderId="0" xfId="44" applyFill="1" applyBorder="1"/>
    <xf numFmtId="0" fontId="3" fillId="0" borderId="0" xfId="44" applyBorder="1"/>
    <xf numFmtId="0" fontId="75" fillId="0" borderId="0" xfId="44" quotePrefix="1" applyFont="1"/>
    <xf numFmtId="0" fontId="4" fillId="0" borderId="0" xfId="44" quotePrefix="1" applyFont="1"/>
    <xf numFmtId="0" fontId="3" fillId="0" borderId="21" xfId="44" applyBorder="1"/>
    <xf numFmtId="0" fontId="3" fillId="0" borderId="22" xfId="44" applyBorder="1" applyAlignment="1">
      <alignment horizontal="center"/>
    </xf>
    <xf numFmtId="0" fontId="4" fillId="0" borderId="23" xfId="44" applyFont="1" applyBorder="1" applyAlignment="1">
      <alignment horizontal="center"/>
    </xf>
    <xf numFmtId="0" fontId="4" fillId="0" borderId="23" xfId="44" applyFont="1" applyFill="1" applyBorder="1" applyAlignment="1">
      <alignment horizontal="center"/>
    </xf>
    <xf numFmtId="0" fontId="3" fillId="0" borderId="24" xfId="44" applyFill="1" applyBorder="1"/>
    <xf numFmtId="0" fontId="3" fillId="0" borderId="25" xfId="44" applyBorder="1"/>
    <xf numFmtId="0" fontId="3" fillId="0" borderId="0" xfId="44" applyBorder="1" applyAlignment="1">
      <alignment horizontal="center"/>
    </xf>
    <xf numFmtId="0" fontId="3" fillId="0" borderId="0" xfId="44" applyFill="1" applyBorder="1" applyAlignment="1">
      <alignment horizontal="center"/>
    </xf>
    <xf numFmtId="0" fontId="4" fillId="0" borderId="0" xfId="44" applyFont="1" applyBorder="1" applyAlignment="1">
      <alignment horizontal="center"/>
    </xf>
    <xf numFmtId="0" fontId="17" fillId="0" borderId="0" xfId="44" applyFont="1" applyBorder="1" applyAlignment="1">
      <alignment horizontal="center"/>
    </xf>
    <xf numFmtId="0" fontId="77" fillId="0" borderId="0" xfId="44" applyFont="1" applyFill="1" applyBorder="1" applyAlignment="1">
      <alignment horizontal="center"/>
    </xf>
    <xf numFmtId="0" fontId="75" fillId="0" borderId="0" xfId="44" applyFont="1" applyFill="1" applyBorder="1" applyAlignment="1">
      <alignment horizontal="center"/>
    </xf>
    <xf numFmtId="0" fontId="3" fillId="0" borderId="26" xfId="44" applyFill="1" applyBorder="1"/>
    <xf numFmtId="0" fontId="78" fillId="0" borderId="21" xfId="44" applyFont="1" applyBorder="1"/>
    <xf numFmtId="0" fontId="78" fillId="0" borderId="22" xfId="44" applyFont="1" applyFill="1" applyBorder="1"/>
    <xf numFmtId="0" fontId="78" fillId="0" borderId="22" xfId="44" applyFont="1" applyBorder="1"/>
    <xf numFmtId="0" fontId="3" fillId="0" borderId="22" xfId="44" applyBorder="1"/>
    <xf numFmtId="0" fontId="3" fillId="0" borderId="22" xfId="44" applyFill="1" applyBorder="1"/>
    <xf numFmtId="0" fontId="3" fillId="0" borderId="22" xfId="44" applyFont="1" applyFill="1" applyBorder="1"/>
    <xf numFmtId="0" fontId="4" fillId="0" borderId="25" xfId="44" applyFont="1" applyBorder="1"/>
    <xf numFmtId="0" fontId="4" fillId="0" borderId="1" xfId="44" applyFont="1" applyFill="1" applyBorder="1"/>
    <xf numFmtId="0" fontId="4" fillId="0" borderId="1" xfId="44" applyFont="1" applyBorder="1"/>
    <xf numFmtId="175" fontId="4" fillId="0" borderId="1" xfId="44" applyNumberFormat="1" applyFont="1" applyFill="1" applyBorder="1"/>
    <xf numFmtId="3" fontId="4" fillId="0" borderId="1" xfId="44" applyNumberFormat="1" applyFont="1" applyFill="1" applyBorder="1"/>
    <xf numFmtId="175" fontId="4" fillId="0" borderId="27" xfId="44" applyNumberFormat="1" applyFont="1" applyFill="1" applyBorder="1"/>
    <xf numFmtId="0" fontId="3" fillId="0" borderId="0" xfId="44" applyFont="1" applyBorder="1"/>
    <xf numFmtId="0" fontId="3" fillId="0" borderId="0" xfId="44" applyFont="1" applyFill="1" applyBorder="1"/>
    <xf numFmtId="175" fontId="3" fillId="0" borderId="0" xfId="44" applyNumberFormat="1" applyFont="1" applyFill="1" applyBorder="1"/>
    <xf numFmtId="3" fontId="3" fillId="0" borderId="0" xfId="44" applyNumberFormat="1" applyFont="1" applyFill="1" applyBorder="1"/>
    <xf numFmtId="175" fontId="18" fillId="0" borderId="0" xfId="44" applyNumberFormat="1" applyFont="1" applyFill="1" applyBorder="1"/>
    <xf numFmtId="175" fontId="80" fillId="0" borderId="0" xfId="44" applyNumberFormat="1" applyFont="1" applyFill="1" applyBorder="1"/>
    <xf numFmtId="175" fontId="80" fillId="0" borderId="26" xfId="44" applyNumberFormat="1" applyFont="1" applyFill="1" applyBorder="1"/>
    <xf numFmtId="0" fontId="3" fillId="0" borderId="25" xfId="44" applyFont="1" applyFill="1" applyBorder="1"/>
    <xf numFmtId="0" fontId="3" fillId="7" borderId="0" xfId="44" applyFill="1" applyBorder="1"/>
    <xf numFmtId="0" fontId="3" fillId="7" borderId="0" xfId="44" applyFont="1" applyFill="1" applyBorder="1"/>
    <xf numFmtId="175" fontId="3" fillId="7" borderId="0" xfId="44" applyNumberFormat="1" applyFont="1" applyFill="1" applyBorder="1"/>
    <xf numFmtId="3" fontId="3" fillId="7" borderId="0" xfId="44" applyNumberFormat="1" applyFont="1" applyFill="1" applyBorder="1"/>
    <xf numFmtId="175" fontId="3" fillId="0" borderId="26" xfId="44" applyNumberFormat="1" applyFont="1" applyFill="1" applyBorder="1"/>
    <xf numFmtId="0" fontId="3" fillId="0" borderId="0" xfId="44" applyFont="1"/>
    <xf numFmtId="0" fontId="3" fillId="0" borderId="25" xfId="44" applyFill="1" applyBorder="1"/>
    <xf numFmtId="0" fontId="3" fillId="0" borderId="26" xfId="44" applyFont="1" applyFill="1" applyBorder="1"/>
    <xf numFmtId="3" fontId="3" fillId="0" borderId="26" xfId="44" applyNumberFormat="1" applyFont="1" applyFill="1" applyBorder="1"/>
    <xf numFmtId="0" fontId="3" fillId="0" borderId="1" xfId="44" applyFill="1" applyBorder="1"/>
    <xf numFmtId="0" fontId="3" fillId="0" borderId="1" xfId="44" applyFont="1" applyFill="1" applyBorder="1"/>
    <xf numFmtId="175" fontId="3" fillId="0" borderId="1" xfId="44" applyNumberFormat="1" applyFont="1" applyFill="1" applyBorder="1"/>
    <xf numFmtId="3" fontId="3" fillId="0" borderId="1" xfId="44" applyNumberFormat="1" applyFont="1" applyFill="1" applyBorder="1"/>
    <xf numFmtId="175" fontId="3" fillId="0" borderId="27" xfId="44" applyNumberFormat="1" applyFont="1" applyFill="1" applyBorder="1"/>
    <xf numFmtId="0" fontId="4" fillId="0" borderId="4" xfId="44" applyFont="1" applyBorder="1"/>
    <xf numFmtId="0" fontId="4" fillId="0" borderId="4" xfId="44" applyFont="1" applyFill="1" applyBorder="1"/>
    <xf numFmtId="175" fontId="4" fillId="0" borderId="4" xfId="44" applyNumberFormat="1" applyFont="1" applyFill="1" applyBorder="1"/>
    <xf numFmtId="3" fontId="4" fillId="0" borderId="4" xfId="44" applyNumberFormat="1" applyFont="1" applyFill="1" applyBorder="1"/>
    <xf numFmtId="175" fontId="50" fillId="0" borderId="4" xfId="44" applyNumberFormat="1" applyFont="1" applyFill="1" applyBorder="1"/>
    <xf numFmtId="175" fontId="4" fillId="0" borderId="28" xfId="44" applyNumberFormat="1" applyFont="1" applyFill="1" applyBorder="1"/>
    <xf numFmtId="0" fontId="4" fillId="0" borderId="0" xfId="44" applyFont="1" applyFill="1" applyBorder="1"/>
    <xf numFmtId="0" fontId="4" fillId="0" borderId="0" xfId="44" applyFont="1" applyBorder="1"/>
    <xf numFmtId="175" fontId="4" fillId="0" borderId="0" xfId="44" applyNumberFormat="1" applyFont="1" applyFill="1" applyBorder="1"/>
    <xf numFmtId="3" fontId="4" fillId="0" borderId="0" xfId="44" applyNumberFormat="1" applyFont="1" applyFill="1" applyBorder="1"/>
    <xf numFmtId="0" fontId="4" fillId="0" borderId="0" xfId="44" quotePrefix="1" applyFont="1" applyFill="1" applyAlignment="1">
      <alignment horizontal="left"/>
    </xf>
    <xf numFmtId="0" fontId="15" fillId="0" borderId="29" xfId="44" applyFont="1" applyBorder="1"/>
    <xf numFmtId="0" fontId="15" fillId="0" borderId="3" xfId="44" applyFont="1" applyFill="1" applyBorder="1"/>
    <xf numFmtId="0" fontId="15" fillId="0" borderId="3" xfId="44" applyFont="1" applyBorder="1"/>
    <xf numFmtId="175" fontId="15" fillId="0" borderId="3" xfId="44" applyNumberFormat="1" applyFont="1" applyFill="1" applyBorder="1"/>
    <xf numFmtId="3" fontId="15" fillId="0" borderId="3" xfId="44" applyNumberFormat="1" applyFont="1" applyFill="1" applyBorder="1"/>
    <xf numFmtId="175" fontId="15" fillId="0" borderId="30" xfId="44" applyNumberFormat="1" applyFont="1" applyFill="1" applyBorder="1"/>
    <xf numFmtId="175" fontId="3" fillId="0" borderId="0" xfId="44" applyNumberFormat="1" applyBorder="1"/>
    <xf numFmtId="175" fontId="3" fillId="0" borderId="0" xfId="44" applyNumberFormat="1" applyFill="1" applyBorder="1"/>
    <xf numFmtId="175" fontId="3" fillId="0" borderId="22" xfId="44" applyNumberFormat="1" applyFill="1" applyBorder="1"/>
    <xf numFmtId="175" fontId="3" fillId="0" borderId="22" xfId="44" applyNumberFormat="1" applyFont="1" applyFill="1" applyBorder="1"/>
    <xf numFmtId="175" fontId="3" fillId="10" borderId="22" xfId="44" applyNumberFormat="1" applyFont="1" applyFill="1" applyBorder="1"/>
    <xf numFmtId="175" fontId="4" fillId="0" borderId="1" xfId="44" applyNumberFormat="1" applyFont="1" applyFill="1" applyBorder="1" applyAlignment="1">
      <alignment horizontal="right"/>
    </xf>
    <xf numFmtId="175" fontId="4" fillId="10" borderId="1" xfId="44" applyNumberFormat="1" applyFont="1" applyFill="1" applyBorder="1" applyAlignment="1">
      <alignment horizontal="right"/>
    </xf>
    <xf numFmtId="175" fontId="3" fillId="10" borderId="0" xfId="44" applyNumberFormat="1" applyFont="1" applyFill="1" applyBorder="1"/>
    <xf numFmtId="175" fontId="3" fillId="0" borderId="0" xfId="44" applyNumberFormat="1" applyFont="1" applyFill="1" applyBorder="1" applyAlignment="1">
      <alignment horizontal="right"/>
    </xf>
    <xf numFmtId="175" fontId="3" fillId="10" borderId="0" xfId="44" applyNumberFormat="1" applyFont="1" applyFill="1" applyBorder="1" applyAlignment="1">
      <alignment horizontal="right"/>
    </xf>
    <xf numFmtId="175" fontId="4" fillId="0" borderId="4" xfId="44" applyNumberFormat="1" applyFont="1" applyFill="1" applyBorder="1" applyAlignment="1">
      <alignment horizontal="right"/>
    </xf>
    <xf numFmtId="175" fontId="4" fillId="10" borderId="4" xfId="44" applyNumberFormat="1" applyFont="1" applyFill="1" applyBorder="1" applyAlignment="1">
      <alignment horizontal="right"/>
    </xf>
    <xf numFmtId="175" fontId="38" fillId="0" borderId="0" xfId="44" applyNumberFormat="1" applyFont="1" applyFill="1" applyBorder="1" applyAlignment="1">
      <alignment horizontal="right"/>
    </xf>
    <xf numFmtId="175" fontId="50" fillId="0" borderId="0" xfId="44" applyNumberFormat="1" applyFont="1" applyFill="1" applyBorder="1"/>
    <xf numFmtId="175" fontId="4" fillId="0" borderId="0" xfId="44" applyNumberFormat="1" applyFont="1" applyFill="1" applyBorder="1" applyAlignment="1">
      <alignment horizontal="right"/>
    </xf>
    <xf numFmtId="175" fontId="4" fillId="10" borderId="0" xfId="44" applyNumberFormat="1" applyFont="1" applyFill="1" applyBorder="1" applyAlignment="1">
      <alignment horizontal="right"/>
    </xf>
    <xf numFmtId="0" fontId="16" fillId="0" borderId="3" xfId="44" applyFont="1" applyBorder="1"/>
    <xf numFmtId="175" fontId="15" fillId="0" borderId="3" xfId="44" applyNumberFormat="1" applyFont="1" applyFill="1" applyBorder="1" applyAlignment="1">
      <alignment horizontal="right"/>
    </xf>
    <xf numFmtId="175" fontId="15" fillId="10" borderId="3" xfId="44" applyNumberFormat="1" applyFont="1" applyFill="1" applyBorder="1" applyAlignment="1">
      <alignment horizontal="right"/>
    </xf>
    <xf numFmtId="0" fontId="15" fillId="0" borderId="31" xfId="44" applyFont="1" applyBorder="1"/>
    <xf numFmtId="0" fontId="16" fillId="0" borderId="31" xfId="44" applyFont="1" applyBorder="1"/>
    <xf numFmtId="175" fontId="15" fillId="0" borderId="31" xfId="44" applyNumberFormat="1" applyFont="1" applyFill="1" applyBorder="1"/>
    <xf numFmtId="175" fontId="15" fillId="0" borderId="31" xfId="44" applyNumberFormat="1" applyFont="1" applyFill="1" applyBorder="1" applyAlignment="1">
      <alignment horizontal="right"/>
    </xf>
    <xf numFmtId="175" fontId="3" fillId="0" borderId="22" xfId="44" applyNumberFormat="1" applyBorder="1"/>
    <xf numFmtId="175" fontId="3" fillId="10" borderId="22" xfId="44" applyNumberFormat="1" applyFill="1" applyBorder="1"/>
    <xf numFmtId="175" fontId="4" fillId="0" borderId="0" xfId="44" applyNumberFormat="1" applyFont="1" applyBorder="1"/>
    <xf numFmtId="175" fontId="4" fillId="0" borderId="1" xfId="44" applyNumberFormat="1" applyFont="1" applyBorder="1"/>
    <xf numFmtId="175" fontId="4" fillId="10" borderId="1" xfId="44" applyNumberFormat="1" applyFont="1" applyFill="1" applyBorder="1"/>
    <xf numFmtId="175" fontId="3" fillId="10" borderId="0" xfId="44" applyNumberFormat="1" applyFill="1" applyBorder="1"/>
    <xf numFmtId="175" fontId="3" fillId="0" borderId="0" xfId="44" applyNumberFormat="1" applyFont="1" applyBorder="1"/>
    <xf numFmtId="0" fontId="3" fillId="0" borderId="25" xfId="44" applyFont="1" applyBorder="1"/>
    <xf numFmtId="175" fontId="4" fillId="10" borderId="4" xfId="44" applyNumberFormat="1" applyFont="1" applyFill="1" applyBorder="1"/>
    <xf numFmtId="0" fontId="4" fillId="0" borderId="25" xfId="44" applyFont="1" applyFill="1" applyBorder="1"/>
    <xf numFmtId="175" fontId="4" fillId="10" borderId="0" xfId="44" applyNumberFormat="1" applyFont="1" applyFill="1" applyBorder="1"/>
    <xf numFmtId="0" fontId="4" fillId="0" borderId="3" xfId="44" applyFont="1" applyBorder="1"/>
    <xf numFmtId="0" fontId="3" fillId="0" borderId="3" xfId="44" applyBorder="1"/>
    <xf numFmtId="175" fontId="4" fillId="0" borderId="3" xfId="44" applyNumberFormat="1" applyFont="1" applyFill="1" applyBorder="1"/>
    <xf numFmtId="175" fontId="4" fillId="0" borderId="3" xfId="44" applyNumberFormat="1" applyFont="1" applyBorder="1"/>
    <xf numFmtId="175" fontId="15" fillId="0" borderId="3" xfId="44" applyNumberFormat="1" applyFont="1" applyBorder="1"/>
    <xf numFmtId="175" fontId="15" fillId="10" borderId="3" xfId="44" applyNumberFormat="1" applyFont="1" applyFill="1" applyBorder="1"/>
    <xf numFmtId="0" fontId="3" fillId="0" borderId="29" xfId="44" applyBorder="1"/>
    <xf numFmtId="0" fontId="3" fillId="0" borderId="30" xfId="44" applyFill="1" applyBorder="1"/>
    <xf numFmtId="0" fontId="78" fillId="51" borderId="21" xfId="44" applyFont="1" applyFill="1" applyBorder="1"/>
    <xf numFmtId="0" fontId="78" fillId="51" borderId="22" xfId="44" applyFont="1" applyFill="1" applyBorder="1"/>
    <xf numFmtId="0" fontId="3" fillId="51" borderId="22" xfId="44" applyFill="1" applyBorder="1"/>
    <xf numFmtId="175" fontId="3" fillId="51" borderId="22" xfId="44" applyNumberFormat="1" applyFill="1" applyBorder="1"/>
    <xf numFmtId="175" fontId="3" fillId="51" borderId="24" xfId="44" applyNumberFormat="1" applyFill="1" applyBorder="1"/>
    <xf numFmtId="0" fontId="3" fillId="51" borderId="25" xfId="44" applyFill="1" applyBorder="1"/>
    <xf numFmtId="0" fontId="3" fillId="51" borderId="0" xfId="44" applyFill="1" applyBorder="1"/>
    <xf numFmtId="0" fontId="4" fillId="51" borderId="0" xfId="44" applyFont="1" applyFill="1" applyBorder="1"/>
    <xf numFmtId="175" fontId="4" fillId="51" borderId="0" xfId="44" applyNumberFormat="1" applyFont="1" applyFill="1" applyBorder="1"/>
    <xf numFmtId="175" fontId="4" fillId="51" borderId="1" xfId="44" applyNumberFormat="1" applyFont="1" applyFill="1" applyBorder="1"/>
    <xf numFmtId="175" fontId="4" fillId="51" borderId="1" xfId="44" applyNumberFormat="1" applyFont="1" applyFill="1" applyBorder="1" applyAlignment="1">
      <alignment horizontal="right"/>
    </xf>
    <xf numFmtId="175" fontId="4" fillId="51" borderId="27" xfId="44" applyNumberFormat="1" applyFont="1" applyFill="1" applyBorder="1" applyAlignment="1">
      <alignment horizontal="right"/>
    </xf>
    <xf numFmtId="175" fontId="3" fillId="51" borderId="0" xfId="44" applyNumberFormat="1" applyFill="1" applyBorder="1"/>
    <xf numFmtId="175" fontId="3" fillId="51" borderId="0" xfId="44" applyNumberFormat="1" applyFont="1" applyFill="1" applyBorder="1"/>
    <xf numFmtId="175" fontId="3" fillId="51" borderId="26" xfId="44" applyNumberFormat="1" applyFont="1" applyFill="1" applyBorder="1"/>
    <xf numFmtId="0" fontId="3" fillId="51" borderId="0" xfId="44" applyFont="1" applyFill="1" applyBorder="1"/>
    <xf numFmtId="175" fontId="3" fillId="51" borderId="0" xfId="44" applyNumberFormat="1" applyFont="1" applyFill="1" applyBorder="1" applyAlignment="1">
      <alignment horizontal="right"/>
    </xf>
    <xf numFmtId="175" fontId="3" fillId="51" borderId="26" xfId="44" applyNumberFormat="1" applyFont="1" applyFill="1" applyBorder="1" applyAlignment="1">
      <alignment horizontal="right"/>
    </xf>
    <xf numFmtId="0" fontId="3" fillId="51" borderId="25" xfId="44" applyFont="1" applyFill="1" applyBorder="1"/>
    <xf numFmtId="175" fontId="3" fillId="51" borderId="1" xfId="44" applyNumberFormat="1" applyFont="1" applyFill="1" applyBorder="1"/>
    <xf numFmtId="0" fontId="4" fillId="51" borderId="25" xfId="44" applyFont="1" applyFill="1" applyBorder="1"/>
    <xf numFmtId="175" fontId="4" fillId="51" borderId="4" xfId="44" applyNumberFormat="1" applyFont="1" applyFill="1" applyBorder="1"/>
    <xf numFmtId="175" fontId="4" fillId="51" borderId="4" xfId="44" applyNumberFormat="1" applyFont="1" applyFill="1" applyBorder="1" applyAlignment="1">
      <alignment horizontal="right"/>
    </xf>
    <xf numFmtId="175" fontId="4" fillId="51" borderId="28" xfId="44" applyNumberFormat="1" applyFont="1" applyFill="1" applyBorder="1" applyAlignment="1">
      <alignment horizontal="right"/>
    </xf>
    <xf numFmtId="175" fontId="45" fillId="51" borderId="0" xfId="44" applyNumberFormat="1" applyFont="1" applyFill="1" applyBorder="1"/>
    <xf numFmtId="0" fontId="15" fillId="51" borderId="29" xfId="44" applyFont="1" applyFill="1" applyBorder="1"/>
    <xf numFmtId="0" fontId="15" fillId="51" borderId="3" xfId="44" applyFont="1" applyFill="1" applyBorder="1"/>
    <xf numFmtId="0" fontId="16" fillId="51" borderId="3" xfId="44" applyFont="1" applyFill="1" applyBorder="1"/>
    <xf numFmtId="175" fontId="15" fillId="51" borderId="3" xfId="44" applyNumberFormat="1" applyFont="1" applyFill="1" applyBorder="1"/>
    <xf numFmtId="175" fontId="15" fillId="51" borderId="3" xfId="44" applyNumberFormat="1" applyFont="1" applyFill="1" applyBorder="1" applyAlignment="1">
      <alignment horizontal="right"/>
    </xf>
    <xf numFmtId="175" fontId="15" fillId="51" borderId="30" xfId="44" applyNumberFormat="1" applyFont="1" applyFill="1" applyBorder="1" applyAlignment="1">
      <alignment horizontal="right"/>
    </xf>
    <xf numFmtId="175" fontId="3" fillId="0" borderId="0" xfId="44" applyNumberFormat="1" applyFill="1" applyBorder="1" applyAlignment="1">
      <alignment horizontal="right"/>
    </xf>
    <xf numFmtId="175" fontId="3" fillId="0" borderId="0" xfId="44" applyNumberFormat="1" applyBorder="1" applyAlignment="1">
      <alignment horizontal="right"/>
    </xf>
    <xf numFmtId="175" fontId="3" fillId="51" borderId="22" xfId="44" applyNumberFormat="1" applyFill="1" applyBorder="1" applyAlignment="1">
      <alignment horizontal="right"/>
    </xf>
    <xf numFmtId="175" fontId="3" fillId="51" borderId="24" xfId="44" applyNumberFormat="1" applyFill="1" applyBorder="1" applyAlignment="1">
      <alignment horizontal="right"/>
    </xf>
    <xf numFmtId="175" fontId="3" fillId="51" borderId="0" xfId="44" applyNumberFormat="1" applyFill="1" applyBorder="1" applyAlignment="1">
      <alignment horizontal="right"/>
    </xf>
    <xf numFmtId="175" fontId="3" fillId="51" borderId="26" xfId="44" applyNumberFormat="1" applyFill="1" applyBorder="1" applyAlignment="1">
      <alignment horizontal="right"/>
    </xf>
    <xf numFmtId="175" fontId="3" fillId="51" borderId="1" xfId="44" applyNumberFormat="1" applyFont="1" applyFill="1" applyBorder="1" applyAlignment="1">
      <alignment horizontal="right"/>
    </xf>
    <xf numFmtId="175" fontId="3" fillId="51" borderId="27" xfId="44" applyNumberFormat="1" applyFont="1" applyFill="1" applyBorder="1" applyAlignment="1">
      <alignment horizontal="right"/>
    </xf>
    <xf numFmtId="175" fontId="4" fillId="51" borderId="0" xfId="44" applyNumberFormat="1" applyFont="1" applyFill="1" applyBorder="1" applyAlignment="1">
      <alignment horizontal="right"/>
    </xf>
    <xf numFmtId="175" fontId="4" fillId="51" borderId="26" xfId="44" applyNumberFormat="1" applyFont="1" applyFill="1" applyBorder="1" applyAlignment="1">
      <alignment horizontal="right"/>
    </xf>
    <xf numFmtId="0" fontId="4" fillId="51" borderId="3" xfId="44" applyFont="1" applyFill="1" applyBorder="1"/>
    <xf numFmtId="0" fontId="3" fillId="51" borderId="3" xfId="44" applyFill="1" applyBorder="1"/>
    <xf numFmtId="175" fontId="4" fillId="51" borderId="3" xfId="44" applyNumberFormat="1" applyFont="1" applyFill="1" applyBorder="1"/>
    <xf numFmtId="175" fontId="15" fillId="51" borderId="30" xfId="44" applyNumberFormat="1" applyFont="1" applyFill="1" applyBorder="1"/>
    <xf numFmtId="0" fontId="15" fillId="0" borderId="0" xfId="44" applyFont="1" applyBorder="1"/>
    <xf numFmtId="175" fontId="15" fillId="0" borderId="0" xfId="44" applyNumberFormat="1" applyFont="1" applyBorder="1"/>
    <xf numFmtId="175" fontId="15" fillId="0" borderId="0" xfId="44" applyNumberFormat="1" applyFont="1" applyFill="1" applyBorder="1"/>
    <xf numFmtId="175" fontId="15" fillId="0" borderId="0" xfId="44" applyNumberFormat="1" applyFont="1" applyFill="1" applyBorder="1" applyAlignment="1">
      <alignment horizontal="right"/>
    </xf>
    <xf numFmtId="0" fontId="81" fillId="0" borderId="25" xfId="44" quotePrefix="1" applyFont="1" applyBorder="1"/>
    <xf numFmtId="0" fontId="3" fillId="0" borderId="0" xfId="44" applyBorder="1" applyAlignment="1">
      <alignment wrapText="1"/>
    </xf>
    <xf numFmtId="0" fontId="3" fillId="0" borderId="0" xfId="44" applyFill="1" applyBorder="1" applyAlignment="1">
      <alignment wrapText="1"/>
    </xf>
    <xf numFmtId="0" fontId="20" fillId="0" borderId="0" xfId="44" applyFont="1" applyBorder="1"/>
    <xf numFmtId="0" fontId="38" fillId="0" borderId="0" xfId="44" applyFont="1" applyBorder="1"/>
    <xf numFmtId="175" fontId="38" fillId="0" borderId="0" xfId="44" applyNumberFormat="1" applyFont="1" applyBorder="1"/>
    <xf numFmtId="175" fontId="38" fillId="0" borderId="0" xfId="44" applyNumberFormat="1" applyFont="1" applyFill="1" applyBorder="1"/>
    <xf numFmtId="0" fontId="19" fillId="0" borderId="0" xfId="44" applyFont="1" applyBorder="1"/>
    <xf numFmtId="0" fontId="19" fillId="0" borderId="0" xfId="44" applyFont="1" applyFill="1" applyBorder="1"/>
    <xf numFmtId="0" fontId="38" fillId="0" borderId="0" xfId="44" applyFont="1"/>
    <xf numFmtId="0" fontId="38" fillId="0" borderId="0" xfId="44" applyFont="1" applyFill="1" applyBorder="1"/>
    <xf numFmtId="0" fontId="4" fillId="0" borderId="0" xfId="44" quotePrefix="1" applyFont="1" applyBorder="1"/>
    <xf numFmtId="0" fontId="4" fillId="0" borderId="0" xfId="44" applyFont="1" applyFill="1" applyBorder="1" applyAlignment="1">
      <alignment horizontal="center"/>
    </xf>
    <xf numFmtId="0" fontId="78" fillId="0" borderId="0" xfId="44" applyFont="1" applyBorder="1"/>
    <xf numFmtId="3" fontId="7" fillId="0" borderId="0" xfId="44" applyNumberFormat="1" applyFont="1"/>
    <xf numFmtId="3" fontId="3" fillId="0" borderId="0" xfId="44" applyNumberFormat="1" applyFont="1"/>
    <xf numFmtId="3" fontId="75" fillId="0" borderId="0" xfId="44" applyNumberFormat="1" applyFont="1" applyAlignment="1">
      <alignment horizontal="right"/>
    </xf>
    <xf numFmtId="3" fontId="3" fillId="0" borderId="0" xfId="44" applyNumberFormat="1" applyFont="1" applyAlignment="1">
      <alignment horizontal="center"/>
    </xf>
    <xf numFmtId="3" fontId="3" fillId="0" borderId="0" xfId="44" applyNumberFormat="1" applyAlignment="1">
      <alignment horizontal="center"/>
    </xf>
    <xf numFmtId="3" fontId="18" fillId="0" borderId="0" xfId="44" applyNumberFormat="1" applyFont="1"/>
    <xf numFmtId="3" fontId="45" fillId="0" borderId="0" xfId="44" applyNumberFormat="1" applyFont="1"/>
    <xf numFmtId="3" fontId="17" fillId="0" borderId="0" xfId="44" applyNumberFormat="1" applyFont="1" applyAlignment="1">
      <alignment horizontal="center"/>
    </xf>
    <xf numFmtId="3" fontId="50" fillId="0" borderId="0" xfId="44" applyNumberFormat="1" applyFont="1" applyBorder="1" applyAlignment="1">
      <alignment horizontal="center"/>
    </xf>
    <xf numFmtId="3" fontId="17" fillId="0" borderId="0" xfId="44" applyNumberFormat="1" applyFont="1" applyBorder="1" applyAlignment="1">
      <alignment horizontal="center"/>
    </xf>
    <xf numFmtId="3" fontId="4" fillId="0" borderId="3" xfId="44" applyNumberFormat="1" applyFont="1" applyBorder="1" applyAlignment="1">
      <alignment horizontal="center"/>
    </xf>
    <xf numFmtId="3" fontId="4" fillId="0" borderId="3" xfId="44" applyNumberFormat="1" applyFont="1" applyFill="1" applyBorder="1" applyAlignment="1">
      <alignment horizontal="center"/>
    </xf>
    <xf numFmtId="3" fontId="50" fillId="0" borderId="1" xfId="44" applyNumberFormat="1" applyFont="1" applyBorder="1" applyAlignment="1">
      <alignment horizontal="center"/>
    </xf>
    <xf numFmtId="3" fontId="17" fillId="0" borderId="1" xfId="44" applyNumberFormat="1" applyFont="1" applyBorder="1" applyAlignment="1">
      <alignment horizontal="center"/>
    </xf>
    <xf numFmtId="3" fontId="4" fillId="0" borderId="0" xfId="44" applyNumberFormat="1" applyFont="1"/>
    <xf numFmtId="3" fontId="82" fillId="0" borderId="0" xfId="44" applyNumberFormat="1" applyFont="1"/>
    <xf numFmtId="3" fontId="45" fillId="4" borderId="0" xfId="48" applyNumberFormat="1" applyFont="1" applyFill="1"/>
    <xf numFmtId="3" fontId="3" fillId="4" borderId="0" xfId="44" applyNumberFormat="1" applyFont="1" applyFill="1"/>
    <xf numFmtId="3" fontId="3" fillId="3" borderId="0" xfId="44" applyNumberFormat="1" applyFont="1" applyFill="1"/>
    <xf numFmtId="3" fontId="45" fillId="52" borderId="0" xfId="44" applyNumberFormat="1" applyFont="1" applyFill="1"/>
    <xf numFmtId="3" fontId="72" fillId="52" borderId="0" xfId="44" applyNumberFormat="1" applyFont="1" applyFill="1"/>
    <xf numFmtId="3" fontId="3" fillId="53" borderId="0" xfId="44" applyNumberFormat="1" applyFont="1" applyFill="1"/>
    <xf numFmtId="3" fontId="45" fillId="53" borderId="0" xfId="44" applyNumberFormat="1" applyFont="1" applyFill="1"/>
    <xf numFmtId="3" fontId="45" fillId="4" borderId="0" xfId="44" applyNumberFormat="1" applyFont="1" applyFill="1"/>
    <xf numFmtId="3" fontId="72" fillId="4" borderId="0" xfId="44" applyNumberFormat="1" applyFont="1" applyFill="1"/>
    <xf numFmtId="3" fontId="45" fillId="4" borderId="1" xfId="44" applyNumberFormat="1" applyFont="1" applyFill="1" applyBorder="1"/>
    <xf numFmtId="3" fontId="3" fillId="4" borderId="1" xfId="44" applyNumberFormat="1" applyFont="1" applyFill="1" applyBorder="1"/>
    <xf numFmtId="3" fontId="83" fillId="3" borderId="1" xfId="44" applyNumberFormat="1" applyFont="1" applyFill="1" applyBorder="1"/>
    <xf numFmtId="3" fontId="3" fillId="3" borderId="1" xfId="44" applyNumberFormat="1" applyFont="1" applyFill="1" applyBorder="1"/>
    <xf numFmtId="3" fontId="72" fillId="52" borderId="1" xfId="44" applyNumberFormat="1" applyFont="1" applyFill="1" applyBorder="1"/>
    <xf numFmtId="3" fontId="3" fillId="53" borderId="1" xfId="44" applyNumberFormat="1" applyFont="1" applyFill="1" applyBorder="1"/>
    <xf numFmtId="3" fontId="45" fillId="53" borderId="1" xfId="44" applyNumberFormat="1" applyFont="1" applyFill="1" applyBorder="1"/>
    <xf numFmtId="3" fontId="45" fillId="0" borderId="1" xfId="44" applyNumberFormat="1" applyFont="1" applyBorder="1"/>
    <xf numFmtId="3" fontId="45" fillId="4" borderId="4" xfId="44" applyNumberFormat="1" applyFont="1" applyFill="1" applyBorder="1"/>
    <xf numFmtId="3" fontId="3" fillId="4" borderId="4" xfId="44" applyNumberFormat="1" applyFont="1" applyFill="1" applyBorder="1"/>
    <xf numFmtId="3" fontId="3" fillId="3" borderId="4" xfId="44" applyNumberFormat="1" applyFont="1" applyFill="1" applyBorder="1"/>
    <xf numFmtId="3" fontId="45" fillId="52" borderId="4" xfId="44" applyNumberFormat="1" applyFont="1" applyFill="1" applyBorder="1"/>
    <xf numFmtId="3" fontId="3" fillId="53" borderId="4" xfId="44" applyNumberFormat="1" applyFont="1" applyFill="1" applyBorder="1"/>
    <xf numFmtId="3" fontId="45" fillId="53" borderId="4" xfId="44" applyNumberFormat="1" applyFont="1" applyFill="1" applyBorder="1"/>
    <xf numFmtId="3" fontId="45" fillId="0" borderId="4" xfId="44" applyNumberFormat="1" applyFont="1" applyBorder="1"/>
    <xf numFmtId="3" fontId="45" fillId="4" borderId="8" xfId="44" applyNumberFormat="1" applyFont="1" applyFill="1" applyBorder="1"/>
    <xf numFmtId="3" fontId="3" fillId="4" borderId="8" xfId="44" applyNumberFormat="1" applyFont="1" applyFill="1" applyBorder="1"/>
    <xf numFmtId="3" fontId="72" fillId="3" borderId="8" xfId="44" applyNumberFormat="1" applyFont="1" applyFill="1" applyBorder="1"/>
    <xf numFmtId="3" fontId="3" fillId="3" borderId="8" xfId="44" applyNumberFormat="1" applyFont="1" applyFill="1" applyBorder="1"/>
    <xf numFmtId="3" fontId="45" fillId="52" borderId="8" xfId="44" applyNumberFormat="1" applyFont="1" applyFill="1" applyBorder="1"/>
    <xf numFmtId="3" fontId="72" fillId="52" borderId="8" xfId="44" applyNumberFormat="1" applyFont="1" applyFill="1" applyBorder="1"/>
    <xf numFmtId="3" fontId="3" fillId="53" borderId="8" xfId="44" applyNumberFormat="1" applyFont="1" applyFill="1" applyBorder="1"/>
    <xf numFmtId="3" fontId="72" fillId="53" borderId="8" xfId="44" applyNumberFormat="1" applyFont="1" applyFill="1" applyBorder="1"/>
    <xf numFmtId="3" fontId="45" fillId="53" borderId="8" xfId="44" applyNumberFormat="1" applyFont="1" applyFill="1" applyBorder="1"/>
    <xf numFmtId="3" fontId="45" fillId="0" borderId="8" xfId="44" applyNumberFormat="1" applyFont="1" applyBorder="1"/>
    <xf numFmtId="3" fontId="72" fillId="3" borderId="0" xfId="44" applyNumberFormat="1" applyFont="1" applyFill="1"/>
    <xf numFmtId="3" fontId="72" fillId="53" borderId="0" xfId="44" applyNumberFormat="1" applyFont="1" applyFill="1"/>
    <xf numFmtId="3" fontId="45" fillId="3" borderId="0" xfId="44" applyNumberFormat="1" applyFont="1" applyFill="1"/>
    <xf numFmtId="3" fontId="45" fillId="3" borderId="1" xfId="44" applyNumberFormat="1" applyFont="1" applyFill="1" applyBorder="1"/>
    <xf numFmtId="3" fontId="45" fillId="52" borderId="1" xfId="44" applyNumberFormat="1" applyFont="1" applyFill="1" applyBorder="1"/>
    <xf numFmtId="3" fontId="72" fillId="53" borderId="1" xfId="44" applyNumberFormat="1" applyFont="1" applyFill="1" applyBorder="1"/>
    <xf numFmtId="3" fontId="45" fillId="3" borderId="4" xfId="44" applyNumberFormat="1" applyFont="1" applyFill="1" applyBorder="1"/>
    <xf numFmtId="3" fontId="3" fillId="0" borderId="8" xfId="44" applyNumberFormat="1" applyBorder="1"/>
    <xf numFmtId="3" fontId="72" fillId="0" borderId="8" xfId="44" applyNumberFormat="1" applyFont="1" applyBorder="1"/>
    <xf numFmtId="3" fontId="3" fillId="0" borderId="8" xfId="44" applyNumberFormat="1" applyFont="1" applyBorder="1"/>
    <xf numFmtId="3" fontId="32" fillId="0" borderId="0" xfId="44" applyNumberFormat="1" applyFont="1"/>
    <xf numFmtId="3" fontId="72" fillId="0" borderId="0" xfId="44" applyNumberFormat="1" applyFont="1"/>
    <xf numFmtId="3" fontId="4" fillId="0" borderId="0" xfId="44" applyNumberFormat="1" applyFont="1" applyFill="1" applyAlignment="1">
      <alignment horizontal="right"/>
    </xf>
    <xf numFmtId="3" fontId="4" fillId="0" borderId="0" xfId="44" applyNumberFormat="1" applyFont="1" applyAlignment="1">
      <alignment horizontal="right"/>
    </xf>
    <xf numFmtId="3" fontId="33" fillId="0" borderId="0" xfId="44" quotePrefix="1" applyNumberFormat="1" applyFont="1" applyFill="1" applyAlignment="1">
      <alignment horizontal="right"/>
    </xf>
    <xf numFmtId="3" fontId="3" fillId="0" borderId="0" xfId="44" applyNumberFormat="1" applyFill="1" applyAlignment="1">
      <alignment horizontal="right"/>
    </xf>
    <xf numFmtId="3" fontId="72" fillId="0" borderId="0" xfId="44" applyNumberFormat="1" applyFont="1" applyFill="1"/>
    <xf numFmtId="3" fontId="72" fillId="0" borderId="0" xfId="44" applyNumberFormat="1" applyFont="1" applyFill="1" applyAlignment="1">
      <alignment horizontal="right"/>
    </xf>
    <xf numFmtId="169" fontId="3" fillId="0" borderId="0" xfId="44" applyNumberFormat="1" applyFont="1" applyFill="1"/>
    <xf numFmtId="169" fontId="3" fillId="0" borderId="0" xfId="44" applyNumberFormat="1" applyFont="1"/>
    <xf numFmtId="3" fontId="45" fillId="0" borderId="0" xfId="44" applyNumberFormat="1" applyFont="1" applyFill="1"/>
    <xf numFmtId="3" fontId="75" fillId="0" borderId="0" xfId="44" quotePrefix="1" applyNumberFormat="1" applyFont="1" applyFill="1" applyAlignment="1">
      <alignment horizontal="left"/>
    </xf>
    <xf numFmtId="3" fontId="75" fillId="0" borderId="0" xfId="44" applyNumberFormat="1" applyFont="1" applyFill="1" applyAlignment="1">
      <alignment horizontal="left"/>
    </xf>
    <xf numFmtId="3" fontId="3" fillId="0" borderId="32" xfId="44" applyNumberFormat="1" applyFont="1" applyFill="1" applyBorder="1"/>
    <xf numFmtId="3" fontId="3" fillId="0" borderId="33" xfId="44" applyNumberFormat="1" applyFont="1" applyFill="1" applyBorder="1"/>
    <xf numFmtId="3" fontId="84" fillId="0" borderId="0" xfId="44" applyNumberFormat="1" applyFont="1" applyFill="1"/>
    <xf numFmtId="3" fontId="82" fillId="0" borderId="0" xfId="44" applyNumberFormat="1" applyFont="1" applyFill="1"/>
    <xf numFmtId="3" fontId="45" fillId="0" borderId="0" xfId="44" applyNumberFormat="1" applyFont="1" applyFill="1" applyAlignment="1">
      <alignment horizontal="right"/>
    </xf>
    <xf numFmtId="3" fontId="75" fillId="0" borderId="0" xfId="44" quotePrefix="1" applyNumberFormat="1" applyFont="1" applyFill="1"/>
    <xf numFmtId="3" fontId="75" fillId="0" borderId="0" xfId="44" applyNumberFormat="1" applyFont="1" applyFill="1"/>
    <xf numFmtId="169" fontId="72" fillId="0" borderId="0" xfId="44" applyNumberFormat="1" applyFont="1" applyFill="1"/>
    <xf numFmtId="3" fontId="6" fillId="0" borderId="0" xfId="44" applyNumberFormat="1" applyFont="1"/>
    <xf numFmtId="3" fontId="84" fillId="0" borderId="0" xfId="44" quotePrefix="1" applyNumberFormat="1" applyFont="1" applyFill="1"/>
    <xf numFmtId="10" fontId="45" fillId="0" borderId="0" xfId="2" applyNumberFormat="1" applyFont="1" applyFill="1"/>
    <xf numFmtId="10" fontId="3" fillId="0" borderId="0" xfId="2" applyNumberFormat="1" applyFont="1" applyFill="1"/>
    <xf numFmtId="3" fontId="3" fillId="0" borderId="0" xfId="44" quotePrefix="1" applyNumberFormat="1"/>
    <xf numFmtId="169" fontId="45" fillId="0" borderId="0" xfId="44" applyNumberFormat="1" applyFont="1" applyFill="1"/>
    <xf numFmtId="3" fontId="3" fillId="0" borderId="0" xfId="44" applyNumberFormat="1" applyFont="1" applyAlignment="1">
      <alignment wrapText="1"/>
    </xf>
    <xf numFmtId="3" fontId="4" fillId="0" borderId="32" xfId="44" applyNumberFormat="1" applyFont="1" applyFill="1" applyBorder="1"/>
    <xf numFmtId="3" fontId="4" fillId="0" borderId="33" xfId="44" applyNumberFormat="1" applyFont="1" applyFill="1" applyBorder="1"/>
    <xf numFmtId="3" fontId="33" fillId="0" borderId="0" xfId="44" quotePrefix="1" applyNumberFormat="1" applyFont="1"/>
    <xf numFmtId="3" fontId="33" fillId="0" borderId="0" xfId="44" applyNumberFormat="1" applyFont="1"/>
    <xf numFmtId="167" fontId="4" fillId="0" borderId="0" xfId="1" applyNumberFormat="1" applyFont="1" applyFill="1"/>
    <xf numFmtId="0" fontId="7" fillId="0" borderId="0" xfId="44" applyFont="1" applyBorder="1"/>
    <xf numFmtId="175" fontId="88" fillId="0" borderId="0" xfId="44" applyNumberFormat="1" applyFont="1" applyFill="1" applyBorder="1"/>
    <xf numFmtId="0" fontId="4" fillId="13" borderId="0" xfId="44" applyFont="1" applyFill="1"/>
    <xf numFmtId="0" fontId="3" fillId="13" borderId="0" xfId="44" applyFill="1" applyBorder="1"/>
    <xf numFmtId="0" fontId="75" fillId="13" borderId="0" xfId="44" quotePrefix="1" applyFont="1" applyFill="1"/>
    <xf numFmtId="0" fontId="4" fillId="13" borderId="0" xfId="44" applyFont="1" applyFill="1" applyBorder="1"/>
    <xf numFmtId="0" fontId="4" fillId="13" borderId="0" xfId="44" quotePrefix="1" applyFont="1" applyFill="1" applyBorder="1"/>
    <xf numFmtId="0" fontId="3" fillId="0" borderId="21" xfId="0" applyFont="1" applyBorder="1"/>
    <xf numFmtId="0" fontId="0" fillId="0" borderId="22" xfId="0" applyBorder="1"/>
    <xf numFmtId="167" fontId="0" fillId="0" borderId="22" xfId="0" applyNumberFormat="1" applyBorder="1"/>
    <xf numFmtId="0" fontId="3" fillId="0" borderId="25" xfId="0" applyFont="1" applyBorder="1"/>
    <xf numFmtId="0" fontId="0" fillId="0" borderId="0" xfId="0" applyBorder="1"/>
    <xf numFmtId="0" fontId="0" fillId="0" borderId="25" xfId="0" applyBorder="1"/>
    <xf numFmtId="0" fontId="0" fillId="10" borderId="0" xfId="0" applyFill="1" applyBorder="1"/>
    <xf numFmtId="0" fontId="0" fillId="0" borderId="29" xfId="0" applyBorder="1"/>
    <xf numFmtId="0" fontId="0" fillId="0" borderId="3" xfId="0" applyBorder="1"/>
    <xf numFmtId="0" fontId="0" fillId="0" borderId="3" xfId="0" applyFill="1" applyBorder="1"/>
    <xf numFmtId="0" fontId="0" fillId="10" borderId="3" xfId="0" applyFill="1" applyBorder="1"/>
    <xf numFmtId="167" fontId="0" fillId="10" borderId="22" xfId="0" applyNumberFormat="1" applyFill="1" applyBorder="1"/>
    <xf numFmtId="167" fontId="0" fillId="10" borderId="0" xfId="0" applyNumberFormat="1" applyFill="1" applyBorder="1"/>
    <xf numFmtId="0" fontId="0" fillId="59" borderId="0" xfId="0" applyFill="1"/>
    <xf numFmtId="0" fontId="3" fillId="59" borderId="0" xfId="0" applyFont="1" applyFill="1"/>
    <xf numFmtId="0" fontId="40" fillId="59" borderId="0" xfId="0" applyFont="1" applyFill="1" applyAlignment="1">
      <alignment horizontal="center"/>
    </xf>
    <xf numFmtId="0" fontId="4" fillId="59" borderId="3" xfId="0" applyFont="1" applyFill="1" applyBorder="1" applyAlignment="1">
      <alignment horizontal="center"/>
    </xf>
    <xf numFmtId="0" fontId="17" fillId="59" borderId="3" xfId="0" applyFont="1" applyFill="1" applyBorder="1" applyAlignment="1">
      <alignment horizontal="center"/>
    </xf>
    <xf numFmtId="167" fontId="0" fillId="59" borderId="0" xfId="1" applyNumberFormat="1" applyFont="1" applyFill="1"/>
    <xf numFmtId="167" fontId="0" fillId="59" borderId="0" xfId="1" applyNumberFormat="1" applyFont="1" applyFill="1" applyBorder="1" applyAlignment="1">
      <alignment horizontal="right"/>
    </xf>
    <xf numFmtId="167" fontId="0" fillId="59" borderId="1" xfId="1" applyNumberFormat="1" applyFont="1" applyFill="1" applyBorder="1" applyAlignment="1">
      <alignment horizontal="right"/>
    </xf>
    <xf numFmtId="167" fontId="7" fillId="59" borderId="4" xfId="1" applyNumberFormat="1" applyFont="1" applyFill="1" applyBorder="1"/>
    <xf numFmtId="167" fontId="5" fillId="59" borderId="0" xfId="1" applyNumberFormat="1" applyFont="1" applyFill="1"/>
    <xf numFmtId="3" fontId="5" fillId="59" borderId="0" xfId="1" applyNumberFormat="1" applyFont="1" applyFill="1"/>
    <xf numFmtId="167" fontId="5" fillId="59" borderId="1" xfId="1" applyNumberFormat="1" applyFont="1" applyFill="1" applyBorder="1"/>
    <xf numFmtId="167" fontId="6" fillId="59" borderId="4" xfId="1" applyNumberFormat="1" applyFont="1" applyFill="1" applyBorder="1"/>
    <xf numFmtId="167" fontId="0" fillId="59" borderId="1" xfId="1" applyNumberFormat="1" applyFont="1" applyFill="1" applyBorder="1"/>
    <xf numFmtId="167" fontId="6" fillId="59" borderId="0" xfId="1" applyNumberFormat="1" applyFont="1" applyFill="1"/>
    <xf numFmtId="167" fontId="0" fillId="59" borderId="5" xfId="1" applyNumberFormat="1" applyFont="1" applyFill="1" applyBorder="1"/>
    <xf numFmtId="167" fontId="0" fillId="59" borderId="22" xfId="0" applyNumberFormat="1" applyFill="1" applyBorder="1"/>
    <xf numFmtId="167" fontId="0" fillId="59" borderId="24" xfId="0" applyNumberFormat="1" applyFill="1" applyBorder="1"/>
    <xf numFmtId="167" fontId="0" fillId="59" borderId="1" xfId="0" applyNumberFormat="1" applyFill="1" applyBorder="1"/>
    <xf numFmtId="167" fontId="0" fillId="59" borderId="27" xfId="0" applyNumberFormat="1" applyFill="1" applyBorder="1"/>
    <xf numFmtId="167" fontId="0" fillId="59" borderId="0" xfId="0" applyNumberFormat="1" applyFill="1" applyBorder="1"/>
    <xf numFmtId="167" fontId="0" fillId="59" borderId="26" xfId="0" applyNumberFormat="1" applyFill="1" applyBorder="1"/>
    <xf numFmtId="0" fontId="0" fillId="59" borderId="0" xfId="0" applyFill="1" applyBorder="1"/>
    <xf numFmtId="0" fontId="0" fillId="59" borderId="26" xfId="0" applyFill="1" applyBorder="1"/>
    <xf numFmtId="167" fontId="0" fillId="59" borderId="3" xfId="0" applyNumberFormat="1" applyFill="1" applyBorder="1"/>
    <xf numFmtId="0" fontId="0" fillId="59" borderId="3" xfId="0" applyFill="1" applyBorder="1"/>
    <xf numFmtId="0" fontId="0" fillId="59" borderId="30" xfId="0" applyFill="1" applyBorder="1"/>
    <xf numFmtId="167" fontId="32" fillId="0" borderId="0" xfId="1" applyNumberFormat="1" applyFont="1" applyFill="1"/>
    <xf numFmtId="0" fontId="7" fillId="0" borderId="0" xfId="44" applyFont="1"/>
    <xf numFmtId="0" fontId="3" fillId="0" borderId="0" xfId="44" applyFont="1" applyFill="1"/>
    <xf numFmtId="0" fontId="3" fillId="60" borderId="0" xfId="44" applyFill="1"/>
    <xf numFmtId="0" fontId="3" fillId="7" borderId="0" xfId="44" applyFill="1"/>
    <xf numFmtId="0" fontId="3" fillId="48" borderId="0" xfId="44" applyFill="1"/>
    <xf numFmtId="3" fontId="20" fillId="60" borderId="0" xfId="44" applyNumberFormat="1" applyFont="1" applyFill="1" applyAlignment="1">
      <alignment horizontal="center"/>
    </xf>
    <xf numFmtId="3" fontId="20" fillId="7" borderId="0" xfId="44" applyNumberFormat="1" applyFont="1" applyFill="1" applyAlignment="1">
      <alignment horizontal="center"/>
    </xf>
    <xf numFmtId="0" fontId="20" fillId="7" borderId="0" xfId="44" applyFont="1" applyFill="1"/>
    <xf numFmtId="0" fontId="20" fillId="48" borderId="0" xfId="44" applyFont="1" applyFill="1"/>
    <xf numFmtId="3" fontId="20" fillId="0" borderId="0" xfId="44" applyNumberFormat="1" applyFont="1" applyFill="1" applyAlignment="1">
      <alignment horizontal="center"/>
    </xf>
    <xf numFmtId="0" fontId="4" fillId="0" borderId="3" xfId="44" applyFont="1" applyBorder="1" applyAlignment="1">
      <alignment horizontal="center"/>
    </xf>
    <xf numFmtId="49" fontId="4" fillId="0" borderId="3" xfId="44" applyNumberFormat="1" applyFont="1" applyBorder="1" applyAlignment="1">
      <alignment horizontal="center"/>
    </xf>
    <xf numFmtId="49" fontId="4" fillId="0" borderId="3" xfId="44" applyNumberFormat="1" applyFont="1" applyFill="1" applyBorder="1" applyAlignment="1">
      <alignment horizontal="center"/>
    </xf>
    <xf numFmtId="49" fontId="4" fillId="60" borderId="3" xfId="44" applyNumberFormat="1" applyFont="1" applyFill="1" applyBorder="1" applyAlignment="1">
      <alignment horizontal="center"/>
    </xf>
    <xf numFmtId="49" fontId="4" fillId="7" borderId="3" xfId="44" applyNumberFormat="1" applyFont="1" applyFill="1" applyBorder="1" applyAlignment="1">
      <alignment horizontal="center"/>
    </xf>
    <xf numFmtId="0" fontId="4" fillId="7" borderId="0" xfId="44" applyFont="1" applyFill="1"/>
    <xf numFmtId="0" fontId="4" fillId="48" borderId="0" xfId="44" applyFont="1" applyFill="1"/>
    <xf numFmtId="167" fontId="0" fillId="60" borderId="0" xfId="1" applyNumberFormat="1" applyFont="1" applyFill="1"/>
    <xf numFmtId="167" fontId="0" fillId="7" borderId="0" xfId="1" applyNumberFormat="1" applyFont="1" applyFill="1"/>
    <xf numFmtId="167" fontId="0" fillId="48" borderId="0" xfId="1" applyNumberFormat="1" applyFont="1" applyFill="1"/>
    <xf numFmtId="167" fontId="3" fillId="0" borderId="1" xfId="1" applyNumberFormat="1" applyFont="1" applyFill="1" applyBorder="1"/>
    <xf numFmtId="167" fontId="0" fillId="60" borderId="1" xfId="1" applyNumberFormat="1" applyFont="1" applyFill="1" applyBorder="1"/>
    <xf numFmtId="167" fontId="0" fillId="7" borderId="1" xfId="1" applyNumberFormat="1" applyFont="1" applyFill="1" applyBorder="1"/>
    <xf numFmtId="167" fontId="0" fillId="48" borderId="1" xfId="1" applyNumberFormat="1" applyFont="1" applyFill="1" applyBorder="1"/>
    <xf numFmtId="167" fontId="7" fillId="60" borderId="5" xfId="1" applyNumberFormat="1" applyFont="1" applyFill="1" applyBorder="1"/>
    <xf numFmtId="167" fontId="7" fillId="7" borderId="5" xfId="1" applyNumberFormat="1" applyFont="1" applyFill="1" applyBorder="1"/>
    <xf numFmtId="167" fontId="7" fillId="48" borderId="5" xfId="1" applyNumberFormat="1" applyFont="1" applyFill="1" applyBorder="1"/>
    <xf numFmtId="167" fontId="3" fillId="0" borderId="0" xfId="1" applyNumberFormat="1" applyFont="1" applyFill="1" applyBorder="1"/>
    <xf numFmtId="167" fontId="0" fillId="60" borderId="0" xfId="1" applyNumberFormat="1" applyFont="1" applyFill="1" applyBorder="1"/>
    <xf numFmtId="167" fontId="0" fillId="7" borderId="0" xfId="1" applyNumberFormat="1" applyFont="1" applyFill="1" applyBorder="1"/>
    <xf numFmtId="167" fontId="0" fillId="48" borderId="0" xfId="1" applyNumberFormat="1" applyFont="1" applyFill="1" applyBorder="1"/>
    <xf numFmtId="167" fontId="3" fillId="60" borderId="0" xfId="1" applyNumberFormat="1" applyFont="1" applyFill="1"/>
    <xf numFmtId="167" fontId="3" fillId="48" borderId="0" xfId="1" applyNumberFormat="1" applyFont="1" applyFill="1"/>
    <xf numFmtId="0" fontId="3" fillId="0" borderId="1" xfId="44" applyBorder="1"/>
    <xf numFmtId="3" fontId="3" fillId="0" borderId="1" xfId="44" applyNumberFormat="1" applyFill="1" applyBorder="1"/>
    <xf numFmtId="3" fontId="3" fillId="60" borderId="1" xfId="44" applyNumberFormat="1" applyFill="1" applyBorder="1"/>
    <xf numFmtId="3" fontId="3" fillId="7" borderId="1" xfId="44" applyNumberFormat="1" applyFill="1" applyBorder="1"/>
    <xf numFmtId="3" fontId="3" fillId="48" borderId="1" xfId="44" applyNumberFormat="1" applyFill="1" applyBorder="1"/>
    <xf numFmtId="167" fontId="6" fillId="0" borderId="0" xfId="44" applyNumberFormat="1" applyFont="1" applyFill="1"/>
    <xf numFmtId="167" fontId="6" fillId="60" borderId="0" xfId="44" applyNumberFormat="1" applyFont="1" applyFill="1"/>
    <xf numFmtId="167" fontId="6" fillId="7" borderId="0" xfId="44" applyNumberFormat="1" applyFont="1" applyFill="1"/>
    <xf numFmtId="167" fontId="6" fillId="48" borderId="0" xfId="44" applyNumberFormat="1" applyFont="1" applyFill="1"/>
    <xf numFmtId="0" fontId="6" fillId="0" borderId="0" xfId="44" applyFont="1"/>
    <xf numFmtId="0" fontId="20" fillId="7" borderId="0" xfId="44" applyFont="1" applyFill="1" applyAlignment="1">
      <alignment horizontal="center"/>
    </xf>
    <xf numFmtId="0" fontId="20" fillId="48" borderId="0" xfId="44" applyFont="1" applyFill="1" applyAlignment="1">
      <alignment horizontal="center"/>
    </xf>
    <xf numFmtId="0" fontId="4" fillId="7" borderId="3" xfId="44" applyFont="1" applyFill="1" applyBorder="1" applyAlignment="1">
      <alignment horizontal="center"/>
    </xf>
    <xf numFmtId="0" fontId="4" fillId="7" borderId="3" xfId="44" applyFont="1" applyFill="1" applyBorder="1"/>
    <xf numFmtId="0" fontId="4" fillId="48" borderId="3" xfId="44" applyFont="1" applyFill="1" applyBorder="1"/>
    <xf numFmtId="37" fontId="3" fillId="0" borderId="0" xfId="1" applyNumberFormat="1" applyFont="1" applyFill="1"/>
    <xf numFmtId="37" fontId="3" fillId="60" borderId="0" xfId="1" applyNumberFormat="1" applyFont="1" applyFill="1"/>
    <xf numFmtId="37" fontId="3" fillId="7" borderId="0" xfId="1" applyNumberFormat="1" applyFont="1" applyFill="1"/>
    <xf numFmtId="37" fontId="3" fillId="48" borderId="0" xfId="1" applyNumberFormat="1" applyFont="1" applyFill="1"/>
    <xf numFmtId="164" fontId="0" fillId="0" borderId="0" xfId="1" applyNumberFormat="1" applyFont="1"/>
    <xf numFmtId="37" fontId="0" fillId="0" borderId="1" xfId="1" applyNumberFormat="1" applyFont="1" applyBorder="1" applyAlignment="1">
      <alignment horizontal="right"/>
    </xf>
    <xf numFmtId="37" fontId="0" fillId="0" borderId="1" xfId="1" applyNumberFormat="1" applyFont="1" applyFill="1" applyBorder="1" applyAlignment="1">
      <alignment horizontal="right"/>
    </xf>
    <xf numFmtId="37" fontId="3" fillId="0" borderId="1" xfId="1" applyNumberFormat="1" applyFont="1" applyFill="1" applyBorder="1" applyAlignment="1">
      <alignment horizontal="right"/>
    </xf>
    <xf numFmtId="37" fontId="3" fillId="60" borderId="1" xfId="1" applyNumberFormat="1" applyFont="1" applyFill="1" applyBorder="1" applyAlignment="1">
      <alignment horizontal="right"/>
    </xf>
    <xf numFmtId="37" fontId="3" fillId="7" borderId="1" xfId="1" applyNumberFormat="1" applyFont="1" applyFill="1" applyBorder="1" applyAlignment="1">
      <alignment horizontal="right"/>
    </xf>
    <xf numFmtId="37" fontId="3" fillId="48" borderId="1" xfId="1" applyNumberFormat="1" applyFont="1" applyFill="1" applyBorder="1" applyAlignment="1">
      <alignment horizontal="right"/>
    </xf>
    <xf numFmtId="167" fontId="7" fillId="60" borderId="4" xfId="1" applyNumberFormat="1" applyFont="1" applyFill="1" applyBorder="1"/>
    <xf numFmtId="167" fontId="7" fillId="7" borderId="4" xfId="1" applyNumberFormat="1" applyFont="1" applyFill="1" applyBorder="1"/>
    <xf numFmtId="167" fontId="7" fillId="48" borderId="4" xfId="1" applyNumberFormat="1" applyFont="1" applyFill="1" applyBorder="1"/>
    <xf numFmtId="164" fontId="3" fillId="0" borderId="0" xfId="1" applyNumberFormat="1" applyFont="1" applyFill="1"/>
    <xf numFmtId="167" fontId="3" fillId="0" borderId="2" xfId="1" applyNumberFormat="1" applyFont="1" applyBorder="1"/>
    <xf numFmtId="167" fontId="3" fillId="0" borderId="1" xfId="1" applyNumberFormat="1" applyFont="1" applyBorder="1"/>
    <xf numFmtId="167" fontId="3" fillId="60" borderId="1" xfId="1" applyNumberFormat="1" applyFont="1" applyFill="1" applyBorder="1"/>
    <xf numFmtId="167" fontId="3" fillId="7" borderId="1" xfId="1" applyNumberFormat="1" applyFont="1" applyFill="1" applyBorder="1"/>
    <xf numFmtId="167" fontId="3" fillId="48" borderId="1" xfId="1" applyNumberFormat="1" applyFont="1" applyFill="1" applyBorder="1"/>
    <xf numFmtId="167" fontId="6" fillId="60" borderId="4" xfId="1" applyNumberFormat="1" applyFont="1" applyFill="1" applyBorder="1"/>
    <xf numFmtId="167" fontId="6" fillId="7" borderId="4" xfId="1" applyNumberFormat="1" applyFont="1" applyFill="1" applyBorder="1"/>
    <xf numFmtId="167" fontId="6" fillId="48" borderId="4" xfId="1" applyNumberFormat="1" applyFont="1" applyFill="1" applyBorder="1"/>
    <xf numFmtId="37" fontId="3" fillId="0" borderId="0" xfId="1" applyNumberFormat="1" applyFont="1"/>
    <xf numFmtId="167" fontId="6" fillId="60" borderId="0" xfId="1" applyNumberFormat="1" applyFont="1" applyFill="1"/>
    <xf numFmtId="167" fontId="6" fillId="48" borderId="0" xfId="1" applyNumberFormat="1" applyFont="1" applyFill="1"/>
    <xf numFmtId="167" fontId="3" fillId="0" borderId="5" xfId="1" applyNumberFormat="1" applyFont="1" applyFill="1" applyBorder="1"/>
    <xf numFmtId="167" fontId="3" fillId="60" borderId="5" xfId="1" applyNumberFormat="1" applyFont="1" applyFill="1" applyBorder="1"/>
    <xf numFmtId="167" fontId="3" fillId="7" borderId="5" xfId="1" applyNumberFormat="1" applyFont="1" applyFill="1" applyBorder="1"/>
    <xf numFmtId="167" fontId="3" fillId="48" borderId="5" xfId="1" applyNumberFormat="1" applyFont="1" applyFill="1" applyBorder="1"/>
    <xf numFmtId="0" fontId="9" fillId="0" borderId="0" xfId="44" applyFont="1" applyBorder="1"/>
    <xf numFmtId="0" fontId="3" fillId="0" borderId="34" xfId="44" applyBorder="1"/>
    <xf numFmtId="0" fontId="3" fillId="0" borderId="8" xfId="44" applyBorder="1" applyAlignment="1">
      <alignment horizontal="center"/>
    </xf>
    <xf numFmtId="0" fontId="4" fillId="0" borderId="8" xfId="44" applyFont="1" applyBorder="1" applyAlignment="1">
      <alignment horizontal="center"/>
    </xf>
    <xf numFmtId="0" fontId="4" fillId="0" borderId="8" xfId="44" applyFont="1" applyFill="1" applyBorder="1" applyAlignment="1">
      <alignment horizontal="center"/>
    </xf>
    <xf numFmtId="0" fontId="3" fillId="0" borderId="35" xfId="44" applyFill="1" applyBorder="1"/>
    <xf numFmtId="0" fontId="3" fillId="0" borderId="36" xfId="44" applyBorder="1"/>
    <xf numFmtId="0" fontId="3" fillId="0" borderId="37" xfId="44" applyFill="1" applyBorder="1"/>
    <xf numFmtId="0" fontId="3" fillId="0" borderId="38" xfId="44" applyBorder="1"/>
    <xf numFmtId="0" fontId="3" fillId="0" borderId="39" xfId="44" applyFill="1" applyBorder="1"/>
    <xf numFmtId="0" fontId="4" fillId="7" borderId="32" xfId="44" applyFont="1" applyFill="1" applyBorder="1"/>
    <xf numFmtId="175" fontId="4" fillId="7" borderId="31" xfId="44" applyNumberFormat="1" applyFont="1" applyFill="1" applyBorder="1"/>
    <xf numFmtId="167" fontId="4" fillId="7" borderId="31" xfId="1" applyNumberFormat="1" applyFont="1" applyFill="1" applyBorder="1"/>
    <xf numFmtId="167" fontId="4" fillId="7" borderId="33" xfId="1" applyNumberFormat="1" applyFont="1" applyFill="1" applyBorder="1"/>
    <xf numFmtId="0" fontId="6" fillId="0" borderId="0" xfId="44" applyFont="1" applyBorder="1" applyAlignment="1">
      <alignment horizontal="left"/>
    </xf>
    <xf numFmtId="0" fontId="3" fillId="13" borderId="0" xfId="44" applyFill="1"/>
    <xf numFmtId="0" fontId="3" fillId="61" borderId="0" xfId="44" applyFont="1" applyFill="1"/>
    <xf numFmtId="0" fontId="3" fillId="62" borderId="0" xfId="44" applyFont="1" applyFill="1"/>
    <xf numFmtId="3" fontId="4" fillId="61" borderId="0" xfId="44" applyNumberFormat="1" applyFont="1" applyFill="1" applyAlignment="1">
      <alignment horizontal="center"/>
    </xf>
    <xf numFmtId="3" fontId="4" fillId="62" borderId="0" xfId="44" applyNumberFormat="1" applyFont="1" applyFill="1" applyAlignment="1">
      <alignment horizontal="center"/>
    </xf>
    <xf numFmtId="49" fontId="4" fillId="61" borderId="3" xfId="44" applyNumberFormat="1" applyFont="1" applyFill="1" applyBorder="1" applyAlignment="1">
      <alignment horizontal="center"/>
    </xf>
    <xf numFmtId="49" fontId="4" fillId="62" borderId="3" xfId="44" applyNumberFormat="1" applyFont="1" applyFill="1" applyBorder="1" applyAlignment="1">
      <alignment horizontal="center"/>
    </xf>
    <xf numFmtId="1" fontId="4" fillId="0" borderId="3" xfId="44" applyNumberFormat="1" applyFont="1" applyFill="1" applyBorder="1" applyAlignment="1">
      <alignment horizontal="center"/>
    </xf>
    <xf numFmtId="1" fontId="4" fillId="61" borderId="3" xfId="44" applyNumberFormat="1" applyFont="1" applyFill="1" applyBorder="1" applyAlignment="1">
      <alignment horizontal="center"/>
    </xf>
    <xf numFmtId="1" fontId="4" fillId="62" borderId="3" xfId="44" applyNumberFormat="1" applyFont="1" applyFill="1" applyBorder="1" applyAlignment="1">
      <alignment horizontal="center"/>
    </xf>
    <xf numFmtId="167" fontId="4" fillId="0" borderId="0" xfId="66" applyNumberFormat="1" applyFont="1"/>
    <xf numFmtId="167" fontId="3" fillId="0" borderId="0" xfId="66" applyNumberFormat="1" applyFont="1"/>
    <xf numFmtId="167" fontId="3" fillId="0" borderId="0" xfId="66" applyNumberFormat="1" applyFont="1" applyFill="1"/>
    <xf numFmtId="176" fontId="89" fillId="0" borderId="2" xfId="2" applyNumberFormat="1" applyFont="1" applyFill="1" applyBorder="1"/>
    <xf numFmtId="176" fontId="89" fillId="61" borderId="2" xfId="2" applyNumberFormat="1" applyFont="1" applyFill="1" applyBorder="1"/>
    <xf numFmtId="176" fontId="89" fillId="62" borderId="2" xfId="2" applyNumberFormat="1" applyFont="1" applyFill="1" applyBorder="1"/>
    <xf numFmtId="167" fontId="3" fillId="61" borderId="0" xfId="66" applyNumberFormat="1" applyFont="1" applyFill="1"/>
    <xf numFmtId="167" fontId="3" fillId="62" borderId="0" xfId="66" applyNumberFormat="1" applyFont="1" applyFill="1"/>
    <xf numFmtId="177" fontId="90" fillId="0" borderId="0" xfId="66" applyNumberFormat="1" applyFont="1" applyFill="1"/>
    <xf numFmtId="177" fontId="3" fillId="0" borderId="0" xfId="66" applyNumberFormat="1" applyFont="1" applyFill="1"/>
    <xf numFmtId="177" fontId="90" fillId="61" borderId="0" xfId="66" applyNumberFormat="1" applyFont="1" applyFill="1"/>
    <xf numFmtId="177" fontId="90" fillId="62" borderId="0" xfId="66" applyNumberFormat="1" applyFont="1" applyFill="1"/>
    <xf numFmtId="167" fontId="3" fillId="0" borderId="1" xfId="66" applyNumberFormat="1" applyFont="1" applyFill="1" applyBorder="1" applyAlignment="1">
      <alignment horizontal="right"/>
    </xf>
    <xf numFmtId="167" fontId="4" fillId="0" borderId="4" xfId="66" applyNumberFormat="1" applyFont="1" applyFill="1" applyBorder="1"/>
    <xf numFmtId="177" fontId="89" fillId="0" borderId="4" xfId="66" applyNumberFormat="1" applyFont="1" applyFill="1" applyBorder="1"/>
    <xf numFmtId="177" fontId="4" fillId="0" borderId="4" xfId="66" applyNumberFormat="1" applyFont="1" applyFill="1" applyBorder="1"/>
    <xf numFmtId="177" fontId="89" fillId="61" borderId="4" xfId="66" applyNumberFormat="1" applyFont="1" applyFill="1" applyBorder="1"/>
    <xf numFmtId="177" fontId="89" fillId="62" borderId="4" xfId="66" applyNumberFormat="1" applyFont="1" applyFill="1" applyBorder="1"/>
    <xf numFmtId="177" fontId="3" fillId="62" borderId="0" xfId="66" applyNumberFormat="1" applyFont="1" applyFill="1"/>
    <xf numFmtId="177" fontId="3" fillId="61" borderId="0" xfId="66" applyNumberFormat="1" applyFont="1" applyFill="1"/>
    <xf numFmtId="167" fontId="3" fillId="0" borderId="1" xfId="66" applyNumberFormat="1" applyFont="1" applyFill="1" applyBorder="1"/>
    <xf numFmtId="177" fontId="3" fillId="0" borderId="1" xfId="66" applyNumberFormat="1" applyFont="1" applyFill="1" applyBorder="1"/>
    <xf numFmtId="177" fontId="90" fillId="0" borderId="1" xfId="66" applyNumberFormat="1" applyFont="1" applyFill="1" applyBorder="1"/>
    <xf numFmtId="167" fontId="90" fillId="0" borderId="1" xfId="66" applyNumberFormat="1" applyFont="1" applyFill="1" applyBorder="1"/>
    <xf numFmtId="177" fontId="90" fillId="61" borderId="1" xfId="66" applyNumberFormat="1" applyFont="1" applyFill="1" applyBorder="1"/>
    <xf numFmtId="177" fontId="90" fillId="62" borderId="1" xfId="66" applyNumberFormat="1" applyFont="1" applyFill="1" applyBorder="1"/>
    <xf numFmtId="167" fontId="3" fillId="0" borderId="4" xfId="66" applyNumberFormat="1" applyFont="1" applyFill="1" applyBorder="1"/>
    <xf numFmtId="177" fontId="3" fillId="0" borderId="4" xfId="66" applyNumberFormat="1" applyFont="1" applyFill="1" applyBorder="1"/>
    <xf numFmtId="177" fontId="90" fillId="0" borderId="4" xfId="66" applyNumberFormat="1" applyFont="1" applyFill="1" applyBorder="1"/>
    <xf numFmtId="177" fontId="90" fillId="61" borderId="4" xfId="66" applyNumberFormat="1" applyFont="1" applyFill="1" applyBorder="1"/>
    <xf numFmtId="177" fontId="90" fillId="62" borderId="4" xfId="66" applyNumberFormat="1" applyFont="1" applyFill="1" applyBorder="1"/>
    <xf numFmtId="167" fontId="4" fillId="0" borderId="5" xfId="66" applyNumberFormat="1" applyFont="1" applyFill="1" applyBorder="1"/>
    <xf numFmtId="177" fontId="4" fillId="0" borderId="5" xfId="66" applyNumberFormat="1" applyFont="1" applyFill="1" applyBorder="1"/>
    <xf numFmtId="177" fontId="89" fillId="0" borderId="5" xfId="66" applyNumberFormat="1" applyFont="1" applyFill="1" applyBorder="1"/>
    <xf numFmtId="177" fontId="89" fillId="61" borderId="5" xfId="66" applyNumberFormat="1" applyFont="1" applyFill="1" applyBorder="1"/>
    <xf numFmtId="177" fontId="89" fillId="62" borderId="5" xfId="66" applyNumberFormat="1" applyFont="1" applyFill="1" applyBorder="1"/>
    <xf numFmtId="177" fontId="90" fillId="0" borderId="0" xfId="44" applyNumberFormat="1" applyFont="1" applyFill="1"/>
    <xf numFmtId="177" fontId="3" fillId="0" borderId="0" xfId="44" applyNumberFormat="1" applyFont="1" applyFill="1"/>
    <xf numFmtId="177" fontId="90" fillId="61" borderId="0" xfId="44" applyNumberFormat="1" applyFont="1" applyFill="1"/>
    <xf numFmtId="177" fontId="90" fillId="62" borderId="0" xfId="44" applyNumberFormat="1" applyFont="1" applyFill="1"/>
    <xf numFmtId="0" fontId="3" fillId="61" borderId="0" xfId="44" applyFill="1"/>
    <xf numFmtId="0" fontId="3" fillId="63" borderId="0" xfId="44" applyFill="1"/>
    <xf numFmtId="0" fontId="4" fillId="0" borderId="0" xfId="44" applyFont="1" applyFill="1" applyAlignment="1">
      <alignment horizontal="center"/>
    </xf>
    <xf numFmtId="0" fontId="4" fillId="61" borderId="0" xfId="44" applyFont="1" applyFill="1" applyAlignment="1">
      <alignment horizontal="center"/>
    </xf>
    <xf numFmtId="0" fontId="4" fillId="63" borderId="0" xfId="44" applyFont="1" applyFill="1" applyAlignment="1">
      <alignment horizontal="center"/>
    </xf>
    <xf numFmtId="0" fontId="4" fillId="61" borderId="0" xfId="44" applyFont="1" applyFill="1" applyBorder="1" applyAlignment="1">
      <alignment horizontal="center"/>
    </xf>
    <xf numFmtId="0" fontId="4" fillId="63" borderId="0" xfId="44" applyFont="1" applyFill="1" applyBorder="1" applyAlignment="1">
      <alignment horizontal="center"/>
    </xf>
    <xf numFmtId="0" fontId="4" fillId="0" borderId="3" xfId="44" applyFont="1" applyFill="1" applyBorder="1" applyAlignment="1">
      <alignment horizontal="center"/>
    </xf>
    <xf numFmtId="0" fontId="4" fillId="61" borderId="3" xfId="44" applyFont="1" applyFill="1" applyBorder="1" applyAlignment="1">
      <alignment horizontal="center"/>
    </xf>
    <xf numFmtId="0" fontId="4" fillId="63" borderId="3" xfId="44" applyFont="1" applyFill="1" applyBorder="1" applyAlignment="1">
      <alignment horizontal="center"/>
    </xf>
    <xf numFmtId="0" fontId="3" fillId="63" borderId="0" xfId="44" applyFont="1" applyFill="1"/>
    <xf numFmtId="167" fontId="3" fillId="61" borderId="0" xfId="1" applyNumberFormat="1" applyFont="1" applyFill="1"/>
    <xf numFmtId="167" fontId="3" fillId="63" borderId="0" xfId="1" applyNumberFormat="1" applyFont="1" applyFill="1"/>
    <xf numFmtId="167" fontId="4" fillId="0" borderId="4" xfId="1" applyNumberFormat="1" applyFont="1" applyBorder="1"/>
    <xf numFmtId="167" fontId="4" fillId="0" borderId="4" xfId="1" applyNumberFormat="1" applyFont="1" applyFill="1" applyBorder="1"/>
    <xf numFmtId="167" fontId="4" fillId="61" borderId="4" xfId="1" applyNumberFormat="1" applyFont="1" applyFill="1" applyBorder="1"/>
    <xf numFmtId="167" fontId="4" fillId="63" borderId="4" xfId="1" applyNumberFormat="1" applyFont="1" applyFill="1" applyBorder="1"/>
    <xf numFmtId="167" fontId="4" fillId="0" borderId="0" xfId="1" applyNumberFormat="1" applyFont="1" applyBorder="1"/>
    <xf numFmtId="167" fontId="4" fillId="61" borderId="0" xfId="1" applyNumberFormat="1" applyFont="1" applyFill="1" applyBorder="1"/>
    <xf numFmtId="167" fontId="4" fillId="63" borderId="0" xfId="1" applyNumberFormat="1" applyFont="1" applyFill="1" applyBorder="1"/>
    <xf numFmtId="167" fontId="3" fillId="61" borderId="1" xfId="1" applyNumberFormat="1" applyFont="1" applyFill="1" applyBorder="1"/>
    <xf numFmtId="167" fontId="3" fillId="63" borderId="1" xfId="1" applyNumberFormat="1" applyFont="1" applyFill="1" applyBorder="1"/>
    <xf numFmtId="167" fontId="6" fillId="61" borderId="4" xfId="1" applyNumberFormat="1" applyFont="1" applyFill="1" applyBorder="1"/>
    <xf numFmtId="167" fontId="6" fillId="63" borderId="4" xfId="1" applyNumberFormat="1" applyFont="1" applyFill="1" applyBorder="1"/>
    <xf numFmtId="167" fontId="3" fillId="0" borderId="8" xfId="1" applyNumberFormat="1" applyFont="1" applyBorder="1"/>
    <xf numFmtId="167" fontId="3" fillId="0" borderId="8" xfId="1" applyNumberFormat="1" applyFont="1" applyFill="1" applyBorder="1"/>
    <xf numFmtId="167" fontId="3" fillId="61" borderId="8" xfId="1" applyNumberFormat="1" applyFont="1" applyFill="1" applyBorder="1"/>
    <xf numFmtId="167" fontId="3" fillId="63" borderId="8" xfId="1" applyNumberFormat="1" applyFont="1" applyFill="1" applyBorder="1"/>
    <xf numFmtId="167" fontId="4" fillId="0" borderId="5" xfId="1" applyNumberFormat="1" applyFont="1" applyBorder="1"/>
    <xf numFmtId="167" fontId="4" fillId="61" borderId="5" xfId="1" applyNumberFormat="1" applyFont="1" applyFill="1" applyBorder="1"/>
    <xf numFmtId="167" fontId="4" fillId="63" borderId="5" xfId="1" applyNumberFormat="1" applyFont="1" applyFill="1" applyBorder="1"/>
    <xf numFmtId="0" fontId="5" fillId="0" borderId="0" xfId="0" applyFont="1" applyAlignment="1">
      <alignment wrapText="1"/>
    </xf>
    <xf numFmtId="0" fontId="0" fillId="0" borderId="0" xfId="0" applyAlignment="1">
      <alignment wrapText="1"/>
    </xf>
    <xf numFmtId="0" fontId="4" fillId="0" borderId="0" xfId="0" applyFont="1" applyAlignment="1">
      <alignment horizontal="center"/>
    </xf>
    <xf numFmtId="0" fontId="3" fillId="0" borderId="0" xfId="0" applyFont="1" applyFill="1" applyAlignment="1">
      <alignment wrapText="1"/>
    </xf>
    <xf numFmtId="0" fontId="0" fillId="0" borderId="0" xfId="0" applyFill="1" applyAlignment="1">
      <alignment wrapText="1"/>
    </xf>
    <xf numFmtId="0" fontId="17" fillId="0" borderId="0" xfId="0" applyFont="1" applyFill="1" applyAlignment="1">
      <alignment wrapText="1"/>
    </xf>
    <xf numFmtId="0" fontId="70" fillId="0" borderId="0" xfId="46" applyFont="1" applyAlignment="1">
      <alignment wrapText="1"/>
    </xf>
    <xf numFmtId="0" fontId="71" fillId="0" borderId="0" xfId="44" applyFont="1" applyAlignment="1">
      <alignment wrapText="1"/>
    </xf>
    <xf numFmtId="0" fontId="3" fillId="0" borderId="0" xfId="44" applyFont="1" applyBorder="1" applyAlignment="1">
      <alignment wrapText="1"/>
    </xf>
  </cellXfs>
  <cellStyles count="69">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BlackHeading" xfId="49"/>
    <cellStyle name="Calculation" xfId="13" builtinId="22" customBuiltin="1"/>
    <cellStyle name="Check Cell" xfId="15" builtinId="23" customBuiltin="1"/>
    <cellStyle name="Comma" xfId="1" builtinId="3"/>
    <cellStyle name="Comma 2" xfId="48"/>
    <cellStyle name="Comma 2 2" xfId="66"/>
    <cellStyle name="Comma 3" xfId="50"/>
    <cellStyle name="Comma 4" xfId="51"/>
    <cellStyle name="Comma_OTPP smoothing comparisons" xfId="47"/>
    <cellStyle name="Currency 2" xfId="52"/>
    <cellStyle name="Currency 3" xfId="53"/>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LtBlue" xfId="54"/>
    <cellStyle name="LtGreen" xfId="55"/>
    <cellStyle name="LtRed" xfId="56"/>
    <cellStyle name="Neutral" xfId="10" builtinId="28" customBuiltin="1"/>
    <cellStyle name="Normal" xfId="0" builtinId="0"/>
    <cellStyle name="Normal 15 3" xfId="68"/>
    <cellStyle name="Normal 2" xfId="43"/>
    <cellStyle name="Normal 2 2" xfId="57"/>
    <cellStyle name="Normal 3" xfId="44"/>
    <cellStyle name="Normal 4" xfId="58"/>
    <cellStyle name="Normal 5" xfId="59"/>
    <cellStyle name="Normal 6" xfId="60"/>
    <cellStyle name="Normal 7" xfId="61"/>
    <cellStyle name="Normal_OTPP smoothing comparisons" xfId="46"/>
    <cellStyle name="Note 2" xfId="45"/>
    <cellStyle name="Orange" xfId="62"/>
    <cellStyle name="Output" xfId="12" builtinId="21" customBuiltin="1"/>
    <cellStyle name="Percent" xfId="2" builtinId="5"/>
    <cellStyle name="Percent 2" xfId="63"/>
    <cellStyle name="Percent 2 2" xfId="67"/>
    <cellStyle name="Percent 3" xfId="64"/>
    <cellStyle name="Title" xfId="3" builtinId="15" customBuiltin="1"/>
    <cellStyle name="Total" xfId="18" builtinId="25" customBuiltin="1"/>
    <cellStyle name="Warning Text" xfId="16" builtinId="11" customBuiltin="1"/>
    <cellStyle name="Yellow" xfId="6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428625</xdr:colOff>
      <xdr:row>4</xdr:row>
      <xdr:rowOff>19050</xdr:rowOff>
    </xdr:from>
    <xdr:to>
      <xdr:col>25</xdr:col>
      <xdr:colOff>428625</xdr:colOff>
      <xdr:row>4</xdr:row>
      <xdr:rowOff>19050</xdr:rowOff>
    </xdr:to>
    <xdr:sp macro="" textlink="">
      <xdr:nvSpPr>
        <xdr:cNvPr id="1121" name="Line 2"/>
        <xdr:cNvSpPr>
          <a:spLocks noChangeShapeType="1"/>
        </xdr:cNvSpPr>
      </xdr:nvSpPr>
      <xdr:spPr bwMode="auto">
        <a:xfrm>
          <a:off x="11287125" y="714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428625</xdr:colOff>
      <xdr:row>4</xdr:row>
      <xdr:rowOff>19050</xdr:rowOff>
    </xdr:from>
    <xdr:to>
      <xdr:col>26</xdr:col>
      <xdr:colOff>428625</xdr:colOff>
      <xdr:row>4</xdr:row>
      <xdr:rowOff>19050</xdr:rowOff>
    </xdr:to>
    <xdr:sp macro="" textlink="">
      <xdr:nvSpPr>
        <xdr:cNvPr id="4" name="Line 2"/>
        <xdr:cNvSpPr>
          <a:spLocks noChangeShapeType="1"/>
        </xdr:cNvSpPr>
      </xdr:nvSpPr>
      <xdr:spPr bwMode="auto">
        <a:xfrm>
          <a:off x="11287125" y="714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B/ERAS/PUBLIC%20ACCOUNTS/15-16-pub.act/Benefits/Pension/OPSEU/OPSEU%202016%20Calculations%202016-17%20PA%20(updated%20for%20contribution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B/ERAS/PUBLIC%20ACCOUNTS/15-16-pub.act/Benefits/FS%20Pension%20Note/From%20BPS/2016-17%20HOOPP%20PRRT%20Forecast%20(Feb%2001%202016)-OPC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B/ERAS/PUBLIC%20ACCOUNTS/15-16-pub.act/Benefits/FS%20Pension%20Note/From%20BPS/CAATPP%202016%20Budget%20Calculation%20(Basis%20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B/ERAS/PUBLIC%20ACCOUNTS/15-16-pub.act/Benefits/Pension/OTPP/OTPP%202016%20-17%20forecast%20database%20v1%20(Basis%203)%20updated%20with%20final%20assets%20from%20audited%20FS%20OTPP.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B/ERAS/PUBLIC%20ACCOUNTS/15-16-pub.act/Benefits/FS%20Pension%20Note/2015-16%20Pension%20Note%20to%20FS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nput"/>
      <sheetName val="split"/>
      <sheetName val="Interest"/>
      <sheetName val="experience g(l)"/>
      <sheetName val="amendment"/>
      <sheetName val="initial ufl"/>
      <sheetName val="contributions"/>
      <sheetName val="year end"/>
      <sheetName val="expense"/>
      <sheetName val="liability"/>
    </sheetNames>
    <sheetDataSet>
      <sheetData sheetId="0">
        <row r="12">
          <cell r="C12">
            <v>5683</v>
          </cell>
          <cell r="D12">
            <v>5659</v>
          </cell>
          <cell r="E12">
            <v>6262</v>
          </cell>
          <cell r="F12">
            <v>6817</v>
          </cell>
          <cell r="G12">
            <v>6837</v>
          </cell>
          <cell r="H12">
            <v>7660</v>
          </cell>
          <cell r="I12">
            <v>7867</v>
          </cell>
          <cell r="J12">
            <v>8456</v>
          </cell>
          <cell r="K12">
            <v>8887</v>
          </cell>
          <cell r="L12">
            <v>9407</v>
          </cell>
          <cell r="M12">
            <v>9876</v>
          </cell>
          <cell r="N12">
            <v>10359</v>
          </cell>
          <cell r="O12">
            <v>10956</v>
          </cell>
          <cell r="P12">
            <v>11548</v>
          </cell>
          <cell r="Q12">
            <v>12229</v>
          </cell>
          <cell r="R12">
            <v>12842</v>
          </cell>
          <cell r="S12">
            <v>13420</v>
          </cell>
          <cell r="T12">
            <v>14133</v>
          </cell>
          <cell r="U12">
            <v>14392</v>
          </cell>
          <cell r="V12">
            <v>15133</v>
          </cell>
          <cell r="W12">
            <v>15557</v>
          </cell>
          <cell r="X12">
            <v>16088</v>
          </cell>
          <cell r="Y12">
            <v>16613</v>
          </cell>
          <cell r="Z12">
            <v>17135</v>
          </cell>
          <cell r="AA12">
            <v>17652</v>
          </cell>
          <cell r="AB12">
            <v>18162</v>
          </cell>
        </row>
        <row r="14">
          <cell r="C14">
            <v>337</v>
          </cell>
          <cell r="D14">
            <v>296</v>
          </cell>
          <cell r="E14">
            <v>299</v>
          </cell>
          <cell r="F14">
            <v>314</v>
          </cell>
          <cell r="G14">
            <v>235</v>
          </cell>
          <cell r="H14">
            <v>259</v>
          </cell>
          <cell r="I14">
            <v>269</v>
          </cell>
          <cell r="J14">
            <v>260</v>
          </cell>
          <cell r="K14">
            <v>265</v>
          </cell>
          <cell r="L14">
            <v>274</v>
          </cell>
          <cell r="M14">
            <v>329</v>
          </cell>
          <cell r="N14">
            <v>328</v>
          </cell>
          <cell r="O14">
            <v>352</v>
          </cell>
          <cell r="P14">
            <v>380</v>
          </cell>
          <cell r="Q14">
            <v>394</v>
          </cell>
          <cell r="R14">
            <v>415</v>
          </cell>
          <cell r="S14">
            <v>422</v>
          </cell>
          <cell r="T14">
            <v>429</v>
          </cell>
          <cell r="U14">
            <v>427</v>
          </cell>
          <cell r="V14">
            <v>428</v>
          </cell>
          <cell r="W14">
            <v>414</v>
          </cell>
          <cell r="X14">
            <v>423</v>
          </cell>
          <cell r="Y14">
            <v>431</v>
          </cell>
          <cell r="Z14">
            <v>444</v>
          </cell>
          <cell r="AA14">
            <v>458</v>
          </cell>
          <cell r="AB14">
            <v>471</v>
          </cell>
        </row>
        <row r="16">
          <cell r="C16">
            <v>326</v>
          </cell>
          <cell r="F16">
            <v>32</v>
          </cell>
          <cell r="G16">
            <v>344</v>
          </cell>
          <cell r="H16">
            <v>0</v>
          </cell>
          <cell r="J16">
            <v>294</v>
          </cell>
          <cell r="K16">
            <v>25</v>
          </cell>
          <cell r="M16">
            <v>88</v>
          </cell>
        </row>
        <row r="28">
          <cell r="C28">
            <v>5480</v>
          </cell>
          <cell r="D28">
            <v>6176</v>
          </cell>
          <cell r="E28">
            <v>6965</v>
          </cell>
          <cell r="F28">
            <v>7705</v>
          </cell>
          <cell r="G28">
            <v>8643</v>
          </cell>
          <cell r="H28">
            <v>9296</v>
          </cell>
          <cell r="I28">
            <v>9716</v>
          </cell>
          <cell r="J28">
            <v>9516</v>
          </cell>
          <cell r="K28">
            <v>9715</v>
          </cell>
          <cell r="L28">
            <v>9968</v>
          </cell>
          <cell r="M28">
            <v>10631</v>
          </cell>
          <cell r="N28">
            <v>11798</v>
          </cell>
          <cell r="O28">
            <v>13032</v>
          </cell>
          <cell r="P28">
            <v>13414</v>
          </cell>
          <cell r="Q28">
            <v>13541</v>
          </cell>
          <cell r="R28">
            <v>13758.8</v>
          </cell>
          <cell r="S28">
            <v>13939.8</v>
          </cell>
          <cell r="T28">
            <v>14208</v>
          </cell>
          <cell r="U28">
            <v>15210</v>
          </cell>
          <cell r="V28">
            <v>16370</v>
          </cell>
          <cell r="W28">
            <v>17380</v>
          </cell>
          <cell r="X28">
            <v>18566</v>
          </cell>
          <cell r="Y28">
            <v>19699</v>
          </cell>
          <cell r="Z28">
            <v>20712</v>
          </cell>
          <cell r="AA28">
            <v>21579</v>
          </cell>
          <cell r="AB28">
            <v>22407</v>
          </cell>
        </row>
        <row r="31">
          <cell r="C31">
            <v>147</v>
          </cell>
          <cell r="D31">
            <v>123</v>
          </cell>
          <cell r="E31">
            <v>135</v>
          </cell>
          <cell r="F31">
            <v>137</v>
          </cell>
          <cell r="G31">
            <v>123</v>
          </cell>
          <cell r="H31">
            <v>54</v>
          </cell>
          <cell r="I31">
            <v>56</v>
          </cell>
          <cell r="J31">
            <v>55</v>
          </cell>
          <cell r="K31">
            <v>78</v>
          </cell>
          <cell r="L31">
            <v>105</v>
          </cell>
          <cell r="M31">
            <v>146</v>
          </cell>
          <cell r="N31">
            <v>152</v>
          </cell>
          <cell r="O31">
            <v>170</v>
          </cell>
          <cell r="P31">
            <v>167</v>
          </cell>
          <cell r="Q31">
            <v>169</v>
          </cell>
          <cell r="R31">
            <v>207</v>
          </cell>
          <cell r="S31">
            <v>233</v>
          </cell>
          <cell r="T31">
            <v>256</v>
          </cell>
          <cell r="U31">
            <v>237</v>
          </cell>
          <cell r="V31">
            <v>248</v>
          </cell>
          <cell r="W31">
            <v>241</v>
          </cell>
          <cell r="X31">
            <v>242</v>
          </cell>
          <cell r="Y31">
            <v>247</v>
          </cell>
          <cell r="Z31">
            <v>254</v>
          </cell>
          <cell r="AA31">
            <v>261</v>
          </cell>
          <cell r="AB31">
            <v>269</v>
          </cell>
        </row>
        <row r="42">
          <cell r="C42">
            <v>44</v>
          </cell>
          <cell r="D42">
            <v>59</v>
          </cell>
          <cell r="E42">
            <v>161</v>
          </cell>
          <cell r="F42">
            <v>167</v>
          </cell>
          <cell r="G42">
            <v>162</v>
          </cell>
          <cell r="H42">
            <v>155</v>
          </cell>
          <cell r="I42">
            <v>247</v>
          </cell>
          <cell r="J42">
            <v>118.866388</v>
          </cell>
          <cell r="K42">
            <v>117.64713800000001</v>
          </cell>
          <cell r="L42">
            <v>134.94008961</v>
          </cell>
          <cell r="M42">
            <v>143.13529399999999</v>
          </cell>
          <cell r="N42">
            <v>143.29072360999999</v>
          </cell>
          <cell r="O42">
            <v>153.232382</v>
          </cell>
          <cell r="P42">
            <v>157.40236436000001</v>
          </cell>
          <cell r="Q42">
            <v>157.18019799999999</v>
          </cell>
          <cell r="R42">
            <v>183.56782817999999</v>
          </cell>
          <cell r="S42">
            <v>211.51644452925601</v>
          </cell>
          <cell r="T42">
            <v>230.69769583999999</v>
          </cell>
          <cell r="U42">
            <v>218.65698037000001</v>
          </cell>
          <cell r="V42">
            <v>218.3792837</v>
          </cell>
          <cell r="W42">
            <v>213.89965498999999</v>
          </cell>
          <cell r="X42">
            <v>229</v>
          </cell>
          <cell r="Y42">
            <v>234</v>
          </cell>
          <cell r="Z42">
            <v>241</v>
          </cell>
          <cell r="AA42">
            <v>248</v>
          </cell>
          <cell r="AB42">
            <v>255</v>
          </cell>
        </row>
      </sheetData>
      <sheetData sheetId="1">
        <row r="14">
          <cell r="D14">
            <v>389</v>
          </cell>
        </row>
      </sheetData>
      <sheetData sheetId="2">
        <row r="28">
          <cell r="C28">
            <v>28.163499999999999</v>
          </cell>
          <cell r="D28">
            <v>20.974499999999978</v>
          </cell>
          <cell r="E28">
            <v>-38.073000000000036</v>
          </cell>
          <cell r="F28">
            <v>-47.264999999999986</v>
          </cell>
          <cell r="G28">
            <v>-52.853999999999985</v>
          </cell>
          <cell r="H28">
            <v>-121.49999999999994</v>
          </cell>
          <cell r="I28">
            <v>-112.48874999999998</v>
          </cell>
          <cell r="J28">
            <v>-112.69125000000008</v>
          </cell>
          <cell r="K28">
            <v>-69.92999999999995</v>
          </cell>
          <cell r="L28">
            <v>-55.957499999999982</v>
          </cell>
          <cell r="M28">
            <v>-34.69500000000005</v>
          </cell>
          <cell r="N28">
            <v>-50.759999999999991</v>
          </cell>
          <cell r="O28">
            <v>-96.761250000000018</v>
          </cell>
          <cell r="P28">
            <v>-139.25250000000005</v>
          </cell>
          <cell r="Q28">
            <v>-124.74000000000001</v>
          </cell>
          <cell r="R28">
            <v>-88.931249999999977</v>
          </cell>
          <cell r="S28">
            <v>-63.841499999999883</v>
          </cell>
          <cell r="T28">
            <v>-38.259000000000015</v>
          </cell>
          <cell r="U28">
            <v>-8.0324999999999136</v>
          </cell>
          <cell r="V28">
            <v>-58.185000000000059</v>
          </cell>
          <cell r="W28">
            <v>-83.394999999999868</v>
          </cell>
          <cell r="X28">
            <v>-116.8125</v>
          </cell>
          <cell r="Y28">
            <v>-157.8125</v>
          </cell>
          <cell r="Z28">
            <v>-195.875</v>
          </cell>
          <cell r="AA28">
            <v>-226.59375</v>
          </cell>
          <cell r="AB28">
            <v>-248.59375</v>
          </cell>
        </row>
      </sheetData>
      <sheetData sheetId="3">
        <row r="71">
          <cell r="C71">
            <v>326</v>
          </cell>
          <cell r="D71">
            <v>0</v>
          </cell>
          <cell r="E71">
            <v>0</v>
          </cell>
          <cell r="F71">
            <v>32</v>
          </cell>
          <cell r="G71">
            <v>344</v>
          </cell>
          <cell r="H71">
            <v>0</v>
          </cell>
          <cell r="I71">
            <v>0</v>
          </cell>
          <cell r="J71">
            <v>294</v>
          </cell>
          <cell r="K71">
            <v>25</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row>
        <row r="90">
          <cell r="C90">
            <v>14</v>
          </cell>
          <cell r="D90">
            <v>81</v>
          </cell>
          <cell r="E90">
            <v>93</v>
          </cell>
          <cell r="F90">
            <v>102</v>
          </cell>
          <cell r="G90">
            <v>143</v>
          </cell>
          <cell r="H90">
            <v>120</v>
          </cell>
          <cell r="I90">
            <v>123</v>
          </cell>
          <cell r="J90">
            <v>34</v>
          </cell>
          <cell r="K90">
            <v>7</v>
          </cell>
          <cell r="L90">
            <v>-19</v>
          </cell>
          <cell r="M90">
            <v>33</v>
          </cell>
          <cell r="N90">
            <v>55</v>
          </cell>
          <cell r="O90">
            <v>107</v>
          </cell>
          <cell r="P90">
            <v>153</v>
          </cell>
          <cell r="Q90">
            <v>91</v>
          </cell>
          <cell r="R90">
            <v>26</v>
          </cell>
          <cell r="S90">
            <v>-30</v>
          </cell>
          <cell r="T90">
            <v>-138</v>
          </cell>
          <cell r="U90">
            <v>-194</v>
          </cell>
          <cell r="V90">
            <v>-95</v>
          </cell>
          <cell r="W90">
            <v>-51</v>
          </cell>
          <cell r="X90">
            <v>12</v>
          </cell>
          <cell r="Y90">
            <v>50</v>
          </cell>
          <cell r="Z90">
            <v>57</v>
          </cell>
          <cell r="AA90">
            <v>18</v>
          </cell>
          <cell r="AB90">
            <v>-24</v>
          </cell>
        </row>
        <row r="98">
          <cell r="C98">
            <v>272.16350000000057</v>
          </cell>
          <cell r="D98">
            <v>1057.1380000000008</v>
          </cell>
          <cell r="E98">
            <v>1117.0650000000005</v>
          </cell>
          <cell r="F98">
            <v>1156.8000000000002</v>
          </cell>
          <cell r="G98">
            <v>1778.9459999999999</v>
          </cell>
          <cell r="H98">
            <v>1381.4460000000008</v>
          </cell>
          <cell r="I98">
            <v>1297.9572500000004</v>
          </cell>
          <cell r="J98">
            <v>427.26600000000053</v>
          </cell>
          <cell r="K98">
            <v>141.33600000000024</v>
          </cell>
          <cell r="L98">
            <v>-164.62149999999838</v>
          </cell>
          <cell r="M98">
            <v>55.683500000001914</v>
          </cell>
          <cell r="N98">
            <v>639.9235000000017</v>
          </cell>
          <cell r="O98">
            <v>1084.1622500000021</v>
          </cell>
          <cell r="P98">
            <v>607.90975000000162</v>
          </cell>
          <cell r="Q98">
            <v>-125.83024999999816</v>
          </cell>
          <cell r="R98">
            <v>-646.96150000000034</v>
          </cell>
          <cell r="S98">
            <v>-1135.802999999999</v>
          </cell>
          <cell r="T98">
            <v>-1574.8619999999983</v>
          </cell>
          <cell r="U98">
            <v>-733.89449999999761</v>
          </cell>
          <cell r="V98">
            <v>-366.07949999999892</v>
          </cell>
          <cell r="W98">
            <v>95.525500000000648</v>
          </cell>
          <cell r="X98">
            <v>529.71300000000065</v>
          </cell>
          <cell r="Y98">
            <v>835.90050000000065</v>
          </cell>
          <cell r="Z98">
            <v>978.02550000000065</v>
          </cell>
          <cell r="AA98">
            <v>986.43175000000065</v>
          </cell>
          <cell r="AB98">
            <v>978.83800000000065</v>
          </cell>
        </row>
      </sheetData>
      <sheetData sheetId="4" refreshError="1"/>
      <sheetData sheetId="5">
        <row r="10">
          <cell r="D10">
            <v>15</v>
          </cell>
          <cell r="E10">
            <v>15</v>
          </cell>
          <cell r="F10">
            <v>15</v>
          </cell>
          <cell r="G10">
            <v>15</v>
          </cell>
          <cell r="H10">
            <v>15</v>
          </cell>
          <cell r="I10">
            <v>15</v>
          </cell>
          <cell r="J10">
            <v>15</v>
          </cell>
          <cell r="K10">
            <v>15</v>
          </cell>
          <cell r="L10">
            <v>15</v>
          </cell>
          <cell r="M10">
            <v>15</v>
          </cell>
          <cell r="N10">
            <v>15</v>
          </cell>
          <cell r="O10">
            <v>15</v>
          </cell>
          <cell r="P10">
            <v>14</v>
          </cell>
        </row>
        <row r="12">
          <cell r="D12">
            <v>178.5</v>
          </cell>
          <cell r="E12">
            <v>163.5</v>
          </cell>
          <cell r="F12">
            <v>148.5</v>
          </cell>
          <cell r="G12">
            <v>133.5</v>
          </cell>
          <cell r="H12">
            <v>118.5</v>
          </cell>
          <cell r="I12">
            <v>104</v>
          </cell>
          <cell r="J12">
            <v>89</v>
          </cell>
          <cell r="K12">
            <v>74</v>
          </cell>
          <cell r="L12">
            <v>59</v>
          </cell>
          <cell r="M12">
            <v>44</v>
          </cell>
          <cell r="N12">
            <v>29</v>
          </cell>
          <cell r="O12">
            <v>14</v>
          </cell>
          <cell r="P12">
            <v>0</v>
          </cell>
        </row>
      </sheetData>
      <sheetData sheetId="6">
        <row r="44">
          <cell r="C44">
            <v>-4</v>
          </cell>
          <cell r="D44">
            <v>-7</v>
          </cell>
          <cell r="E44">
            <v>-6</v>
          </cell>
          <cell r="F44">
            <v>-4</v>
          </cell>
          <cell r="G44">
            <v>-3</v>
          </cell>
          <cell r="H44">
            <v>1</v>
          </cell>
          <cell r="I44">
            <v>9</v>
          </cell>
          <cell r="J44">
            <v>13</v>
          </cell>
          <cell r="K44">
            <v>15</v>
          </cell>
          <cell r="L44">
            <v>15</v>
          </cell>
          <cell r="M44">
            <v>16</v>
          </cell>
          <cell r="N44">
            <v>15</v>
          </cell>
          <cell r="O44">
            <v>15</v>
          </cell>
          <cell r="P44">
            <v>18</v>
          </cell>
          <cell r="Q44">
            <v>18</v>
          </cell>
          <cell r="R44">
            <v>15</v>
          </cell>
          <cell r="S44">
            <v>13</v>
          </cell>
          <cell r="T44">
            <v>5</v>
          </cell>
          <cell r="U44">
            <v>-3</v>
          </cell>
          <cell r="V44">
            <v>-5</v>
          </cell>
          <cell r="W44">
            <v>-5</v>
          </cell>
          <cell r="X44">
            <v>-7</v>
          </cell>
          <cell r="Y44">
            <v>-7</v>
          </cell>
          <cell r="Z44">
            <v>-7</v>
          </cell>
          <cell r="AA44">
            <v>-8</v>
          </cell>
          <cell r="AB44">
            <v>-8</v>
          </cell>
        </row>
        <row r="49">
          <cell r="C49">
            <v>-47.5</v>
          </cell>
          <cell r="D49">
            <v>-72.5</v>
          </cell>
          <cell r="E49">
            <v>-53.5</v>
          </cell>
          <cell r="F49">
            <v>-34.5</v>
          </cell>
          <cell r="G49">
            <v>-12</v>
          </cell>
          <cell r="H49">
            <v>37.5</v>
          </cell>
          <cell r="I49">
            <v>124</v>
          </cell>
          <cell r="J49">
            <v>142.93319400000001</v>
          </cell>
          <cell r="K49">
            <v>147.75676300000003</v>
          </cell>
          <cell r="L49">
            <v>147.72680780500002</v>
          </cell>
          <cell r="M49">
            <v>130.29445480500002</v>
          </cell>
          <cell r="N49">
            <v>110.93981661000001</v>
          </cell>
          <cell r="O49">
            <v>87.556007609999995</v>
          </cell>
          <cell r="P49">
            <v>64.757189789999984</v>
          </cell>
          <cell r="Q49">
            <v>40.847288789999993</v>
          </cell>
          <cell r="R49">
            <v>14.131202879999989</v>
          </cell>
          <cell r="S49">
            <v>-9.6105748553720218</v>
          </cell>
          <cell r="T49">
            <v>-27.261726935372025</v>
          </cell>
          <cell r="U49">
            <v>-33.433236750372018</v>
          </cell>
          <cell r="V49">
            <v>-43.243594900372017</v>
          </cell>
          <cell r="W49">
            <v>-51.793767405372023</v>
          </cell>
          <cell r="X49">
            <v>-51.293767405372023</v>
          </cell>
          <cell r="Y49">
            <v>-50.793767405372023</v>
          </cell>
          <cell r="Z49">
            <v>-50.293767405372023</v>
          </cell>
          <cell r="AA49">
            <v>-48.793767405372023</v>
          </cell>
          <cell r="AB49">
            <v>-47.793767405372023</v>
          </cell>
        </row>
      </sheetData>
      <sheetData sheetId="7">
        <row r="22">
          <cell r="C22">
            <v>77</v>
          </cell>
          <cell r="D22">
            <v>64.999999999999318</v>
          </cell>
          <cell r="E22">
            <v>62.999999999999091</v>
          </cell>
          <cell r="F22">
            <v>68.999999999999318</v>
          </cell>
          <cell r="G22">
            <v>118.99999999999966</v>
          </cell>
          <cell r="H22">
            <v>156.99999999999994</v>
          </cell>
          <cell r="I22">
            <v>183.99999999999909</v>
          </cell>
          <cell r="J22">
            <v>205.54651399999949</v>
          </cell>
          <cell r="K22">
            <v>251.89937599999928</v>
          </cell>
          <cell r="L22">
            <v>287.95928638999965</v>
          </cell>
          <cell r="M22">
            <v>321.8239923899983</v>
          </cell>
          <cell r="N22">
            <v>348.53326877999797</v>
          </cell>
          <cell r="O22">
            <v>366.30088677999822</v>
          </cell>
          <cell r="P22">
            <v>395.89852241999779</v>
          </cell>
          <cell r="Q22">
            <v>427.71832441999823</v>
          </cell>
          <cell r="R22">
            <v>463.15049623999812</v>
          </cell>
          <cell r="S22">
            <v>498.63405171074351</v>
          </cell>
          <cell r="T22">
            <v>534.93635587074209</v>
          </cell>
          <cell r="U22">
            <v>594.27937550074193</v>
          </cell>
          <cell r="V22">
            <v>643.90009180074139</v>
          </cell>
          <cell r="W22">
            <v>695.00043681074294</v>
          </cell>
          <cell r="X22">
            <v>739.00043681074339</v>
          </cell>
          <cell r="Y22">
            <v>783.00043681074339</v>
          </cell>
          <cell r="Z22">
            <v>828.00043681074339</v>
          </cell>
          <cell r="AA22">
            <v>874.00043681074339</v>
          </cell>
          <cell r="AB22">
            <v>922.00043681074339</v>
          </cell>
        </row>
        <row r="27">
          <cell r="N27">
            <v>-11.239669421487603</v>
          </cell>
          <cell r="O27">
            <v>-11.239669421487603</v>
          </cell>
          <cell r="P27">
            <v>-11.239669421487603</v>
          </cell>
          <cell r="Q27">
            <v>-11.239669421487603</v>
          </cell>
          <cell r="R27">
            <v>-11.239669421487603</v>
          </cell>
          <cell r="S27">
            <v>-11.239669421487603</v>
          </cell>
          <cell r="T27">
            <v>-11.239669421487603</v>
          </cell>
          <cell r="U27">
            <v>-11.239669421487603</v>
          </cell>
          <cell r="V27">
            <v>-11.239669421487603</v>
          </cell>
          <cell r="W27">
            <v>-11.239669421487603</v>
          </cell>
          <cell r="X27">
            <v>-11.239669421487603</v>
          </cell>
          <cell r="Y27">
            <v>-12.239669421487603</v>
          </cell>
        </row>
        <row r="30">
          <cell r="N30">
            <v>-11.239669421487603</v>
          </cell>
          <cell r="O30">
            <v>-22.479338842975206</v>
          </cell>
          <cell r="P30">
            <v>-33.719008264462808</v>
          </cell>
          <cell r="Q30">
            <v>-44.958677685950413</v>
          </cell>
          <cell r="R30">
            <v>-56.198347107438018</v>
          </cell>
          <cell r="S30">
            <v>-67.438016528925615</v>
          </cell>
          <cell r="T30">
            <v>-78.67768595041322</v>
          </cell>
          <cell r="U30">
            <v>-89.917355371900825</v>
          </cell>
          <cell r="V30">
            <v>-101.15702479338843</v>
          </cell>
          <cell r="W30">
            <v>-112.39669421487604</v>
          </cell>
          <cell r="X30">
            <v>-123.63636363636364</v>
          </cell>
          <cell r="Y30">
            <v>-135.87603305785123</v>
          </cell>
          <cell r="Z30">
            <v>-135.87603305785123</v>
          </cell>
          <cell r="AA30">
            <v>-135.87603305785123</v>
          </cell>
          <cell r="AB30">
            <v>-135.87603305785123</v>
          </cell>
        </row>
      </sheetData>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nce Analyses"/>
      <sheetName val="membership and payments"/>
      <sheetName val="smoothing"/>
      <sheetName val="obligation and assets"/>
      <sheetName val="Data Input"/>
      <sheetName val="Interest"/>
      <sheetName val="experience g(l)"/>
      <sheetName val="contributions"/>
      <sheetName val="expense"/>
      <sheetName val="liability"/>
      <sheetName val="hospital"/>
      <sheetName val="HOOPP Consol Adjs Summary (fl)"/>
      <sheetName val="HOOPP Consol Adjs Summary"/>
      <sheetName val="HOOPP to Health"/>
    </sheetNames>
    <sheetDataSet>
      <sheetData sheetId="0" refreshError="1"/>
      <sheetData sheetId="1" refreshError="1"/>
      <sheetData sheetId="2" refreshError="1"/>
      <sheetData sheetId="3" refreshError="1"/>
      <sheetData sheetId="4">
        <row r="31">
          <cell r="G31">
            <v>685</v>
          </cell>
          <cell r="H31">
            <v>718</v>
          </cell>
          <cell r="I31">
            <v>782</v>
          </cell>
          <cell r="J31">
            <v>840</v>
          </cell>
          <cell r="K31">
            <v>890</v>
          </cell>
          <cell r="L31">
            <v>922</v>
          </cell>
          <cell r="M31">
            <v>954</v>
          </cell>
          <cell r="N31">
            <v>1003</v>
          </cell>
          <cell r="P31">
            <v>1075</v>
          </cell>
          <cell r="Q31">
            <v>1109</v>
          </cell>
          <cell r="R31">
            <v>1173.7876981682361</v>
          </cell>
          <cell r="S31">
            <v>1242.360288882855</v>
          </cell>
          <cell r="T31">
            <v>1314.9388852871336</v>
          </cell>
          <cell r="U31">
            <v>1391.7575179378637</v>
          </cell>
          <cell r="V31">
            <v>1487.3308520492812</v>
          </cell>
          <cell r="W31">
            <v>1589.4672994009325</v>
          </cell>
        </row>
      </sheetData>
      <sheetData sheetId="5" refreshError="1"/>
      <sheetData sheetId="6" refreshError="1"/>
      <sheetData sheetId="7" refreshError="1"/>
      <sheetData sheetId="8">
        <row r="20">
          <cell r="F20">
            <v>655.7600000000001</v>
          </cell>
          <cell r="G20">
            <v>746.48</v>
          </cell>
          <cell r="H20">
            <v>807.5200000000001</v>
          </cell>
          <cell r="I20">
            <v>929.60000000000014</v>
          </cell>
          <cell r="J20">
            <v>1024.8000000000002</v>
          </cell>
          <cell r="K20">
            <v>997.36000000000013</v>
          </cell>
          <cell r="L20">
            <v>1071.8400000000001</v>
          </cell>
          <cell r="M20">
            <v>1126.1600000000001</v>
          </cell>
          <cell r="O20">
            <v>1173.2</v>
          </cell>
          <cell r="P20">
            <v>1291.3600000000001</v>
          </cell>
          <cell r="Q20">
            <v>1384.3200000000002</v>
          </cell>
          <cell r="R20">
            <v>1465.1918722527078</v>
          </cell>
          <cell r="S20">
            <v>1550.7882733149811</v>
          </cell>
          <cell r="T20">
            <v>1641.3852098112579</v>
          </cell>
          <cell r="U20">
            <v>1754.1007188284213</v>
          </cell>
          <cell r="V20">
            <v>1874.5565108072301</v>
          </cell>
        </row>
        <row r="21">
          <cell r="F21">
            <v>0</v>
          </cell>
          <cell r="G21">
            <v>19.600000000000001</v>
          </cell>
          <cell r="H21">
            <v>10.64</v>
          </cell>
          <cell r="I21">
            <v>20.720000000000002</v>
          </cell>
          <cell r="J21">
            <v>32.480000000000004</v>
          </cell>
          <cell r="K21">
            <v>29.120000000000005</v>
          </cell>
          <cell r="L21">
            <v>34.720000000000006</v>
          </cell>
          <cell r="M21">
            <v>36.400000000000006</v>
          </cell>
          <cell r="O21">
            <v>-111.40357723577237</v>
          </cell>
          <cell r="P21">
            <v>-265.76780487804882</v>
          </cell>
          <cell r="Q21">
            <v>-405.20780487804882</v>
          </cell>
          <cell r="R21">
            <v>-511.60780487804885</v>
          </cell>
          <cell r="S21">
            <v>-568.16780487804886</v>
          </cell>
          <cell r="T21">
            <v>-619.68699231850633</v>
          </cell>
          <cell r="U21">
            <v>-609.17306194319019</v>
          </cell>
          <cell r="V21">
            <v>-613.4148431447428</v>
          </cell>
        </row>
        <row r="22">
          <cell r="F22">
            <v>7.0252000000000416</v>
          </cell>
          <cell r="G22">
            <v>21.18479999999996</v>
          </cell>
          <cell r="H22">
            <v>16.380000000000003</v>
          </cell>
          <cell r="I22">
            <v>27.527500000000003</v>
          </cell>
          <cell r="J22">
            <v>44.649500000000032</v>
          </cell>
          <cell r="K22">
            <v>50.592500000000008</v>
          </cell>
          <cell r="L22">
            <v>63.262500000000003</v>
          </cell>
          <cell r="M22">
            <v>75.022500000000008</v>
          </cell>
          <cell r="O22">
            <v>-34.387500000000003</v>
          </cell>
          <cell r="P22">
            <v>-132.81071999999992</v>
          </cell>
          <cell r="Q22">
            <v>-225.58684822759039</v>
          </cell>
          <cell r="R22">
            <v>-294.99167760847024</v>
          </cell>
          <cell r="S22">
            <v>-337.7451301807971</v>
          </cell>
          <cell r="T22">
            <v>-377.75136145009594</v>
          </cell>
          <cell r="U22">
            <v>-375.18038043222305</v>
          </cell>
          <cell r="V22">
            <v>-379.02691008997118</v>
          </cell>
        </row>
        <row r="23">
          <cell r="F23">
            <v>0</v>
          </cell>
          <cell r="G23">
            <v>0</v>
          </cell>
          <cell r="H23">
            <v>0</v>
          </cell>
          <cell r="I23">
            <v>0</v>
          </cell>
          <cell r="J23">
            <v>0</v>
          </cell>
          <cell r="K23">
            <v>0</v>
          </cell>
          <cell r="L23">
            <v>0</v>
          </cell>
          <cell r="M23">
            <v>0</v>
          </cell>
          <cell r="O23">
            <v>372.96000000000004</v>
          </cell>
          <cell r="P23">
            <v>64.400000000000006</v>
          </cell>
          <cell r="Q23">
            <v>0</v>
          </cell>
          <cell r="R23">
            <v>0</v>
          </cell>
          <cell r="S23">
            <v>0</v>
          </cell>
          <cell r="T23">
            <v>0</v>
          </cell>
          <cell r="U23">
            <v>0</v>
          </cell>
          <cell r="V23">
            <v>0</v>
          </cell>
        </row>
        <row r="24">
          <cell r="F24">
            <v>0</v>
          </cell>
          <cell r="G24">
            <v>0</v>
          </cell>
          <cell r="H24">
            <v>0</v>
          </cell>
          <cell r="I24">
            <v>0</v>
          </cell>
          <cell r="J24">
            <v>0</v>
          </cell>
          <cell r="K24">
            <v>0</v>
          </cell>
          <cell r="L24">
            <v>0</v>
          </cell>
          <cell r="M24">
            <v>0</v>
          </cell>
          <cell r="O24">
            <v>-372.96000000000004</v>
          </cell>
          <cell r="P24">
            <v>-64.400000000000006</v>
          </cell>
          <cell r="Q24">
            <v>0</v>
          </cell>
          <cell r="R24">
            <v>0</v>
          </cell>
          <cell r="S24">
            <v>0</v>
          </cell>
          <cell r="T24">
            <v>0</v>
          </cell>
          <cell r="U24">
            <v>0</v>
          </cell>
          <cell r="V24">
            <v>0</v>
          </cell>
        </row>
        <row r="25">
          <cell r="F25">
            <v>0</v>
          </cell>
          <cell r="G25">
            <v>-1</v>
          </cell>
          <cell r="H25">
            <v>-2</v>
          </cell>
          <cell r="I25">
            <v>-3</v>
          </cell>
          <cell r="J25">
            <v>-4</v>
          </cell>
          <cell r="K25">
            <v>-5</v>
          </cell>
          <cell r="L25">
            <v>-6</v>
          </cell>
          <cell r="M25">
            <v>-7</v>
          </cell>
          <cell r="O25">
            <v>-10</v>
          </cell>
          <cell r="P25">
            <v>-11</v>
          </cell>
          <cell r="Q25">
            <v>-13</v>
          </cell>
          <cell r="R25">
            <v>-15</v>
          </cell>
          <cell r="S25">
            <v>-15</v>
          </cell>
          <cell r="T25">
            <v>-17</v>
          </cell>
          <cell r="U25">
            <v>-17</v>
          </cell>
          <cell r="V25">
            <v>-19</v>
          </cell>
        </row>
        <row r="26">
          <cell r="F26">
            <v>662.78520000000015</v>
          </cell>
          <cell r="G26">
            <v>786.26480000000004</v>
          </cell>
          <cell r="H26">
            <v>832.54000000000008</v>
          </cell>
          <cell r="I26">
            <v>974.8475000000002</v>
          </cell>
          <cell r="J26">
            <v>1097.9295000000002</v>
          </cell>
          <cell r="K26">
            <v>1072.0725</v>
          </cell>
          <cell r="L26">
            <v>1163.8225000000002</v>
          </cell>
          <cell r="M26">
            <v>1230.5825000000002</v>
          </cell>
          <cell r="O26">
            <v>1017.4089227642276</v>
          </cell>
          <cell r="P26">
            <v>881.78147512195142</v>
          </cell>
          <cell r="Q26">
            <v>740.52534689436095</v>
          </cell>
          <cell r="R26">
            <v>643.5923897661886</v>
          </cell>
          <cell r="S26">
            <v>629.87533825613514</v>
          </cell>
          <cell r="T26">
            <v>626.94685604265567</v>
          </cell>
          <cell r="U26">
            <v>752.747276453008</v>
          </cell>
          <cell r="V26">
            <v>863.11475757251606</v>
          </cell>
        </row>
        <row r="29">
          <cell r="O29">
            <v>0.84399999999999997</v>
          </cell>
          <cell r="P29">
            <v>0.85199999999999998</v>
          </cell>
          <cell r="Q29">
            <v>0.85199999999999998</v>
          </cell>
          <cell r="R29">
            <v>0.85199999999999998</v>
          </cell>
          <cell r="S29">
            <v>0.85199999999999998</v>
          </cell>
          <cell r="T29">
            <v>0.85199999999999998</v>
          </cell>
          <cell r="U29">
            <v>0.85199999999999998</v>
          </cell>
          <cell r="V29">
            <v>0.85199999999999998</v>
          </cell>
        </row>
        <row r="30">
          <cell r="F30">
            <v>586.56490200000019</v>
          </cell>
          <cell r="G30">
            <v>695.84434800000008</v>
          </cell>
          <cell r="H30">
            <v>736.79790000000003</v>
          </cell>
          <cell r="I30">
            <v>862.7400375000002</v>
          </cell>
          <cell r="J30">
            <v>971.66760750000014</v>
          </cell>
          <cell r="K30">
            <v>948.78416249999998</v>
          </cell>
          <cell r="L30">
            <v>1007.8702850000002</v>
          </cell>
          <cell r="M30">
            <v>1057.0703675000002</v>
          </cell>
          <cell r="O30">
            <v>858.693130813008</v>
          </cell>
          <cell r="P30">
            <v>751.27781680390262</v>
          </cell>
          <cell r="Q30">
            <v>630.9275955539955</v>
          </cell>
          <cell r="R30">
            <v>548.34071608079273</v>
          </cell>
          <cell r="S30">
            <v>536.6537881942271</v>
          </cell>
          <cell r="T30">
            <v>534.15872134834262</v>
          </cell>
          <cell r="U30">
            <v>641.34067953796284</v>
          </cell>
          <cell r="V30">
            <v>735.37377345178368</v>
          </cell>
        </row>
      </sheetData>
      <sheetData sheetId="9">
        <row r="25">
          <cell r="F25">
            <v>12059.6</v>
          </cell>
          <cell r="G25">
            <v>13114.640000000001</v>
          </cell>
          <cell r="H25">
            <v>14369.04</v>
          </cell>
          <cell r="I25">
            <v>16278.080000000002</v>
          </cell>
          <cell r="J25">
            <v>17603.600000000002</v>
          </cell>
          <cell r="K25">
            <v>19009.2</v>
          </cell>
          <cell r="L25">
            <v>20600.72</v>
          </cell>
          <cell r="M25">
            <v>22295.840000000004</v>
          </cell>
          <cell r="N25">
            <v>23717.680000000004</v>
          </cell>
          <cell r="P25">
            <v>27843.200000000004</v>
          </cell>
          <cell r="Q25">
            <v>29582.000000000004</v>
          </cell>
          <cell r="R25">
            <v>31546.679256740863</v>
          </cell>
          <cell r="S25">
            <v>33633.367199004133</v>
          </cell>
          <cell r="T25">
            <v>35848.260170889713</v>
          </cell>
          <cell r="U25">
            <v>38197.75897671609</v>
          </cell>
          <cell r="V25">
            <v>40705.289649504484</v>
          </cell>
          <cell r="W25">
            <v>43380.750508329867</v>
          </cell>
        </row>
        <row r="26">
          <cell r="F26">
            <v>-11932.480000000001</v>
          </cell>
          <cell r="G26">
            <v>-12797.680000000002</v>
          </cell>
          <cell r="H26">
            <v>-14114.800000000001</v>
          </cell>
          <cell r="I26">
            <v>-15877.12</v>
          </cell>
          <cell r="J26">
            <v>-16951.648000000001</v>
          </cell>
          <cell r="K26">
            <v>-18231.36</v>
          </cell>
          <cell r="L26">
            <v>-19640.320000000003</v>
          </cell>
          <cell r="M26">
            <v>-21147.840000000004</v>
          </cell>
          <cell r="N26">
            <v>-23292.640000000003</v>
          </cell>
          <cell r="P26">
            <v>-30168.992000000002</v>
          </cell>
          <cell r="Q26">
            <v>-33600.784000000007</v>
          </cell>
          <cell r="R26">
            <v>-36778.521086259796</v>
          </cell>
          <cell r="S26">
            <v>-39615.116183981365</v>
          </cell>
          <cell r="T26">
            <v>-42532.510617271888</v>
          </cell>
          <cell r="U26">
            <v>-44845.683372548512</v>
          </cell>
          <cell r="V26">
            <v>-47429.072796344102</v>
          </cell>
          <cell r="W26">
            <v>-50161.591228598816</v>
          </cell>
        </row>
        <row r="27">
          <cell r="F27">
            <v>0</v>
          </cell>
          <cell r="G27">
            <v>-220.894800000001</v>
          </cell>
          <cell r="H27">
            <v>-99.470000000002045</v>
          </cell>
          <cell r="I27">
            <v>-203.49000000000206</v>
          </cell>
          <cell r="J27">
            <v>-327.27450000000249</v>
          </cell>
          <cell r="K27">
            <v>-251.15300000000164</v>
          </cell>
          <cell r="L27">
            <v>-290.72050000000166</v>
          </cell>
          <cell r="M27">
            <v>-276.73800000000165</v>
          </cell>
          <cell r="N27">
            <v>662.36449999999843</v>
          </cell>
          <cell r="P27">
            <v>3478.2104227642249</v>
          </cell>
          <cell r="Q27">
            <v>4932.783897886181</v>
          </cell>
          <cell r="R27">
            <v>5706.1160055137134</v>
          </cell>
          <cell r="S27">
            <v>5852.527246793943</v>
          </cell>
          <cell r="T27">
            <v>5864.9570411537516</v>
          </cell>
          <cell r="U27">
            <v>5060.5157400311991</v>
          </cell>
          <cell r="V27">
            <v>4398.1174774678811</v>
          </cell>
          <cell r="W27">
            <v>3726.7548925601341</v>
          </cell>
        </row>
        <row r="28">
          <cell r="F28">
            <v>0</v>
          </cell>
          <cell r="G28">
            <v>8.8400000000000318</v>
          </cell>
          <cell r="H28">
            <v>18.400000000000091</v>
          </cell>
          <cell r="I28">
            <v>26.240000000000123</v>
          </cell>
          <cell r="J28">
            <v>33.880000000000223</v>
          </cell>
          <cell r="K28">
            <v>39.800000000000296</v>
          </cell>
          <cell r="L28">
            <v>46.880000000000337</v>
          </cell>
          <cell r="M28">
            <v>55.120000000000459</v>
          </cell>
          <cell r="N28">
            <v>66.560000000000514</v>
          </cell>
          <cell r="P28">
            <v>98.240000000000805</v>
          </cell>
          <cell r="Q28">
            <v>109.44000000000085</v>
          </cell>
          <cell r="R28">
            <v>115.90337061751814</v>
          </cell>
          <cell r="S28">
            <v>120.63138567891167</v>
          </cell>
          <cell r="T28">
            <v>125.63950569306473</v>
          </cell>
          <cell r="U28">
            <v>128.94409437064894</v>
          </cell>
          <cell r="V28">
            <v>132.61753234489368</v>
          </cell>
          <cell r="W28">
            <v>134.6851488535525</v>
          </cell>
        </row>
        <row r="41">
          <cell r="G41">
            <v>92.841101999999225</v>
          </cell>
          <cell r="H41">
            <v>153.25544999999846</v>
          </cell>
          <cell r="I41">
            <v>197.98334999999813</v>
          </cell>
          <cell r="J41">
            <v>317.32338749999928</v>
          </cell>
          <cell r="K41">
            <v>501.34099499999928</v>
          </cell>
          <cell r="L41">
            <v>634.15515749999906</v>
          </cell>
          <cell r="M41">
            <v>802.24681199999713</v>
          </cell>
          <cell r="N41">
            <v>991.25550549999934</v>
          </cell>
          <cell r="P41">
            <v>1055.5557088130067</v>
          </cell>
          <cell r="Q41">
            <v>871.97079299902452</v>
          </cell>
          <cell r="R41">
            <v>502.83126971368245</v>
          </cell>
          <cell r="S41">
            <v>-7.3189803337214991</v>
          </cell>
          <cell r="T41">
            <v>-590.99312240414008</v>
          </cell>
          <cell r="U41">
            <v>-1242.6118063388428</v>
          </cell>
          <cell r="V41">
            <v>-1868.4770127468737</v>
          </cell>
          <cell r="W41">
            <v>-2487.3293783846811</v>
          </cell>
        </row>
      </sheetData>
      <sheetData sheetId="10"/>
      <sheetData sheetId="11" refreshError="1"/>
      <sheetData sheetId="12">
        <row r="7">
          <cell r="B7">
            <v>842.93924500000003</v>
          </cell>
        </row>
      </sheetData>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 Summary - Budget to Budget"/>
      <sheetName val="MTCU - Flatlined Outyears"/>
      <sheetName val="Model Summary"/>
      <sheetName val="Detailed Variance"/>
      <sheetName val="Calc"/>
      <sheetName val="Smoothing"/>
      <sheetName val="CAATPP Input"/>
      <sheetName val="Overall"/>
      <sheetName val="Liability"/>
      <sheetName val="Expense"/>
      <sheetName val="Contribution"/>
      <sheetName val="Experience"/>
      <sheetName val="Interest"/>
      <sheetName val="CAATSP Input"/>
      <sheetName val="SP Liability"/>
      <sheetName val="SP Expense"/>
      <sheetName val="SP Contribution"/>
      <sheetName val="SP Experience"/>
      <sheetName val="SP Interest"/>
      <sheetName val="Assumptions"/>
      <sheetName val="Basis Analyses"/>
    </sheetNames>
    <sheetDataSet>
      <sheetData sheetId="0"/>
      <sheetData sheetId="1"/>
      <sheetData sheetId="2"/>
      <sheetData sheetId="3"/>
      <sheetData sheetId="4"/>
      <sheetData sheetId="5"/>
      <sheetData sheetId="6"/>
      <sheetData sheetId="7"/>
      <sheetData sheetId="8">
        <row r="8">
          <cell r="C8">
            <v>2197150</v>
          </cell>
          <cell r="D8">
            <v>2319500</v>
          </cell>
          <cell r="E8">
            <v>2487550</v>
          </cell>
          <cell r="F8">
            <v>2645850</v>
          </cell>
          <cell r="G8">
            <v>2869288.2250000001</v>
          </cell>
          <cell r="H8">
            <v>3077388.2250000001</v>
          </cell>
          <cell r="I8">
            <v>3217788.2250000001</v>
          </cell>
          <cell r="J8">
            <v>3505271.2250000001</v>
          </cell>
          <cell r="K8">
            <v>3544250.2749999999</v>
          </cell>
          <cell r="L8">
            <v>3755900.375</v>
          </cell>
          <cell r="M8">
            <v>3938600.375</v>
          </cell>
          <cell r="N8">
            <v>4113450</v>
          </cell>
          <cell r="O8">
            <v>4294355.1982607581</v>
          </cell>
          <cell r="P8">
            <v>4487020.6765241241</v>
          </cell>
          <cell r="Q8">
            <v>4692687.7878366811</v>
          </cell>
          <cell r="R8">
            <v>4912725.5112295849</v>
          </cell>
          <cell r="S8">
            <v>5150416.9310617633</v>
          </cell>
        </row>
        <row r="9">
          <cell r="C9">
            <v>-2304050</v>
          </cell>
          <cell r="D9">
            <v>-2419050</v>
          </cell>
          <cell r="E9">
            <v>-2519700</v>
          </cell>
          <cell r="F9">
            <v>-2749200</v>
          </cell>
          <cell r="G9">
            <v>-2655300</v>
          </cell>
          <cell r="H9">
            <v>-2721500</v>
          </cell>
          <cell r="I9">
            <v>-2941900</v>
          </cell>
          <cell r="J9">
            <v>-3003538.2</v>
          </cell>
          <cell r="K9">
            <v>-3145700</v>
          </cell>
          <cell r="L9">
            <v>-3390200</v>
          </cell>
          <cell r="M9">
            <v>-3689900</v>
          </cell>
          <cell r="N9">
            <v>-4013800</v>
          </cell>
          <cell r="O9">
            <v>-4402068.0564921452</v>
          </cell>
          <cell r="P9">
            <v>-4800075.2256371528</v>
          </cell>
          <cell r="Q9">
            <v>-5180521.4921004279</v>
          </cell>
          <cell r="R9">
            <v>-5556545.1110680941</v>
          </cell>
          <cell r="S9">
            <v>-5954313.0072067818</v>
          </cell>
        </row>
        <row r="10">
          <cell r="D10">
            <v>-15707.901735000312</v>
          </cell>
          <cell r="E10">
            <v>-86311.92417500075</v>
          </cell>
          <cell r="F10">
            <v>-11891.432985001244</v>
          </cell>
          <cell r="G10">
            <v>-342543.587421251</v>
          </cell>
          <cell r="H10">
            <v>-455347.11740011349</v>
          </cell>
          <cell r="I10">
            <v>-339564.90027511353</v>
          </cell>
          <cell r="J10">
            <v>-537686.23940011347</v>
          </cell>
          <cell r="K10">
            <v>-395483.61065011332</v>
          </cell>
          <cell r="L10">
            <v>-341007.98452511337</v>
          </cell>
          <cell r="M10">
            <v>-220309.97920543142</v>
          </cell>
          <cell r="N10">
            <v>-82935.488580431323</v>
          </cell>
          <cell r="O10">
            <v>85517.07509840792</v>
          </cell>
          <cell r="P10">
            <v>218437.93252701173</v>
          </cell>
          <cell r="Q10">
            <v>295196.66584606603</v>
          </cell>
          <cell r="R10">
            <v>308670.4089959393</v>
          </cell>
          <cell r="S10">
            <v>283532.27841255942</v>
          </cell>
        </row>
        <row r="11">
          <cell r="D11">
            <v>738</v>
          </cell>
          <cell r="E11">
            <v>1428</v>
          </cell>
          <cell r="F11">
            <v>1269</v>
          </cell>
          <cell r="G11">
            <v>1110</v>
          </cell>
          <cell r="H11">
            <v>951</v>
          </cell>
          <cell r="I11">
            <v>792</v>
          </cell>
          <cell r="J11">
            <v>635</v>
          </cell>
          <cell r="K11">
            <v>476</v>
          </cell>
          <cell r="L11">
            <v>317</v>
          </cell>
          <cell r="M11">
            <v>158</v>
          </cell>
          <cell r="N11">
            <v>39</v>
          </cell>
          <cell r="O11">
            <v>0</v>
          </cell>
          <cell r="P11">
            <v>0</v>
          </cell>
          <cell r="Q11">
            <v>0</v>
          </cell>
          <cell r="R11">
            <v>0</v>
          </cell>
          <cell r="S11">
            <v>0</v>
          </cell>
        </row>
        <row r="19">
          <cell r="D19">
            <v>-77229.467999999993</v>
          </cell>
          <cell r="E19">
            <v>-79735.035999999993</v>
          </cell>
          <cell r="F19">
            <v>-88425.448999999993</v>
          </cell>
          <cell r="G19">
            <v>-106745.93650000001</v>
          </cell>
          <cell r="H19">
            <v>-123879.72172</v>
          </cell>
          <cell r="I19">
            <v>-143089.5</v>
          </cell>
          <cell r="J19">
            <v>-150931.5</v>
          </cell>
          <cell r="K19">
            <v>-171510.5</v>
          </cell>
          <cell r="L19">
            <v>-180566.2</v>
          </cell>
          <cell r="M19">
            <v>-201913.09351604682</v>
          </cell>
          <cell r="N19">
            <v>-206065.85</v>
          </cell>
          <cell r="O19">
            <v>-222981.35393451218</v>
          </cell>
          <cell r="P19">
            <v>-241210.17729332694</v>
          </cell>
          <cell r="Q19">
            <v>-260962.27432061479</v>
          </cell>
          <cell r="R19">
            <v>-282364.9358800475</v>
          </cell>
          <cell r="S19">
            <v>-305556.08977093728</v>
          </cell>
        </row>
      </sheetData>
      <sheetData sheetId="9">
        <row r="10">
          <cell r="C10">
            <v>76602.062000000005</v>
          </cell>
          <cell r="D10">
            <v>82065.668999999994</v>
          </cell>
          <cell r="E10">
            <v>84600</v>
          </cell>
          <cell r="F10">
            <v>97400</v>
          </cell>
          <cell r="G10">
            <v>104850</v>
          </cell>
          <cell r="H10">
            <v>106550</v>
          </cell>
          <cell r="I10">
            <v>117600</v>
          </cell>
          <cell r="J10">
            <v>112550</v>
          </cell>
          <cell r="K10">
            <v>118100</v>
          </cell>
          <cell r="L10">
            <v>123700</v>
          </cell>
          <cell r="M10">
            <v>126400</v>
          </cell>
          <cell r="N10">
            <v>136400</v>
          </cell>
          <cell r="O10">
            <v>146665.45694463101</v>
          </cell>
          <cell r="P10">
            <v>157703.49164792823</v>
          </cell>
          <cell r="Q10">
            <v>169572.24827204688</v>
          </cell>
          <cell r="R10">
            <v>184108.78945473974</v>
          </cell>
        </row>
        <row r="11">
          <cell r="C11">
            <v>0</v>
          </cell>
          <cell r="D11">
            <v>1653.5</v>
          </cell>
          <cell r="E11">
            <v>9259.5</v>
          </cell>
          <cell r="F11">
            <v>3053.5</v>
          </cell>
          <cell r="G11">
            <v>34835</v>
          </cell>
          <cell r="H11">
            <v>50376</v>
          </cell>
          <cell r="I11">
            <v>44205.5</v>
          </cell>
          <cell r="J11">
            <v>67284</v>
          </cell>
          <cell r="K11">
            <v>60216</v>
          </cell>
          <cell r="L11">
            <v>60682.5</v>
          </cell>
          <cell r="M11">
            <v>54935.75</v>
          </cell>
          <cell r="N11">
            <v>44289.5</v>
          </cell>
          <cell r="O11">
            <v>31423</v>
          </cell>
          <cell r="P11">
            <v>27119.397267985121</v>
          </cell>
          <cell r="Q11">
            <v>2934.338067177152</v>
          </cell>
          <cell r="R11">
            <v>-21494.711573895558</v>
          </cell>
        </row>
        <row r="12">
          <cell r="C12">
            <v>-6992.8637349999917</v>
          </cell>
          <cell r="D12">
            <v>-6419.9704400000046</v>
          </cell>
          <cell r="E12">
            <v>-2214.0608099999954</v>
          </cell>
          <cell r="F12">
            <v>-7021.492936249997</v>
          </cell>
          <cell r="G12">
            <v>13290.781986137503</v>
          </cell>
          <cell r="H12">
            <v>21945.217124999996</v>
          </cell>
          <cell r="I12">
            <v>16849.460875000019</v>
          </cell>
          <cell r="J12">
            <v>30696.428749999992</v>
          </cell>
          <cell r="K12">
            <v>23875.62612500001</v>
          </cell>
          <cell r="L12">
            <v>21228.598835728451</v>
          </cell>
          <cell r="M12">
            <v>13054.215624999983</v>
          </cell>
          <cell r="N12">
            <v>3381.5593819646165</v>
          </cell>
          <cell r="O12">
            <v>-9299.1131043440546</v>
          </cell>
          <cell r="P12">
            <v>-21881.036426962237</v>
          </cell>
          <cell r="Q12">
            <v>-32653.802884064789</v>
          </cell>
          <cell r="R12">
            <v>-42272.594999796478</v>
          </cell>
        </row>
        <row r="13">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row>
        <row r="14">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row>
        <row r="15">
          <cell r="C15">
            <v>0</v>
          </cell>
          <cell r="D15">
            <v>-78</v>
          </cell>
          <cell r="E15">
            <v>-159</v>
          </cell>
          <cell r="F15">
            <v>-159</v>
          </cell>
          <cell r="G15">
            <v>-159</v>
          </cell>
          <cell r="H15">
            <v>-159</v>
          </cell>
          <cell r="I15">
            <v>-157</v>
          </cell>
          <cell r="J15">
            <v>-159</v>
          </cell>
          <cell r="K15">
            <v>-159</v>
          </cell>
          <cell r="L15">
            <v>-159</v>
          </cell>
          <cell r="M15">
            <v>-119</v>
          </cell>
          <cell r="N15">
            <v>-39</v>
          </cell>
          <cell r="O15">
            <v>0</v>
          </cell>
          <cell r="P15">
            <v>0</v>
          </cell>
          <cell r="Q15">
            <v>0</v>
          </cell>
          <cell r="R15">
            <v>0</v>
          </cell>
        </row>
      </sheetData>
      <sheetData sheetId="10"/>
      <sheetData sheetId="11"/>
      <sheetData sheetId="12"/>
      <sheetData sheetId="13"/>
      <sheetData sheetId="14">
        <row r="8">
          <cell r="C8">
            <v>9750</v>
          </cell>
          <cell r="D8">
            <v>10400</v>
          </cell>
          <cell r="E8">
            <v>11150</v>
          </cell>
          <cell r="F8">
            <v>13550</v>
          </cell>
          <cell r="G8">
            <v>15100</v>
          </cell>
          <cell r="H8">
            <v>18900</v>
          </cell>
          <cell r="I8">
            <v>23550</v>
          </cell>
          <cell r="J8">
            <v>28500</v>
          </cell>
          <cell r="K8">
            <v>30150</v>
          </cell>
          <cell r="L8">
            <v>34950</v>
          </cell>
          <cell r="M8">
            <v>34550</v>
          </cell>
          <cell r="N8">
            <v>33700</v>
          </cell>
          <cell r="O8">
            <v>34638.654713114753</v>
          </cell>
          <cell r="P8">
            <v>35600.847527316684</v>
          </cell>
          <cell r="Q8">
            <v>36589.792928865805</v>
          </cell>
          <cell r="R8">
            <v>37609.151016949261</v>
          </cell>
          <cell r="S8">
            <v>38672.182704565588</v>
          </cell>
        </row>
        <row r="9">
          <cell r="C9">
            <v>-3983.3330000000001</v>
          </cell>
          <cell r="D9">
            <v>-5050</v>
          </cell>
          <cell r="E9">
            <v>-6200</v>
          </cell>
          <cell r="F9">
            <v>-7550</v>
          </cell>
          <cell r="G9">
            <v>-9300</v>
          </cell>
          <cell r="H9">
            <v>-11500</v>
          </cell>
          <cell r="I9">
            <v>-14000</v>
          </cell>
          <cell r="J9">
            <v>-15450</v>
          </cell>
          <cell r="K9">
            <v>-15900</v>
          </cell>
          <cell r="L9">
            <v>-16800</v>
          </cell>
          <cell r="M9">
            <v>-19000</v>
          </cell>
          <cell r="N9">
            <v>-19500</v>
          </cell>
          <cell r="O9">
            <v>-19516.678713114754</v>
          </cell>
          <cell r="P9">
            <v>-19472.695122131146</v>
          </cell>
          <cell r="Q9">
            <v>-19364.552725851026</v>
          </cell>
          <cell r="R9">
            <v>-19188.614198189767</v>
          </cell>
          <cell r="S9">
            <v>-18953.990406816556</v>
          </cell>
        </row>
        <row r="10">
          <cell r="D10">
            <v>-261.37819624999975</v>
          </cell>
          <cell r="E10">
            <v>-840.59250812499977</v>
          </cell>
          <cell r="F10">
            <v>-2921.6594500000001</v>
          </cell>
          <cell r="G10">
            <v>-3797.44965125</v>
          </cell>
          <cell r="H10">
            <v>-6777.9857804875001</v>
          </cell>
          <cell r="I10">
            <v>-10197.402030487501</v>
          </cell>
          <cell r="J10">
            <v>-12618.374717987501</v>
          </cell>
          <cell r="K10">
            <v>-12379.065967987503</v>
          </cell>
          <cell r="L10">
            <v>-16144.7588429875</v>
          </cell>
          <cell r="M10">
            <v>-12449.821530487498</v>
          </cell>
          <cell r="N10">
            <v>-10281.893796112498</v>
          </cell>
          <cell r="O10">
            <v>-9452.6191561124979</v>
          </cell>
          <cell r="P10">
            <v>-8607.0784352490591</v>
          </cell>
          <cell r="Q10">
            <v>-7818.0417050826672</v>
          </cell>
          <cell r="R10">
            <v>-7397.1389196337441</v>
          </cell>
          <cell r="S10">
            <v>-7238.7780884953681</v>
          </cell>
        </row>
        <row r="11">
          <cell r="D11">
            <v>0</v>
          </cell>
          <cell r="E11">
            <v>0</v>
          </cell>
          <cell r="F11">
            <v>0</v>
          </cell>
          <cell r="G11">
            <v>0</v>
          </cell>
          <cell r="H11">
            <v>0</v>
          </cell>
          <cell r="I11">
            <v>0</v>
          </cell>
          <cell r="J11">
            <v>0</v>
          </cell>
          <cell r="K11">
            <v>0</v>
          </cell>
          <cell r="L11">
            <v>-1400.2</v>
          </cell>
          <cell r="M11">
            <v>-2434.8126016260162</v>
          </cell>
          <cell r="N11">
            <v>-3343.0649573503933</v>
          </cell>
          <cell r="O11">
            <v>-3053.6160357025074</v>
          </cell>
          <cell r="P11">
            <v>-2764.1671140546214</v>
          </cell>
          <cell r="Q11">
            <v>-2474.7181924067354</v>
          </cell>
          <cell r="R11">
            <v>-2185.2692707588499</v>
          </cell>
          <cell r="S11">
            <v>-1895.8203491109639</v>
          </cell>
        </row>
        <row r="19">
          <cell r="D19">
            <v>-1151.623</v>
          </cell>
          <cell r="E19">
            <v>-1511.7115000000001</v>
          </cell>
          <cell r="F19">
            <v>-1662.9195</v>
          </cell>
          <cell r="G19">
            <v>-2044.1970000000001</v>
          </cell>
          <cell r="H19">
            <v>-2547.88303</v>
          </cell>
          <cell r="I19">
            <v>-2841</v>
          </cell>
          <cell r="J19">
            <v>-1137.55</v>
          </cell>
          <cell r="K19">
            <v>-1181</v>
          </cell>
          <cell r="L19">
            <v>-4171.3</v>
          </cell>
          <cell r="M19">
            <v>-3530</v>
          </cell>
          <cell r="N19">
            <v>-3423.65</v>
          </cell>
          <cell r="O19">
            <v>-1215.0240000000001</v>
          </cell>
          <cell r="P19">
            <v>-1239.3244800000002</v>
          </cell>
          <cell r="Q19">
            <v>-1264.1109696000003</v>
          </cell>
          <cell r="R19">
            <v>-1289.3931889920004</v>
          </cell>
          <cell r="S19">
            <v>-1328.0749846617605</v>
          </cell>
        </row>
      </sheetData>
      <sheetData sheetId="15">
        <row r="10">
          <cell r="C10">
            <v>300</v>
          </cell>
          <cell r="D10">
            <v>350</v>
          </cell>
          <cell r="E10">
            <v>400</v>
          </cell>
          <cell r="F10">
            <v>500</v>
          </cell>
          <cell r="G10">
            <v>600</v>
          </cell>
          <cell r="H10">
            <v>600</v>
          </cell>
          <cell r="I10">
            <v>750</v>
          </cell>
          <cell r="J10">
            <v>700</v>
          </cell>
          <cell r="K10">
            <v>850</v>
          </cell>
          <cell r="L10">
            <v>850</v>
          </cell>
          <cell r="M10">
            <v>750</v>
          </cell>
          <cell r="N10">
            <v>700</v>
          </cell>
          <cell r="O10">
            <v>752.68196379209451</v>
          </cell>
          <cell r="P10">
            <v>809.32876945417706</v>
          </cell>
          <cell r="Q10">
            <v>870.2388107802991</v>
          </cell>
          <cell r="R10">
            <v>944.83982858004242</v>
          </cell>
        </row>
        <row r="11">
          <cell r="C11">
            <v>0</v>
          </cell>
          <cell r="D11">
            <v>27.5</v>
          </cell>
          <cell r="E11">
            <v>91.5</v>
          </cell>
          <cell r="F11">
            <v>298.5</v>
          </cell>
          <cell r="G11">
            <v>410.5</v>
          </cell>
          <cell r="H11">
            <v>767.5</v>
          </cell>
          <cell r="I11">
            <v>1162.5</v>
          </cell>
          <cell r="J11">
            <v>1504</v>
          </cell>
          <cell r="K11">
            <v>1623.5</v>
          </cell>
          <cell r="L11">
            <v>2061.5</v>
          </cell>
          <cell r="M11">
            <v>1913.75</v>
          </cell>
          <cell r="N11">
            <v>1848</v>
          </cell>
          <cell r="O11">
            <v>1892</v>
          </cell>
          <cell r="P11">
            <v>1863.8838889880701</v>
          </cell>
          <cell r="Q11">
            <v>1524.8838889880701</v>
          </cell>
          <cell r="R11">
            <v>1292.3838889880701</v>
          </cell>
        </row>
        <row r="12">
          <cell r="C12">
            <v>173.57780374999999</v>
          </cell>
          <cell r="D12">
            <v>154.99718812500001</v>
          </cell>
          <cell r="E12">
            <v>140.352558125</v>
          </cell>
          <cell r="F12">
            <v>169.90679875000001</v>
          </cell>
          <cell r="G12">
            <v>156.84690076249996</v>
          </cell>
          <cell r="H12">
            <v>204.08375000000001</v>
          </cell>
          <cell r="I12">
            <v>304.07731250000001</v>
          </cell>
          <cell r="J12">
            <v>416.30875000000003</v>
          </cell>
          <cell r="K12">
            <v>431.90712499999995</v>
          </cell>
          <cell r="L12">
            <v>564.98731249999992</v>
          </cell>
          <cell r="M12">
            <v>461.60273437499995</v>
          </cell>
          <cell r="N12">
            <v>418.27463999999998</v>
          </cell>
          <cell r="O12">
            <v>446.35964225688144</v>
          </cell>
          <cell r="P12">
            <v>477.02283915337887</v>
          </cell>
          <cell r="Q12">
            <v>510.46989041726772</v>
          </cell>
          <cell r="R12">
            <v>546.8675772215588</v>
          </cell>
        </row>
        <row r="13">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row>
        <row r="14">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row>
        <row r="15">
          <cell r="C15">
            <v>0</v>
          </cell>
          <cell r="D15">
            <v>0</v>
          </cell>
          <cell r="E15">
            <v>0</v>
          </cell>
          <cell r="F15">
            <v>0</v>
          </cell>
          <cell r="G15">
            <v>0</v>
          </cell>
          <cell r="H15">
            <v>0</v>
          </cell>
          <cell r="I15">
            <v>0</v>
          </cell>
          <cell r="J15">
            <v>0</v>
          </cell>
          <cell r="K15">
            <v>0</v>
          </cell>
          <cell r="L15">
            <v>113.83739837398373</v>
          </cell>
          <cell r="M15">
            <v>207.97264427562308</v>
          </cell>
          <cell r="N15">
            <v>289.44892164788587</v>
          </cell>
          <cell r="O15">
            <v>289.44892164788587</v>
          </cell>
          <cell r="P15">
            <v>289.44892164788587</v>
          </cell>
          <cell r="Q15">
            <v>289.44892164788587</v>
          </cell>
          <cell r="R15">
            <v>289.44892164788587</v>
          </cell>
        </row>
      </sheetData>
      <sheetData sheetId="16"/>
      <sheetData sheetId="17"/>
      <sheetData sheetId="18"/>
      <sheetData sheetId="19"/>
      <sheetData sheetId="2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PP Data"/>
      <sheetName val="Assumptions and Trends"/>
      <sheetName val="Assumption Comparisons"/>
      <sheetName val="Smoothing"/>
      <sheetName val="Gain avai. for smoothing 2015"/>
      <sheetName val="Gain avai. for smoothing 2014"/>
      <sheetName val="Gain avai. for smoothing 2013"/>
      <sheetName val="Gain avai. for smoothing 2012"/>
      <sheetName val="Comparison of smoothing 2011"/>
      <sheetName val="Yr over Yr Analysis"/>
    </sheetNames>
    <sheetDataSet>
      <sheetData sheetId="0"/>
      <sheetData sheetId="1">
        <row r="28">
          <cell r="S28">
            <v>5537</v>
          </cell>
        </row>
        <row r="47">
          <cell r="S47">
            <v>3299</v>
          </cell>
        </row>
      </sheetData>
      <sheetData sheetId="2"/>
      <sheetData sheetId="3"/>
      <sheetData sheetId="4"/>
      <sheetData sheetId="5">
        <row r="20">
          <cell r="K20">
            <v>-6408</v>
          </cell>
        </row>
      </sheetData>
      <sheetData sheetId="6">
        <row r="20">
          <cell r="K20">
            <v>-4673</v>
          </cell>
        </row>
      </sheetData>
      <sheetData sheetId="7">
        <row r="20">
          <cell r="K20">
            <v>-6555</v>
          </cell>
        </row>
      </sheetData>
      <sheetData sheetId="8">
        <row r="27">
          <cell r="K27">
            <v>-4247</v>
          </cell>
        </row>
      </sheetData>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5-16 Pension and OEFB"/>
      <sheetName val="COG Hyperion 2015-16"/>
      <sheetName val="2015-16 pensions"/>
      <sheetName val="2015-16 OEFB"/>
      <sheetName val="2015-16 OEFB BPS"/>
      <sheetName val="Contribution_Discount Rate 2016"/>
      <sheetName val="BPS S&amp;W 2016"/>
      <sheetName val="BPS Pension Liab 2016"/>
      <sheetName val="PT-Contribution 2016"/>
      <sheetName val="BOG Mar-16 &amp; Mar-15"/>
      <sheetName val="Benefits Discount Rates"/>
      <sheetName val="PT Adj3-16"/>
      <sheetName val="BOG_Adj3-16"/>
      <sheetName val="2014-15 Pension and OEFB"/>
      <sheetName val="COG Hyperion 2014-15"/>
      <sheetName val="2014-15 pensions"/>
      <sheetName val="2014-15 OEFB"/>
      <sheetName val="2014-15 OEFB BPS"/>
      <sheetName val="BPS S&amp;W 2014-15"/>
      <sheetName val="BPS Pension Liab 14-15"/>
      <sheetName val="Contribution_Discount Rate"/>
      <sheetName val="PT-Adj3-15"/>
      <sheetName val="TB-Adj3-15"/>
      <sheetName val="PT-Contribution"/>
      <sheetName val="BOG Mar-15 &amp; Mar-14"/>
      <sheetName val="2013-14 Pension and OEFB"/>
      <sheetName val="COG Hyperion"/>
      <sheetName val="2013-14 pensions"/>
      <sheetName val="2013-14 OEFB"/>
      <sheetName val="2013-14 OEFB BPS"/>
      <sheetName val="BPS S&amp;W 2013-14"/>
      <sheetName val="BPS Pension Liab 2013-14"/>
      <sheetName val="Summary"/>
      <sheetName val="Hospitals-Non-pension"/>
      <sheetName val="Hosptials-Other"/>
      <sheetName val="SB-Discount Rates"/>
      <sheetName val="Coll-Discount Rates"/>
      <sheetName val="BOG Mar-14 DTB"/>
      <sheetName val="BOG Mar-13 DTB"/>
      <sheetName val="2012-13 Pension and OEFB"/>
      <sheetName val="COG Trial Balance 2013"/>
      <sheetName val="2012-13 pensions"/>
      <sheetName val="2012-13 OEFB"/>
      <sheetName val="2012-13 OEFB BPS (Restated)"/>
      <sheetName val="BPS S&amp;W"/>
      <sheetName val="BPS Pension Liab"/>
      <sheetName val="MEDU Restatement"/>
      <sheetName val="HOOP &amp; CAAT Cash Payment"/>
      <sheetName val="2011-12 Pension and OEFB"/>
      <sheetName val="COG Trial Balance for Pensions"/>
      <sheetName val="2011-12 pensions"/>
      <sheetName val="2011-12 OEFB"/>
      <sheetName val="2011-12 OEFB BPS (restated)"/>
      <sheetName val="BPS Summary"/>
      <sheetName val="BPS S&amp;Wages &amp; Benefits Exp"/>
      <sheetName val="BPS Pension Liability"/>
      <sheetName val="MAR-11 BOG HOOP &amp; CAAT CASH PMT"/>
      <sheetName val="MAR-12 BOG HOOP &amp; CAAT CASH PMT"/>
      <sheetName val="2010-11 Pension and OEFB"/>
      <sheetName val="2010-11 pensions"/>
      <sheetName val="2010-11 OEFB (restated)"/>
      <sheetName val="2010-11 OEFB BPS"/>
      <sheetName val="School Boards Revision"/>
      <sheetName val="2009-10 FS Extract"/>
      <sheetName val="2009-10 Analysis"/>
      <sheetName val="Cont. Prov-BPS"/>
      <sheetName val="0910 pensions"/>
      <sheetName val="continuity"/>
      <sheetName val="2009-10 OEFC with BPS"/>
      <sheetName val="2009-10 OEFB"/>
      <sheetName val="0809 pensions"/>
      <sheetName val="0708 pensions"/>
      <sheetName val="2008 note"/>
      <sheetName val="2007 note"/>
      <sheetName val="06 restated note"/>
      <sheetName val="0607 pensions"/>
      <sheetName val="2006 note"/>
      <sheetName val="0506 pensions"/>
      <sheetName val="2005 note"/>
      <sheetName val="0506 restated"/>
      <sheetName val="2004 note (reclass)"/>
      <sheetName val="0405 reclass"/>
      <sheetName val="0405 pensions"/>
      <sheetName val="WSIB 523350"/>
    </sheetNames>
    <sheetDataSet>
      <sheetData sheetId="0"/>
      <sheetData sheetId="1">
        <row r="11">
          <cell r="G11">
            <v>-906556546.99000001</v>
          </cell>
        </row>
        <row r="43">
          <cell r="G43">
            <v>-204718417.91999999</v>
          </cell>
        </row>
        <row r="54">
          <cell r="G54">
            <v>-47365000</v>
          </cell>
        </row>
      </sheetData>
      <sheetData sheetId="2"/>
      <sheetData sheetId="3"/>
      <sheetData sheetId="4"/>
      <sheetData sheetId="5">
        <row r="7">
          <cell r="B7">
            <v>202119802.36999997</v>
          </cell>
        </row>
        <row r="8">
          <cell r="B8">
            <v>929729272</v>
          </cell>
        </row>
      </sheetData>
      <sheetData sheetId="6">
        <row r="18">
          <cell r="F18">
            <v>190234402.36999997</v>
          </cell>
        </row>
        <row r="19">
          <cell r="F19">
            <v>746548905.98000002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8"/>
  <sheetViews>
    <sheetView workbookViewId="0">
      <pane xSplit="1" ySplit="3" topLeftCell="P4"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51.140625" customWidth="1"/>
    <col min="2" max="2" width="20.28515625" customWidth="1"/>
    <col min="3" max="9" width="10.42578125" hidden="1" customWidth="1" outlineLevel="1"/>
    <col min="10" max="10" width="10.28515625" hidden="1" customWidth="1" outlineLevel="1"/>
    <col min="11" max="11" width="9.140625" hidden="1" customWidth="1" outlineLevel="1"/>
    <col min="12" max="15" width="9.140625" style="115" hidden="1" customWidth="1" outlineLevel="1"/>
    <col min="16" max="16" width="9.140625" style="115" collapsed="1"/>
    <col min="17" max="21" width="9.140625" style="115"/>
    <col min="22" max="22" width="9.140625" style="115" customWidth="1"/>
    <col min="23" max="23" width="9.140625" style="464" customWidth="1"/>
    <col min="24" max="26" width="9.140625" style="304" customWidth="1" outlineLevel="1"/>
    <col min="27" max="27" width="9.140625" style="323" customWidth="1" outlineLevel="1"/>
    <col min="28" max="28" width="5.28515625" customWidth="1"/>
    <col min="29" max="30" width="9.140625" customWidth="1"/>
  </cols>
  <sheetData>
    <row r="1" spans="1:29" ht="15.75" x14ac:dyDescent="0.25">
      <c r="A1" s="18" t="s">
        <v>256</v>
      </c>
      <c r="B1" s="2"/>
      <c r="V1" s="480"/>
      <c r="W1" s="474"/>
      <c r="X1" s="383"/>
      <c r="Y1" s="383"/>
      <c r="Z1" s="383"/>
      <c r="AA1" s="384"/>
    </row>
    <row r="2" spans="1:29" x14ac:dyDescent="0.2">
      <c r="A2" s="308" t="s">
        <v>406</v>
      </c>
      <c r="U2" s="339" t="s">
        <v>178</v>
      </c>
      <c r="V2" s="339" t="s">
        <v>294</v>
      </c>
      <c r="W2" s="461" t="s">
        <v>309</v>
      </c>
      <c r="X2" s="322" t="s">
        <v>315</v>
      </c>
      <c r="Y2" s="322" t="s">
        <v>316</v>
      </c>
      <c r="Z2" s="322" t="s">
        <v>317</v>
      </c>
      <c r="AA2" s="324" t="s">
        <v>318</v>
      </c>
    </row>
    <row r="3" spans="1:29" s="2" customFormat="1" ht="13.5" thickBot="1" x14ac:dyDescent="0.25">
      <c r="A3" s="19" t="s">
        <v>1</v>
      </c>
      <c r="B3" s="20" t="s">
        <v>26</v>
      </c>
      <c r="C3" s="20">
        <v>1995</v>
      </c>
      <c r="D3" s="20">
        <v>1996</v>
      </c>
      <c r="E3" s="20">
        <v>1997</v>
      </c>
      <c r="F3" s="20">
        <v>1998</v>
      </c>
      <c r="G3" s="20">
        <v>1999</v>
      </c>
      <c r="H3" s="20">
        <v>2000</v>
      </c>
      <c r="I3" s="20">
        <v>2001</v>
      </c>
      <c r="J3" s="20">
        <v>2002</v>
      </c>
      <c r="K3" s="20">
        <v>2003</v>
      </c>
      <c r="L3" s="116">
        <v>2004</v>
      </c>
      <c r="M3" s="116">
        <v>2005</v>
      </c>
      <c r="N3" s="116">
        <v>2006</v>
      </c>
      <c r="O3" s="116">
        <v>2007</v>
      </c>
      <c r="P3" s="116">
        <v>2008</v>
      </c>
      <c r="Q3" s="116">
        <v>2009</v>
      </c>
      <c r="R3" s="116">
        <v>2010</v>
      </c>
      <c r="S3" s="116">
        <v>2011</v>
      </c>
      <c r="T3" s="116">
        <v>2012</v>
      </c>
      <c r="U3" s="116">
        <v>2013</v>
      </c>
      <c r="V3" s="116">
        <v>2014</v>
      </c>
      <c r="W3" s="475">
        <v>2015</v>
      </c>
      <c r="X3" s="307">
        <v>2016</v>
      </c>
      <c r="Y3" s="307">
        <v>2017</v>
      </c>
      <c r="Z3" s="307">
        <v>2018</v>
      </c>
      <c r="AA3" s="325">
        <v>2019</v>
      </c>
    </row>
    <row r="5" spans="1:29" x14ac:dyDescent="0.2">
      <c r="A5" s="2" t="s">
        <v>0</v>
      </c>
      <c r="B5" s="2"/>
      <c r="S5" s="195"/>
      <c r="T5" s="195"/>
      <c r="U5" s="195"/>
      <c r="V5" s="303"/>
      <c r="W5" s="476"/>
      <c r="X5" s="318"/>
      <c r="Y5" s="318"/>
      <c r="Z5" s="318"/>
      <c r="AA5" s="326"/>
    </row>
    <row r="6" spans="1:29" s="1" customFormat="1" x14ac:dyDescent="0.2">
      <c r="A6" s="1" t="s">
        <v>292</v>
      </c>
      <c r="B6" s="1" t="s">
        <v>257</v>
      </c>
      <c r="C6" s="5"/>
      <c r="D6" s="5">
        <v>4.1250000000000002E-2</v>
      </c>
      <c r="E6" s="5">
        <v>3.875E-2</v>
      </c>
      <c r="F6" s="5">
        <v>3.6249999999999998E-2</v>
      </c>
      <c r="G6" s="5">
        <v>3.3750000000000002E-2</v>
      </c>
      <c r="H6" s="5">
        <v>3.125E-2</v>
      </c>
      <c r="I6" s="5">
        <v>3.15E-2</v>
      </c>
      <c r="J6" s="5">
        <v>2.9499999999999998E-2</v>
      </c>
      <c r="K6" s="5">
        <v>2.8500000000000001E-2</v>
      </c>
      <c r="L6" s="117">
        <v>2.6749999999999999E-2</v>
      </c>
      <c r="M6" s="117">
        <v>2.3E-2</v>
      </c>
      <c r="N6" s="117">
        <v>2.35E-2</v>
      </c>
      <c r="O6" s="117">
        <v>2.325E-2</v>
      </c>
      <c r="P6" s="220">
        <v>0.02</v>
      </c>
      <c r="Q6" s="220">
        <v>0.02</v>
      </c>
      <c r="R6" s="220">
        <v>2.3E-2</v>
      </c>
      <c r="S6" s="220">
        <v>2.0250000000000001E-2</v>
      </c>
      <c r="T6" s="220">
        <v>1.7000000000000001E-2</v>
      </c>
      <c r="U6" s="220">
        <f t="shared" ref="U6:V8" si="0">+T6</f>
        <v>1.7000000000000001E-2</v>
      </c>
      <c r="V6" s="317">
        <v>2.1000000000000001E-2</v>
      </c>
      <c r="W6" s="546">
        <v>1.6750000000000001E-2</v>
      </c>
      <c r="X6" s="547">
        <v>1.6250000000000001E-2</v>
      </c>
      <c r="Y6" s="547">
        <f t="shared" ref="Y6:AA8" si="1">+X6</f>
        <v>1.6250000000000001E-2</v>
      </c>
      <c r="Z6" s="547">
        <f t="shared" si="1"/>
        <v>1.6250000000000001E-2</v>
      </c>
      <c r="AA6" s="547">
        <f t="shared" si="1"/>
        <v>1.6250000000000001E-2</v>
      </c>
    </row>
    <row r="7" spans="1:29" s="1" customFormat="1" x14ac:dyDescent="0.2">
      <c r="A7" s="1" t="s">
        <v>2</v>
      </c>
      <c r="B7" s="1" t="s">
        <v>257</v>
      </c>
      <c r="C7" s="5"/>
      <c r="D7" s="5">
        <v>4.4999999999999998E-2</v>
      </c>
      <c r="E7" s="5">
        <v>0.04</v>
      </c>
      <c r="F7" s="5">
        <v>3.5000000000000003E-2</v>
      </c>
      <c r="G7" s="5">
        <v>3.2500000000000001E-2</v>
      </c>
      <c r="H7" s="5">
        <v>3.2000000000000001E-2</v>
      </c>
      <c r="I7" s="5">
        <v>2.9000000000000001E-2</v>
      </c>
      <c r="J7" s="5">
        <v>3.0499999999999999E-2</v>
      </c>
      <c r="K7" s="5">
        <v>3.3500000000000002E-2</v>
      </c>
      <c r="L7" s="117">
        <v>3.7499999999999999E-2</v>
      </c>
      <c r="M7" s="117">
        <v>3.5999999999999997E-2</v>
      </c>
      <c r="N7" s="117">
        <v>3.4000000000000002E-2</v>
      </c>
      <c r="O7" s="117">
        <v>3.2000000000000001E-2</v>
      </c>
      <c r="P7" s="220">
        <v>2.35E-2</v>
      </c>
      <c r="Q7" s="220">
        <v>3.5499999999999997E-2</v>
      </c>
      <c r="R7" s="220">
        <f>+Q7</f>
        <v>3.5499999999999997E-2</v>
      </c>
      <c r="S7" s="220">
        <v>3.4000000000000002E-2</v>
      </c>
      <c r="T7" s="317">
        <v>0.03</v>
      </c>
      <c r="U7" s="317">
        <f t="shared" si="0"/>
        <v>0.03</v>
      </c>
      <c r="V7" s="317">
        <f t="shared" si="0"/>
        <v>0.03</v>
      </c>
      <c r="W7" s="546">
        <v>2.7E-2</v>
      </c>
      <c r="X7" s="547">
        <v>2.5000000000000001E-2</v>
      </c>
      <c r="Y7" s="547">
        <f t="shared" si="1"/>
        <v>2.5000000000000001E-2</v>
      </c>
      <c r="Z7" s="547">
        <f t="shared" si="1"/>
        <v>2.5000000000000001E-2</v>
      </c>
      <c r="AA7" s="547">
        <f t="shared" si="1"/>
        <v>2.5000000000000001E-2</v>
      </c>
    </row>
    <row r="8" spans="1:29" s="1" customFormat="1" x14ac:dyDescent="0.2">
      <c r="A8" s="1" t="s">
        <v>3</v>
      </c>
      <c r="B8" s="1" t="s">
        <v>257</v>
      </c>
      <c r="C8" s="5"/>
      <c r="D8" s="5">
        <v>3.5000000000000003E-2</v>
      </c>
      <c r="E8" s="5">
        <v>0.03</v>
      </c>
      <c r="F8" s="5">
        <v>2.5000000000000001E-2</v>
      </c>
      <c r="G8" s="5">
        <v>2.2499999999999999E-2</v>
      </c>
      <c r="H8" s="5">
        <v>2.1999999999999999E-2</v>
      </c>
      <c r="I8" s="5">
        <v>1.9E-2</v>
      </c>
      <c r="J8" s="5">
        <v>2.0500000000000001E-2</v>
      </c>
      <c r="K8" s="5">
        <v>2.35E-2</v>
      </c>
      <c r="L8" s="117">
        <v>2.75E-2</v>
      </c>
      <c r="M8" s="117">
        <v>2.5999999999999999E-2</v>
      </c>
      <c r="N8" s="117">
        <v>2.4E-2</v>
      </c>
      <c r="O8" s="117">
        <v>2.1999999999999999E-2</v>
      </c>
      <c r="P8" s="220">
        <v>1.35E-2</v>
      </c>
      <c r="Q8" s="220">
        <v>2.5499999999999998E-2</v>
      </c>
      <c r="R8" s="220">
        <f>+Q8</f>
        <v>2.5499999999999998E-2</v>
      </c>
      <c r="S8" s="220">
        <v>2.4E-2</v>
      </c>
      <c r="T8" s="317">
        <v>0.02</v>
      </c>
      <c r="U8" s="317">
        <f t="shared" si="0"/>
        <v>0.02</v>
      </c>
      <c r="V8" s="317">
        <f t="shared" si="0"/>
        <v>0.02</v>
      </c>
      <c r="W8" s="546">
        <v>1.7000000000000001E-2</v>
      </c>
      <c r="X8" s="547">
        <v>1.4999999999999999E-2</v>
      </c>
      <c r="Y8" s="547">
        <f t="shared" si="1"/>
        <v>1.4999999999999999E-2</v>
      </c>
      <c r="Z8" s="547">
        <f t="shared" si="1"/>
        <v>1.4999999999999999E-2</v>
      </c>
      <c r="AA8" s="547">
        <f t="shared" si="1"/>
        <v>1.4999999999999999E-2</v>
      </c>
    </row>
    <row r="9" spans="1:29" x14ac:dyDescent="0.2">
      <c r="P9" s="195"/>
      <c r="Q9" s="195"/>
      <c r="S9" s="195"/>
      <c r="T9" s="195"/>
      <c r="U9" s="195"/>
      <c r="V9" s="195"/>
      <c r="W9" s="460"/>
      <c r="X9" s="305"/>
      <c r="Y9" s="305"/>
      <c r="Z9" s="305"/>
      <c r="AA9" s="327"/>
    </row>
    <row r="10" spans="1:29" x14ac:dyDescent="0.2">
      <c r="A10" s="2" t="s">
        <v>4</v>
      </c>
      <c r="B10" s="2"/>
      <c r="P10" s="195"/>
      <c r="Q10" s="195"/>
      <c r="S10" s="195"/>
      <c r="T10" s="195"/>
      <c r="U10" s="195"/>
      <c r="V10" s="195"/>
      <c r="W10" s="521"/>
      <c r="X10" s="542"/>
      <c r="Y10" s="542"/>
      <c r="Z10" s="542"/>
      <c r="AA10" s="543"/>
    </row>
    <row r="11" spans="1:29" s="3" customFormat="1" x14ac:dyDescent="0.2">
      <c r="A11" s="3" t="s">
        <v>11</v>
      </c>
      <c r="B11" s="1" t="s">
        <v>257</v>
      </c>
      <c r="C11" s="7">
        <v>380</v>
      </c>
      <c r="D11" s="7">
        <v>347</v>
      </c>
      <c r="E11" s="7">
        <v>273</v>
      </c>
      <c r="F11" s="7">
        <v>286</v>
      </c>
      <c r="G11" s="7">
        <v>239</v>
      </c>
      <c r="H11" s="7">
        <v>306</v>
      </c>
      <c r="I11" s="7">
        <v>361</v>
      </c>
      <c r="J11" s="7">
        <v>474.67</v>
      </c>
      <c r="K11" s="7">
        <v>157.977</v>
      </c>
      <c r="L11" s="118">
        <f>K11+SUM(L12:L18)</f>
        <v>188.56900000000002</v>
      </c>
      <c r="M11" s="118">
        <v>167.649</v>
      </c>
      <c r="N11" s="118">
        <v>207.655</v>
      </c>
      <c r="O11" s="118">
        <v>245.40100000000001</v>
      </c>
      <c r="P11" s="221">
        <v>227.29400000000001</v>
      </c>
      <c r="Q11" s="221">
        <v>295.99200000000002</v>
      </c>
      <c r="R11" s="221">
        <v>383.58199999999999</v>
      </c>
      <c r="S11" s="221">
        <v>391.83499999999998</v>
      </c>
      <c r="T11" s="221">
        <v>380.09500000000003</v>
      </c>
      <c r="U11" s="221">
        <v>344.35599999999999</v>
      </c>
      <c r="V11" s="221">
        <v>329.99400000000003</v>
      </c>
      <c r="W11" s="477">
        <v>309.17200000000003</v>
      </c>
      <c r="X11" s="306">
        <f t="shared" ref="X11:AA11" si="2">W11+SUM(X12:X18)</f>
        <v>310.16956500000003</v>
      </c>
      <c r="Y11" s="306">
        <f t="shared" si="2"/>
        <v>311.20723923125001</v>
      </c>
      <c r="Z11" s="306">
        <f t="shared" si="2"/>
        <v>312.28814035075783</v>
      </c>
      <c r="AA11" s="328">
        <f t="shared" si="2"/>
        <v>313.41552635068763</v>
      </c>
    </row>
    <row r="12" spans="1:29" s="3" customFormat="1" x14ac:dyDescent="0.2">
      <c r="A12" s="3" t="s">
        <v>5</v>
      </c>
      <c r="B12" s="1" t="s">
        <v>257</v>
      </c>
      <c r="C12" s="7"/>
      <c r="D12" s="7">
        <v>17</v>
      </c>
      <c r="E12" s="7">
        <v>15</v>
      </c>
      <c r="F12" s="7">
        <v>11</v>
      </c>
      <c r="G12" s="7">
        <v>10</v>
      </c>
      <c r="H12" s="7">
        <v>8</v>
      </c>
      <c r="I12" s="7">
        <v>10</v>
      </c>
      <c r="J12" s="7">
        <v>11.702999999999999</v>
      </c>
      <c r="K12" s="7">
        <v>14.253</v>
      </c>
      <c r="L12" s="118">
        <v>4.6189999999999998</v>
      </c>
      <c r="M12" s="118">
        <v>5.1639999999999997</v>
      </c>
      <c r="N12" s="118">
        <v>3.9079999999999999</v>
      </c>
      <c r="O12" s="118">
        <v>4.9509999999999996</v>
      </c>
      <c r="P12" s="221">
        <v>5.7779999999999996</v>
      </c>
      <c r="Q12" s="221">
        <v>4.601</v>
      </c>
      <c r="R12" s="221">
        <v>6.899</v>
      </c>
      <c r="S12" s="221">
        <v>7.86</v>
      </c>
      <c r="T12" s="221">
        <v>6.7409999999999997</v>
      </c>
      <c r="U12" s="221">
        <v>6.52</v>
      </c>
      <c r="V12" s="221">
        <v>6.016</v>
      </c>
      <c r="W12" s="477">
        <v>5.5140000000000002</v>
      </c>
      <c r="X12" s="306">
        <f t="shared" ref="X12:AA12" si="3">W11*X6</f>
        <v>5.024045000000001</v>
      </c>
      <c r="Y12" s="306">
        <f t="shared" si="3"/>
        <v>5.0402554312500003</v>
      </c>
      <c r="Z12" s="306">
        <f t="shared" si="3"/>
        <v>5.0571176375078126</v>
      </c>
      <c r="AA12" s="328">
        <f t="shared" si="3"/>
        <v>5.0746822806998146</v>
      </c>
    </row>
    <row r="13" spans="1:29" s="3" customFormat="1" x14ac:dyDescent="0.2">
      <c r="A13" s="3" t="s">
        <v>50</v>
      </c>
      <c r="B13" s="1" t="s">
        <v>257</v>
      </c>
      <c r="C13" s="7"/>
      <c r="D13" s="7">
        <v>31</v>
      </c>
      <c r="E13" s="7">
        <v>21</v>
      </c>
      <c r="F13" s="7">
        <v>25</v>
      </c>
      <c r="G13" s="7">
        <v>22</v>
      </c>
      <c r="H13" s="7">
        <v>18</v>
      </c>
      <c r="I13" s="7">
        <v>32</v>
      </c>
      <c r="J13" s="7">
        <v>32.648000000000003</v>
      </c>
      <c r="K13" s="7">
        <v>9.0760000000000005</v>
      </c>
      <c r="L13" s="118">
        <v>10.337</v>
      </c>
      <c r="M13" s="118">
        <v>11.595000000000001</v>
      </c>
      <c r="N13" s="118">
        <v>7.33</v>
      </c>
      <c r="O13" s="118">
        <v>9.3049999999999997</v>
      </c>
      <c r="P13" s="221">
        <v>10.839</v>
      </c>
      <c r="Q13" s="221">
        <v>9.9450000000000003</v>
      </c>
      <c r="R13" s="221">
        <v>12.819000000000001</v>
      </c>
      <c r="S13" s="221">
        <v>15.012</v>
      </c>
      <c r="T13" s="221">
        <v>14.574999999999999</v>
      </c>
      <c r="U13" s="221">
        <v>13.451000000000001</v>
      </c>
      <c r="V13" s="221">
        <v>6.5359999999999996</v>
      </c>
      <c r="W13" s="477">
        <v>8.2240000000000002</v>
      </c>
      <c r="X13" s="306">
        <f t="shared" ref="X13:AA13" si="4">W13*(1+X7)</f>
        <v>8.4295999999999989</v>
      </c>
      <c r="Y13" s="306">
        <f t="shared" si="4"/>
        <v>8.6403399999999984</v>
      </c>
      <c r="Z13" s="306">
        <f t="shared" si="4"/>
        <v>8.8563484999999975</v>
      </c>
      <c r="AA13" s="328">
        <f t="shared" si="4"/>
        <v>9.0777572124999963</v>
      </c>
    </row>
    <row r="14" spans="1:29" s="3" customFormat="1" x14ac:dyDescent="0.2">
      <c r="A14" s="3" t="s">
        <v>207</v>
      </c>
      <c r="B14" s="1" t="s">
        <v>257</v>
      </c>
      <c r="C14" s="7"/>
      <c r="D14" s="7"/>
      <c r="E14" s="7"/>
      <c r="F14" s="7"/>
      <c r="G14" s="7"/>
      <c r="H14" s="7"/>
      <c r="I14" s="7">
        <v>39</v>
      </c>
      <c r="J14" s="7"/>
      <c r="K14" s="7"/>
      <c r="L14" s="118"/>
      <c r="M14" s="118"/>
      <c r="N14" s="118"/>
      <c r="O14" s="118"/>
      <c r="P14" s="221"/>
      <c r="Q14" s="221"/>
      <c r="R14" s="233"/>
      <c r="S14" s="221"/>
      <c r="T14" s="221"/>
      <c r="U14" s="221"/>
      <c r="V14" s="221"/>
      <c r="W14" s="477"/>
      <c r="X14" s="306"/>
      <c r="Y14" s="306"/>
      <c r="Z14" s="306"/>
      <c r="AA14" s="328"/>
    </row>
    <row r="15" spans="1:29" s="3" customFormat="1" x14ac:dyDescent="0.2">
      <c r="A15" s="3" t="s">
        <v>208</v>
      </c>
      <c r="B15" s="1" t="s">
        <v>257</v>
      </c>
      <c r="C15" s="7"/>
      <c r="D15" s="7"/>
      <c r="E15" s="7"/>
      <c r="F15" s="7">
        <v>71</v>
      </c>
      <c r="G15" s="7"/>
      <c r="H15" s="7"/>
      <c r="I15" s="7"/>
      <c r="J15" s="7"/>
      <c r="K15" s="7"/>
      <c r="L15" s="118"/>
      <c r="M15" s="118"/>
      <c r="N15" s="118"/>
      <c r="O15" s="118"/>
      <c r="P15" s="221"/>
      <c r="Q15" s="221"/>
      <c r="R15" s="233"/>
      <c r="S15" s="221"/>
      <c r="T15" s="221"/>
      <c r="U15" s="221"/>
      <c r="V15" s="221"/>
      <c r="W15" s="477"/>
      <c r="X15" s="306"/>
      <c r="Y15" s="306"/>
      <c r="Z15" s="306"/>
      <c r="AA15" s="328"/>
      <c r="AC15" s="296"/>
    </row>
    <row r="16" spans="1:29" s="3" customFormat="1" x14ac:dyDescent="0.2">
      <c r="A16" s="3" t="s">
        <v>9</v>
      </c>
      <c r="B16" s="1" t="s">
        <v>257</v>
      </c>
      <c r="C16" s="7"/>
      <c r="D16" s="7"/>
      <c r="E16" s="7"/>
      <c r="F16" s="7"/>
      <c r="G16" s="7"/>
      <c r="H16" s="7"/>
      <c r="I16" s="7">
        <v>-1</v>
      </c>
      <c r="J16" s="7">
        <v>-1.238</v>
      </c>
      <c r="K16" s="7">
        <v>-1.7290000000000001</v>
      </c>
      <c r="L16" s="118">
        <v>-2.056</v>
      </c>
      <c r="M16" s="118">
        <v>-2.5750000000000002</v>
      </c>
      <c r="N16" s="118">
        <v>-2.8</v>
      </c>
      <c r="O16" s="118">
        <v>-3.2210000000000001</v>
      </c>
      <c r="P16" s="221">
        <v>-3.7120000000000002</v>
      </c>
      <c r="Q16" s="221">
        <v>-4.4249999999999998</v>
      </c>
      <c r="R16" s="221">
        <v>-4.8099999999999996</v>
      </c>
      <c r="S16" s="221">
        <v>-5.9169999999999998</v>
      </c>
      <c r="T16" s="221">
        <v>-6.06</v>
      </c>
      <c r="U16" s="221">
        <v>-6.5910000000000002</v>
      </c>
      <c r="V16" s="221">
        <v>-9.0350000000000001</v>
      </c>
      <c r="W16" s="477">
        <v>-12.272</v>
      </c>
      <c r="X16" s="306">
        <f t="shared" ref="X16:AA16" si="5">W16*(1+X8)</f>
        <v>-12.456079999999998</v>
      </c>
      <c r="Y16" s="306">
        <f t="shared" si="5"/>
        <v>-12.642921199999996</v>
      </c>
      <c r="Z16" s="306">
        <f t="shared" si="5"/>
        <v>-12.832565017999995</v>
      </c>
      <c r="AA16" s="328">
        <f t="shared" si="5"/>
        <v>-13.025053493269994</v>
      </c>
    </row>
    <row r="17" spans="1:27" s="3" customFormat="1" x14ac:dyDescent="0.2">
      <c r="A17" s="3" t="s">
        <v>6</v>
      </c>
      <c r="B17" s="1" t="s">
        <v>257</v>
      </c>
      <c r="C17" s="7"/>
      <c r="D17" s="7">
        <v>-61</v>
      </c>
      <c r="E17" s="7">
        <v>-108</v>
      </c>
      <c r="F17" s="7">
        <v>-74</v>
      </c>
      <c r="G17" s="7">
        <v>-100</v>
      </c>
      <c r="H17" s="7">
        <v>31</v>
      </c>
      <c r="I17" s="7">
        <v>-44</v>
      </c>
      <c r="J17" s="7">
        <v>25.167000000000002</v>
      </c>
      <c r="K17" s="7">
        <v>3.7749999999999999</v>
      </c>
      <c r="L17" s="118">
        <v>-5.92</v>
      </c>
      <c r="M17" s="118">
        <v>4.5030000000000001</v>
      </c>
      <c r="N17" s="118">
        <v>31.687999999999999</v>
      </c>
      <c r="O17" s="118">
        <v>21.056000000000001</v>
      </c>
      <c r="P17" s="221">
        <v>-16.713999999999999</v>
      </c>
      <c r="Q17" s="221">
        <v>32.131</v>
      </c>
      <c r="R17" s="221">
        <v>35.783999999999999</v>
      </c>
      <c r="S17" s="221">
        <v>-12.231</v>
      </c>
      <c r="T17" s="221">
        <v>53.651000000000003</v>
      </c>
      <c r="U17" s="221">
        <v>-14.474</v>
      </c>
      <c r="V17" s="221">
        <f>21.55+1.529</f>
        <v>23.079000000000001</v>
      </c>
      <c r="W17" s="477">
        <f>1.208-2.294</f>
        <v>-1.0860000000000001</v>
      </c>
      <c r="X17" s="306"/>
      <c r="Y17" s="306"/>
      <c r="Z17" s="306"/>
      <c r="AA17" s="328"/>
    </row>
    <row r="18" spans="1:27" s="3" customFormat="1" x14ac:dyDescent="0.2">
      <c r="A18" s="3" t="s">
        <v>7</v>
      </c>
      <c r="B18" s="1" t="s">
        <v>257</v>
      </c>
      <c r="C18" s="7"/>
      <c r="D18" s="7">
        <v>-21</v>
      </c>
      <c r="E18" s="7">
        <v>-1</v>
      </c>
      <c r="F18" s="7">
        <v>-20</v>
      </c>
      <c r="G18" s="7">
        <v>21</v>
      </c>
      <c r="H18" s="7">
        <v>10</v>
      </c>
      <c r="I18" s="7">
        <v>19</v>
      </c>
      <c r="J18" s="7">
        <v>44.91</v>
      </c>
      <c r="K18" s="7">
        <v>-342.06799999999998</v>
      </c>
      <c r="L18" s="118">
        <v>23.611999999999998</v>
      </c>
      <c r="M18" s="118">
        <f>-39.607</f>
        <v>-39.606999999999999</v>
      </c>
      <c r="N18" s="118">
        <v>0.12</v>
      </c>
      <c r="O18" s="118">
        <v>5.6550000000000002</v>
      </c>
      <c r="P18" s="221">
        <v>-14.308</v>
      </c>
      <c r="Q18" s="221">
        <v>26.446000000000002</v>
      </c>
      <c r="R18" s="221">
        <v>36.898000000000003</v>
      </c>
      <c r="S18" s="221">
        <v>3.5289999999999999</v>
      </c>
      <c r="T18" s="221">
        <v>-80.647000000000006</v>
      </c>
      <c r="U18" s="221">
        <v>-34.645000000000003</v>
      </c>
      <c r="V18" s="221">
        <v>-40.957999999999998</v>
      </c>
      <c r="W18" s="477">
        <v>-21.202000000000002</v>
      </c>
      <c r="X18" s="306"/>
      <c r="Y18" s="306"/>
      <c r="Z18" s="306"/>
      <c r="AA18" s="328"/>
    </row>
    <row r="19" spans="1:27" s="8" customFormat="1" x14ac:dyDescent="0.2">
      <c r="A19" s="8" t="s">
        <v>10</v>
      </c>
      <c r="B19" s="8" t="s">
        <v>31</v>
      </c>
      <c r="C19" s="8">
        <f t="shared" ref="C19:K19" si="6">SUM(C12:C18)</f>
        <v>0</v>
      </c>
      <c r="D19" s="8">
        <f t="shared" si="6"/>
        <v>-34</v>
      </c>
      <c r="E19" s="8">
        <f t="shared" si="6"/>
        <v>-73</v>
      </c>
      <c r="F19" s="8">
        <f t="shared" si="6"/>
        <v>13</v>
      </c>
      <c r="G19" s="8">
        <f t="shared" si="6"/>
        <v>-47</v>
      </c>
      <c r="H19" s="8">
        <f t="shared" si="6"/>
        <v>67</v>
      </c>
      <c r="I19" s="8">
        <f t="shared" si="6"/>
        <v>55</v>
      </c>
      <c r="J19" s="8">
        <f t="shared" si="6"/>
        <v>113.19</v>
      </c>
      <c r="K19" s="8">
        <f t="shared" si="6"/>
        <v>-316.69299999999998</v>
      </c>
      <c r="L19" s="119">
        <f t="shared" ref="L19:Y19" si="7">SUM(L12:L18)</f>
        <v>30.591999999999999</v>
      </c>
      <c r="M19" s="119">
        <f t="shared" si="7"/>
        <v>-20.919999999999998</v>
      </c>
      <c r="N19" s="119">
        <f t="shared" si="7"/>
        <v>40.245999999999995</v>
      </c>
      <c r="O19" s="119">
        <f t="shared" si="7"/>
        <v>37.746000000000002</v>
      </c>
      <c r="P19" s="200">
        <f t="shared" si="7"/>
        <v>-18.116999999999997</v>
      </c>
      <c r="Q19" s="200">
        <f t="shared" si="7"/>
        <v>68.697999999999993</v>
      </c>
      <c r="R19" s="200">
        <f t="shared" si="7"/>
        <v>87.59</v>
      </c>
      <c r="S19" s="200">
        <f t="shared" si="7"/>
        <v>8.2529999999999983</v>
      </c>
      <c r="T19" s="200">
        <f t="shared" si="7"/>
        <v>-11.739999999999995</v>
      </c>
      <c r="U19" s="200">
        <f t="shared" si="7"/>
        <v>-35.739000000000004</v>
      </c>
      <c r="V19" s="200">
        <f t="shared" si="7"/>
        <v>-14.361999999999998</v>
      </c>
      <c r="W19" s="478">
        <f t="shared" si="7"/>
        <v>-20.822000000000003</v>
      </c>
      <c r="X19" s="319">
        <f t="shared" si="7"/>
        <v>0.99756500000000159</v>
      </c>
      <c r="Y19" s="319">
        <f t="shared" si="7"/>
        <v>1.0376742312500014</v>
      </c>
      <c r="Z19" s="319">
        <f>SUM(Z12:Z18)</f>
        <v>1.080901119507816</v>
      </c>
      <c r="AA19" s="329">
        <f>SUM(AA12:AA18)</f>
        <v>1.1273859999298175</v>
      </c>
    </row>
    <row r="20" spans="1:27" s="8" customFormat="1" x14ac:dyDescent="0.2">
      <c r="A20" s="8" t="s">
        <v>8</v>
      </c>
      <c r="B20" s="8" t="s">
        <v>31</v>
      </c>
      <c r="D20" s="8">
        <f t="shared" ref="D20:K20" si="8">D11-C11-D19</f>
        <v>1</v>
      </c>
      <c r="E20" s="8">
        <f t="shared" si="8"/>
        <v>-1</v>
      </c>
      <c r="F20" s="8">
        <f t="shared" si="8"/>
        <v>0</v>
      </c>
      <c r="G20" s="8">
        <f t="shared" si="8"/>
        <v>0</v>
      </c>
      <c r="H20" s="8">
        <f t="shared" si="8"/>
        <v>0</v>
      </c>
      <c r="I20" s="8">
        <f t="shared" si="8"/>
        <v>0</v>
      </c>
      <c r="J20" s="8">
        <f t="shared" si="8"/>
        <v>0.48000000000001819</v>
      </c>
      <c r="K20" s="8">
        <f t="shared" si="8"/>
        <v>0</v>
      </c>
      <c r="L20" s="119">
        <f t="shared" ref="L20:AA20" si="9">L11-K11-L19</f>
        <v>0</v>
      </c>
      <c r="M20" s="119">
        <f t="shared" si="9"/>
        <v>0</v>
      </c>
      <c r="N20" s="119">
        <f t="shared" si="9"/>
        <v>-0.23999999999999488</v>
      </c>
      <c r="O20" s="119">
        <f t="shared" si="9"/>
        <v>0</v>
      </c>
      <c r="P20" s="200">
        <f t="shared" si="9"/>
        <v>9.9999999999980105E-3</v>
      </c>
      <c r="Q20" s="200">
        <f t="shared" si="9"/>
        <v>0</v>
      </c>
      <c r="R20" s="119">
        <f t="shared" si="9"/>
        <v>0</v>
      </c>
      <c r="S20" s="200">
        <f t="shared" si="9"/>
        <v>0</v>
      </c>
      <c r="T20" s="200">
        <f t="shared" si="9"/>
        <v>4.2632564145606011E-14</v>
      </c>
      <c r="U20" s="200">
        <f t="shared" si="9"/>
        <v>0</v>
      </c>
      <c r="V20" s="200">
        <f t="shared" si="9"/>
        <v>3.1974423109204508E-14</v>
      </c>
      <c r="W20" s="524">
        <f t="shared" si="9"/>
        <v>0</v>
      </c>
      <c r="X20" s="319">
        <f t="shared" si="9"/>
        <v>7.1054273576010019E-15</v>
      </c>
      <c r="Y20" s="319">
        <f t="shared" si="9"/>
        <v>-2.1316282072803006E-14</v>
      </c>
      <c r="Z20" s="319">
        <f t="shared" si="9"/>
        <v>-1.7763568394002505E-15</v>
      </c>
      <c r="AA20" s="329">
        <f t="shared" si="9"/>
        <v>-1.7763568394002505E-14</v>
      </c>
    </row>
    <row r="21" spans="1:27" x14ac:dyDescent="0.2">
      <c r="P21" s="222"/>
      <c r="Q21" s="222"/>
      <c r="S21" s="201"/>
      <c r="T21" s="201"/>
      <c r="U21" s="201"/>
      <c r="V21" s="201"/>
      <c r="W21" s="521"/>
      <c r="X21" s="305"/>
      <c r="Y21" s="305"/>
      <c r="Z21" s="305"/>
      <c r="AA21" s="327"/>
    </row>
    <row r="22" spans="1:27" x14ac:dyDescent="0.2">
      <c r="A22" s="2" t="s">
        <v>13</v>
      </c>
      <c r="B22" s="2"/>
      <c r="P22" s="222"/>
      <c r="Q22" s="222"/>
      <c r="S22" s="201"/>
      <c r="T22" s="201"/>
      <c r="U22" s="201"/>
      <c r="V22" s="201"/>
      <c r="W22" s="521"/>
      <c r="X22" s="305"/>
      <c r="Y22" s="305"/>
      <c r="Z22" s="305"/>
      <c r="AA22" s="327"/>
    </row>
    <row r="23" spans="1:27" s="9" customFormat="1" x14ac:dyDescent="0.2">
      <c r="A23" s="9" t="s">
        <v>22</v>
      </c>
      <c r="B23" s="58" t="s">
        <v>257</v>
      </c>
      <c r="C23" s="10">
        <v>0</v>
      </c>
      <c r="D23" s="10">
        <v>1</v>
      </c>
      <c r="E23" s="10">
        <v>1</v>
      </c>
      <c r="F23" s="10">
        <v>1</v>
      </c>
      <c r="G23" s="10">
        <v>1</v>
      </c>
      <c r="H23" s="10">
        <v>2</v>
      </c>
      <c r="I23" s="10">
        <v>2</v>
      </c>
      <c r="J23" s="10">
        <v>2.149</v>
      </c>
      <c r="K23" s="10">
        <v>5.2229999999999999</v>
      </c>
      <c r="L23" s="120">
        <v>7.9279999999999999</v>
      </c>
      <c r="M23" s="120">
        <v>9.5860000000000003</v>
      </c>
      <c r="N23" s="120">
        <v>10.486000000000001</v>
      </c>
      <c r="O23" s="120">
        <v>10.577</v>
      </c>
      <c r="P23" s="202">
        <v>13.72</v>
      </c>
      <c r="Q23" s="202">
        <v>13.725</v>
      </c>
      <c r="R23" s="120">
        <v>15.369</v>
      </c>
      <c r="S23" s="202">
        <v>15.557</v>
      </c>
      <c r="T23" s="202">
        <v>17.167999999999999</v>
      </c>
      <c r="U23" s="120">
        <v>24.364999999999998</v>
      </c>
      <c r="V23" s="120">
        <v>26.102</v>
      </c>
      <c r="W23" s="477">
        <v>25.126000000000001</v>
      </c>
      <c r="X23" s="306">
        <f t="shared" ref="X23:AA23" si="10">W23*(1+X6)+X29+X16</f>
        <v>24.610492500000007</v>
      </c>
      <c r="Y23" s="306">
        <f t="shared" si="10"/>
        <v>24.188073678125015</v>
      </c>
      <c r="Z23" s="306">
        <f t="shared" si="10"/>
        <v>23.864661279269548</v>
      </c>
      <c r="AA23" s="328">
        <f t="shared" si="10"/>
        <v>23.646407364209558</v>
      </c>
    </row>
    <row r="24" spans="1:27" x14ac:dyDescent="0.2">
      <c r="P24" s="222"/>
      <c r="Q24" s="222"/>
      <c r="S24" s="201"/>
      <c r="T24" s="201"/>
      <c r="U24" s="303"/>
      <c r="V24" s="303"/>
      <c r="W24" s="521"/>
      <c r="X24" s="305"/>
      <c r="Y24" s="305"/>
      <c r="Z24" s="305"/>
      <c r="AA24" s="327"/>
    </row>
    <row r="25" spans="1:27" x14ac:dyDescent="0.2">
      <c r="A25" s="2" t="s">
        <v>23</v>
      </c>
      <c r="B25" s="2"/>
      <c r="P25" s="222"/>
      <c r="Q25" s="222"/>
      <c r="S25" s="201"/>
      <c r="T25" s="201"/>
      <c r="U25" s="303"/>
      <c r="V25" s="303"/>
      <c r="W25" s="521"/>
      <c r="X25" s="305"/>
      <c r="Y25" s="305"/>
      <c r="Z25" s="305"/>
      <c r="AA25" s="327"/>
    </row>
    <row r="26" spans="1:27" s="3" customFormat="1" x14ac:dyDescent="0.2">
      <c r="A26" s="3" t="s">
        <v>16</v>
      </c>
      <c r="B26" s="1" t="s">
        <v>257</v>
      </c>
      <c r="C26" s="7"/>
      <c r="D26" s="7"/>
      <c r="E26" s="7"/>
      <c r="F26" s="7"/>
      <c r="G26" s="7"/>
      <c r="H26" s="7">
        <v>0.6</v>
      </c>
      <c r="I26" s="7">
        <v>0.7</v>
      </c>
      <c r="J26" s="7">
        <v>0.76800000000000002</v>
      </c>
      <c r="K26" s="7">
        <v>2.4340000000000002</v>
      </c>
      <c r="L26" s="118">
        <v>2.4009999999999998</v>
      </c>
      <c r="M26" s="118">
        <v>2.1230000000000002</v>
      </c>
      <c r="N26" s="118">
        <v>1.8260000000000001</v>
      </c>
      <c r="O26" s="118">
        <v>1.4270229999999999</v>
      </c>
      <c r="P26" s="202">
        <v>3.3940109999999999</v>
      </c>
      <c r="Q26" s="202">
        <v>2.2229999999999999</v>
      </c>
      <c r="R26" s="118">
        <v>3.2330000000000001</v>
      </c>
      <c r="S26" s="202">
        <v>3.0710000000000002</v>
      </c>
      <c r="T26" s="202">
        <v>3.847</v>
      </c>
      <c r="U26" s="120">
        <v>6.9029999999999996</v>
      </c>
      <c r="V26" s="120">
        <v>5.4210000000000003</v>
      </c>
      <c r="W26" s="477">
        <v>5.59</v>
      </c>
      <c r="X26" s="306">
        <f t="shared" ref="X26:AA26" si="11">W26*(1+X$7)</f>
        <v>5.7297499999999992</v>
      </c>
      <c r="Y26" s="306">
        <f t="shared" si="11"/>
        <v>5.8729937499999991</v>
      </c>
      <c r="Z26" s="306">
        <f t="shared" si="11"/>
        <v>6.0198185937499984</v>
      </c>
      <c r="AA26" s="328">
        <f t="shared" si="11"/>
        <v>6.1703140585937479</v>
      </c>
    </row>
    <row r="27" spans="1:27" s="3" customFormat="1" x14ac:dyDescent="0.2">
      <c r="A27" s="3" t="s">
        <v>17</v>
      </c>
      <c r="B27" s="1" t="s">
        <v>257</v>
      </c>
      <c r="C27" s="7"/>
      <c r="D27" s="7"/>
      <c r="E27" s="7"/>
      <c r="F27" s="7"/>
      <c r="G27" s="7"/>
      <c r="H27" s="7">
        <v>0.2</v>
      </c>
      <c r="I27" s="7">
        <v>0.4</v>
      </c>
      <c r="J27" s="7">
        <v>0.14199999999999999</v>
      </c>
      <c r="K27" s="7">
        <v>0.53</v>
      </c>
      <c r="L27" s="118">
        <v>0.54300000000000004</v>
      </c>
      <c r="M27" s="118">
        <v>1.4470000000000001</v>
      </c>
      <c r="N27" s="118">
        <v>0.432</v>
      </c>
      <c r="O27" s="118">
        <v>0.75523700000000005</v>
      </c>
      <c r="P27" s="202">
        <v>0.88747699999999996</v>
      </c>
      <c r="Q27" s="202">
        <v>0.73899999999999999</v>
      </c>
      <c r="R27" s="118">
        <v>2.2240000000000002</v>
      </c>
      <c r="S27" s="202">
        <v>2.1859999999999999</v>
      </c>
      <c r="T27" s="202">
        <v>1.18</v>
      </c>
      <c r="U27" s="120">
        <v>1.5840000000000001</v>
      </c>
      <c r="V27" s="120">
        <v>0.79600000000000004</v>
      </c>
      <c r="W27" s="477">
        <v>2.3519999999999999</v>
      </c>
      <c r="X27" s="306">
        <f t="shared" ref="X27:X28" si="12">W27*(1+X$7)</f>
        <v>2.4107999999999996</v>
      </c>
      <c r="Y27" s="306">
        <f t="shared" ref="Y27:AA28" si="13">X27*(1+Y$7)</f>
        <v>2.4710699999999992</v>
      </c>
      <c r="Z27" s="306">
        <f t="shared" si="13"/>
        <v>2.5328467499999991</v>
      </c>
      <c r="AA27" s="328">
        <f t="shared" si="13"/>
        <v>2.5961679187499991</v>
      </c>
    </row>
    <row r="28" spans="1:27" s="3" customFormat="1" x14ac:dyDescent="0.2">
      <c r="A28" s="3" t="s">
        <v>19</v>
      </c>
      <c r="B28" s="1" t="s">
        <v>257</v>
      </c>
      <c r="C28" s="7"/>
      <c r="D28" s="7"/>
      <c r="E28" s="7"/>
      <c r="F28" s="7"/>
      <c r="G28" s="7"/>
      <c r="H28" s="7">
        <v>0.4</v>
      </c>
      <c r="I28" s="7">
        <v>0.3</v>
      </c>
      <c r="J28" s="7">
        <v>0.626</v>
      </c>
      <c r="K28" s="7">
        <v>1.9039999999999999</v>
      </c>
      <c r="L28" s="118">
        <v>1.8580000000000001</v>
      </c>
      <c r="M28" s="118">
        <v>0.67600000000000005</v>
      </c>
      <c r="N28" s="118">
        <v>1.3939999999999999</v>
      </c>
      <c r="O28" s="118">
        <v>1.0068349999999999</v>
      </c>
      <c r="P28" s="202">
        <v>2.5065339999999998</v>
      </c>
      <c r="Q28" s="202">
        <v>1.484</v>
      </c>
      <c r="R28" s="118">
        <v>1.01</v>
      </c>
      <c r="S28" s="202">
        <v>0.88500000000000001</v>
      </c>
      <c r="T28" s="202">
        <v>2.6659999999999999</v>
      </c>
      <c r="U28" s="120">
        <v>5.32</v>
      </c>
      <c r="V28" s="120">
        <v>4.6260000000000003</v>
      </c>
      <c r="W28" s="477">
        <v>3.3090000000000002</v>
      </c>
      <c r="X28" s="306">
        <f t="shared" si="12"/>
        <v>3.3917249999999997</v>
      </c>
      <c r="Y28" s="306">
        <f t="shared" si="13"/>
        <v>3.4765181249999992</v>
      </c>
      <c r="Z28" s="306">
        <f t="shared" si="13"/>
        <v>3.5634310781249989</v>
      </c>
      <c r="AA28" s="328">
        <f t="shared" si="13"/>
        <v>3.6525168550781237</v>
      </c>
    </row>
    <row r="29" spans="1:27" s="8" customFormat="1" x14ac:dyDescent="0.2">
      <c r="A29" s="8" t="s">
        <v>21</v>
      </c>
      <c r="B29" s="8" t="s">
        <v>31</v>
      </c>
      <c r="C29" s="8">
        <f>SUM(C26:C28)</f>
        <v>0</v>
      </c>
      <c r="D29" s="8">
        <f t="shared" ref="D29:K29" si="14">SUM(D26:D28)</f>
        <v>0</v>
      </c>
      <c r="E29" s="8">
        <f t="shared" si="14"/>
        <v>0</v>
      </c>
      <c r="F29" s="8">
        <f t="shared" si="14"/>
        <v>0</v>
      </c>
      <c r="G29" s="8">
        <f t="shared" si="14"/>
        <v>0</v>
      </c>
      <c r="H29" s="8">
        <f t="shared" si="14"/>
        <v>1.2000000000000002</v>
      </c>
      <c r="I29" s="8">
        <f t="shared" si="14"/>
        <v>1.4000000000000001</v>
      </c>
      <c r="J29" s="8">
        <f t="shared" si="14"/>
        <v>1.536</v>
      </c>
      <c r="K29" s="8">
        <f t="shared" si="14"/>
        <v>4.8680000000000003</v>
      </c>
      <c r="L29" s="119">
        <f t="shared" ref="L29:Y29" si="15">SUM(L26:L28)</f>
        <v>4.8019999999999996</v>
      </c>
      <c r="M29" s="119">
        <f t="shared" si="15"/>
        <v>4.2460000000000004</v>
      </c>
      <c r="N29" s="119">
        <f t="shared" si="15"/>
        <v>3.6520000000000001</v>
      </c>
      <c r="O29" s="119">
        <f t="shared" si="15"/>
        <v>3.189095</v>
      </c>
      <c r="P29" s="200">
        <f t="shared" si="15"/>
        <v>6.7880219999999998</v>
      </c>
      <c r="Q29" s="200">
        <f t="shared" si="15"/>
        <v>4.4459999999999997</v>
      </c>
      <c r="R29" s="119">
        <f t="shared" si="15"/>
        <v>6.4670000000000005</v>
      </c>
      <c r="S29" s="200">
        <f t="shared" si="15"/>
        <v>6.1419999999999995</v>
      </c>
      <c r="T29" s="200">
        <f t="shared" si="15"/>
        <v>7.6929999999999996</v>
      </c>
      <c r="U29" s="340">
        <f t="shared" si="15"/>
        <v>13.807</v>
      </c>
      <c r="V29" s="119">
        <f t="shared" si="15"/>
        <v>10.843</v>
      </c>
      <c r="W29" s="478">
        <f t="shared" si="15"/>
        <v>11.251000000000001</v>
      </c>
      <c r="X29" s="319">
        <f t="shared" si="15"/>
        <v>11.532274999999998</v>
      </c>
      <c r="Y29" s="319">
        <f t="shared" si="15"/>
        <v>11.820581874999998</v>
      </c>
      <c r="Z29" s="319">
        <f>SUM(Z26:Z28)</f>
        <v>12.116096421874996</v>
      </c>
      <c r="AA29" s="329">
        <f>SUM(AA26:AA28)</f>
        <v>12.418998832421872</v>
      </c>
    </row>
    <row r="30" spans="1:27" s="3" customFormat="1" x14ac:dyDescent="0.2">
      <c r="L30" s="121"/>
      <c r="M30" s="121"/>
      <c r="N30" s="121"/>
      <c r="O30" s="121"/>
      <c r="P30" s="203"/>
      <c r="Q30" s="203"/>
      <c r="R30" s="121"/>
      <c r="S30" s="203"/>
      <c r="T30" s="203"/>
      <c r="U30" s="146"/>
      <c r="V30" s="146"/>
      <c r="W30" s="525"/>
      <c r="X30" s="548"/>
      <c r="Y30" s="548"/>
      <c r="Z30" s="548"/>
      <c r="AA30" s="549"/>
    </row>
    <row r="31" spans="1:27" s="3" customFormat="1" x14ac:dyDescent="0.2">
      <c r="A31" s="12" t="s">
        <v>25</v>
      </c>
      <c r="B31" s="9" t="s">
        <v>254</v>
      </c>
      <c r="C31" s="7">
        <f>'Data Input'!I40</f>
        <v>14</v>
      </c>
      <c r="D31" s="7">
        <f>'Data Input'!J40</f>
        <v>14</v>
      </c>
      <c r="E31" s="7">
        <f>'Data Input'!K40</f>
        <v>13</v>
      </c>
      <c r="F31" s="7">
        <f>'Data Input'!L40</f>
        <v>13</v>
      </c>
      <c r="G31" s="7">
        <f>'Data Input'!M40</f>
        <v>14</v>
      </c>
      <c r="H31" s="7">
        <f>'Data Input'!N40</f>
        <v>14</v>
      </c>
      <c r="I31" s="7">
        <f>'Data Input'!O40</f>
        <v>13</v>
      </c>
      <c r="J31" s="7">
        <f>'Data Input'!P40</f>
        <v>13</v>
      </c>
      <c r="K31" s="7">
        <f>'Data Input'!Q40</f>
        <v>13</v>
      </c>
      <c r="L31" s="118">
        <f>'Data Input'!R40</f>
        <v>13</v>
      </c>
      <c r="M31" s="118">
        <f>'Data Input'!S40</f>
        <v>13</v>
      </c>
      <c r="N31" s="118">
        <f>'Data Input'!T40</f>
        <v>13.6</v>
      </c>
      <c r="O31" s="118">
        <f>'Data Input'!U40</f>
        <v>13.8</v>
      </c>
      <c r="P31" s="202">
        <f>'Data Input'!V40</f>
        <v>14</v>
      </c>
      <c r="Q31" s="223">
        <f>'Data Input'!W40</f>
        <v>14</v>
      </c>
      <c r="R31" s="234">
        <v>13.9</v>
      </c>
      <c r="S31" s="223">
        <f>'Data Input'!Y40</f>
        <v>14.1</v>
      </c>
      <c r="T31" s="223">
        <f>'Data Input'!Z40</f>
        <v>14.6</v>
      </c>
      <c r="U31" s="341">
        <f>'Data Input'!AA40</f>
        <v>14.5</v>
      </c>
      <c r="V31" s="341">
        <f>'Data Input'!AB40</f>
        <v>14.4</v>
      </c>
      <c r="W31" s="544">
        <f>'Data Input'!AC40</f>
        <v>15.3</v>
      </c>
      <c r="X31" s="545">
        <f>'Data Input'!AD40</f>
        <v>15.3</v>
      </c>
      <c r="Y31" s="545">
        <f>'Data Input'!AE40</f>
        <v>15.3</v>
      </c>
      <c r="Z31" s="545">
        <f>'Data Input'!AF40</f>
        <v>15.3</v>
      </c>
      <c r="AA31" s="545">
        <f>'Data Input'!AG40</f>
        <v>15.3</v>
      </c>
    </row>
    <row r="32" spans="1:27" x14ac:dyDescent="0.2">
      <c r="P32" s="201"/>
      <c r="Q32" s="201"/>
      <c r="S32" s="201"/>
      <c r="T32" s="201"/>
      <c r="U32" s="303"/>
      <c r="V32" s="303"/>
      <c r="W32" s="521"/>
      <c r="X32" s="542"/>
      <c r="Y32" s="542"/>
      <c r="Z32" s="542"/>
      <c r="AA32" s="543"/>
    </row>
    <row r="33" spans="1:29" x14ac:dyDescent="0.2">
      <c r="A33" s="2" t="s">
        <v>24</v>
      </c>
      <c r="D33" s="13" t="s">
        <v>39</v>
      </c>
      <c r="E33" s="13" t="s">
        <v>40</v>
      </c>
      <c r="F33" s="13" t="s">
        <v>41</v>
      </c>
      <c r="G33" s="13" t="s">
        <v>42</v>
      </c>
      <c r="H33" s="13" t="s">
        <v>43</v>
      </c>
      <c r="I33" s="13" t="s">
        <v>44</v>
      </c>
      <c r="J33" s="13" t="s">
        <v>45</v>
      </c>
      <c r="K33" s="13" t="s">
        <v>168</v>
      </c>
      <c r="L33" s="123" t="s">
        <v>169</v>
      </c>
      <c r="M33" s="123" t="s">
        <v>170</v>
      </c>
      <c r="N33" s="123" t="s">
        <v>171</v>
      </c>
      <c r="O33" s="123" t="s">
        <v>172</v>
      </c>
      <c r="P33" s="205" t="s">
        <v>173</v>
      </c>
      <c r="Q33" s="205" t="s">
        <v>174</v>
      </c>
      <c r="R33" s="123" t="s">
        <v>175</v>
      </c>
      <c r="S33" s="205" t="s">
        <v>176</v>
      </c>
      <c r="T33" s="205" t="s">
        <v>177</v>
      </c>
      <c r="U33" s="123" t="s">
        <v>178</v>
      </c>
      <c r="V33" s="123" t="s">
        <v>294</v>
      </c>
      <c r="W33" s="479" t="s">
        <v>294</v>
      </c>
      <c r="X33" s="320" t="s">
        <v>294</v>
      </c>
      <c r="Y33" s="320" t="s">
        <v>294</v>
      </c>
      <c r="Z33" s="320" t="s">
        <v>294</v>
      </c>
      <c r="AA33" s="330" t="s">
        <v>294</v>
      </c>
    </row>
    <row r="34" spans="1:29" x14ac:dyDescent="0.2">
      <c r="A34" s="3" t="s">
        <v>19</v>
      </c>
      <c r="B34" t="s">
        <v>326</v>
      </c>
      <c r="D34" s="114"/>
      <c r="E34" s="114"/>
      <c r="F34" s="114"/>
      <c r="G34" s="114"/>
      <c r="H34" s="114"/>
      <c r="I34" s="114"/>
      <c r="J34" s="114"/>
      <c r="K34" s="114">
        <v>2</v>
      </c>
      <c r="L34" s="118">
        <v>1.7209587799999999</v>
      </c>
      <c r="M34" s="155">
        <v>1.2749999999999999</v>
      </c>
      <c r="N34" s="118">
        <v>1.9167769100000001</v>
      </c>
      <c r="O34" s="118">
        <v>0.75204199999999999</v>
      </c>
      <c r="P34" s="199">
        <v>2.5734319999999999</v>
      </c>
      <c r="Q34" s="294">
        <v>1.5433056599999999</v>
      </c>
      <c r="R34" s="118">
        <v>2.1390500000000001</v>
      </c>
      <c r="S34" s="199">
        <v>2.3824589999999999</v>
      </c>
      <c r="T34" s="120">
        <v>2.4652271099999998</v>
      </c>
      <c r="U34" s="120">
        <v>5.4058700000000002</v>
      </c>
      <c r="V34" s="120">
        <v>5.1298110000000001</v>
      </c>
      <c r="W34" s="477">
        <v>2.6689590000000001</v>
      </c>
      <c r="X34" s="306">
        <f t="shared" ref="X34:AA34" si="16">W34*(1+X$7)</f>
        <v>2.735682975</v>
      </c>
      <c r="Y34" s="306">
        <f t="shared" si="16"/>
        <v>2.8040750493749997</v>
      </c>
      <c r="Z34" s="306">
        <f t="shared" si="16"/>
        <v>2.8741769256093743</v>
      </c>
      <c r="AA34" s="328">
        <f t="shared" si="16"/>
        <v>2.9460313487496084</v>
      </c>
    </row>
    <row r="36" spans="1:29" x14ac:dyDescent="0.2">
      <c r="A36" s="115"/>
      <c r="C36" s="115"/>
      <c r="D36" s="115"/>
      <c r="E36" s="115"/>
      <c r="F36" s="115"/>
      <c r="G36" s="115"/>
      <c r="H36" s="115"/>
      <c r="I36" s="115"/>
      <c r="J36" s="115"/>
      <c r="K36" s="115"/>
    </row>
    <row r="37" spans="1:29" x14ac:dyDescent="0.2">
      <c r="Q37" s="303"/>
    </row>
    <row r="38" spans="1:29" x14ac:dyDescent="0.2">
      <c r="AC38" s="218"/>
    </row>
  </sheetData>
  <phoneticPr fontId="0" type="noConversion"/>
  <pageMargins left="0.75" right="0.75" top="1" bottom="1" header="0.5" footer="0.5"/>
  <pageSetup paperSize="5" orientation="landscape" r:id="rId1"/>
  <headerFooter alignWithMargins="0">
    <oddFooter>&amp;L&amp;"Arial,Bold"&amp;F&amp;C&amp;A&amp;R&amp;D  &amp;T</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2"/>
  <sheetViews>
    <sheetView zoomScale="80" zoomScaleNormal="80" workbookViewId="0">
      <pane xSplit="1" ySplit="5" topLeftCell="B6"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27.7109375" customWidth="1"/>
    <col min="2" max="2" width="36.140625" customWidth="1"/>
    <col min="3" max="3" width="10.28515625" hidden="1" customWidth="1" outlineLevel="1"/>
    <col min="4" max="16" width="9.140625" hidden="1" customWidth="1" outlineLevel="1"/>
    <col min="17" max="17" width="9.140625" style="115" hidden="1" customWidth="1" outlineLevel="1"/>
    <col min="18" max="18" width="9.140625" style="115" collapsed="1"/>
    <col min="19" max="21" width="9.140625" style="115"/>
    <col min="22" max="22" width="10" style="115" customWidth="1"/>
    <col min="23" max="27" width="10" style="115" bestFit="1" customWidth="1"/>
    <col min="28" max="28" width="10" style="390" bestFit="1" customWidth="1"/>
    <col min="29" max="31" width="10" style="76" bestFit="1" customWidth="1" outlineLevel="1"/>
    <col min="32" max="32" width="10" style="238" bestFit="1" customWidth="1" outlineLevel="1"/>
    <col min="33" max="33" width="9.140625" customWidth="1" outlineLevel="1"/>
  </cols>
  <sheetData>
    <row r="1" spans="1:32" ht="15.75" x14ac:dyDescent="0.25">
      <c r="A1" s="18" t="s">
        <v>67</v>
      </c>
    </row>
    <row r="2" spans="1:32" x14ac:dyDescent="0.2">
      <c r="A2" s="2" t="s">
        <v>210</v>
      </c>
    </row>
    <row r="5" spans="1:32" s="2" customFormat="1" ht="13.5" thickBot="1" x14ac:dyDescent="0.25">
      <c r="A5" s="19" t="s">
        <v>1</v>
      </c>
      <c r="B5" s="20" t="s">
        <v>26</v>
      </c>
      <c r="C5" s="20">
        <v>1990</v>
      </c>
      <c r="D5" s="20">
        <v>1991</v>
      </c>
      <c r="E5" s="20">
        <v>1992</v>
      </c>
      <c r="F5" s="20">
        <v>1993</v>
      </c>
      <c r="G5" s="20">
        <v>1994</v>
      </c>
      <c r="H5" s="20">
        <v>1995</v>
      </c>
      <c r="I5" s="20">
        <v>1996</v>
      </c>
      <c r="J5" s="20">
        <v>1997</v>
      </c>
      <c r="K5" s="20">
        <v>1998</v>
      </c>
      <c r="L5" s="20">
        <v>1999</v>
      </c>
      <c r="M5" s="20">
        <v>2000</v>
      </c>
      <c r="N5" s="20">
        <v>2001</v>
      </c>
      <c r="O5" s="20">
        <v>2002</v>
      </c>
      <c r="P5" s="20">
        <v>2003</v>
      </c>
      <c r="Q5" s="116">
        <v>2004</v>
      </c>
      <c r="R5" s="116">
        <v>2005</v>
      </c>
      <c r="S5" s="116">
        <v>2006</v>
      </c>
      <c r="T5" s="116">
        <v>2007</v>
      </c>
      <c r="U5" s="116">
        <v>2008</v>
      </c>
      <c r="V5" s="116">
        <v>2009</v>
      </c>
      <c r="W5" s="116">
        <v>2010</v>
      </c>
      <c r="X5" s="116">
        <v>2011</v>
      </c>
      <c r="Y5" s="116">
        <v>2012</v>
      </c>
      <c r="Z5" s="116">
        <v>2013</v>
      </c>
      <c r="AA5" s="116">
        <v>2014</v>
      </c>
      <c r="AB5" s="505">
        <v>2015</v>
      </c>
      <c r="AC5" s="77">
        <v>2016</v>
      </c>
      <c r="AD5" s="77">
        <v>2017</v>
      </c>
      <c r="AE5" s="77">
        <v>2018</v>
      </c>
      <c r="AF5" s="239">
        <v>2019</v>
      </c>
    </row>
    <row r="6" spans="1:32" s="3" customFormat="1" x14ac:dyDescent="0.2">
      <c r="Q6" s="121"/>
      <c r="R6" s="121"/>
      <c r="S6" s="121"/>
      <c r="T6" s="121"/>
      <c r="U6" s="121"/>
      <c r="V6" s="121"/>
      <c r="W6" s="121"/>
      <c r="X6" s="121"/>
      <c r="Y6" s="121"/>
      <c r="Z6" s="121"/>
      <c r="AA6" s="121"/>
      <c r="AB6" s="506"/>
      <c r="AC6" s="79"/>
      <c r="AD6" s="79"/>
      <c r="AE6" s="79"/>
      <c r="AF6" s="240"/>
    </row>
    <row r="7" spans="1:32" s="3" customFormat="1" x14ac:dyDescent="0.2">
      <c r="A7" s="3" t="s">
        <v>212</v>
      </c>
      <c r="B7" s="3" t="s">
        <v>226</v>
      </c>
      <c r="C7" s="7">
        <v>4302</v>
      </c>
      <c r="D7" s="3">
        <f>'OTPP excluding (RCA) liability'!C36</f>
        <v>4267</v>
      </c>
      <c r="E7" s="3">
        <f>'OTPP excluding (RCA) liability'!D36</f>
        <v>4225.43</v>
      </c>
      <c r="F7" s="3">
        <f>'OTPP excluding (RCA) liability'!E36</f>
        <v>3694.4225000000006</v>
      </c>
      <c r="G7" s="3">
        <f>'OTPP excluding (RCA) liability'!F36</f>
        <v>3459.5162499999969</v>
      </c>
      <c r="H7" s="3">
        <f>'OTPP excluding (RCA) liability'!G36</f>
        <v>4169.3037499999955</v>
      </c>
      <c r="I7" s="3">
        <f>'OTPP excluding (RCA) liability'!H36</f>
        <v>4230.6912499999999</v>
      </c>
      <c r="J7" s="3">
        <f>'OTPP excluding (RCA) liability'!I36</f>
        <v>3885.3662500000028</v>
      </c>
      <c r="K7" s="3">
        <f>'OTPP excluding (RCA) liability'!J36</f>
        <v>2989.8549999999996</v>
      </c>
      <c r="L7" s="3">
        <f>'OTPP excluding (RCA) liability'!K36</f>
        <v>1760.9975000000013</v>
      </c>
      <c r="M7" s="3">
        <f>'OTPP excluding (RCA) liability'!L36</f>
        <v>302.2799999999952</v>
      </c>
      <c r="N7" s="3">
        <f>'OTPP excluding (RCA) liability'!M36</f>
        <v>-1520.565000000006</v>
      </c>
      <c r="O7" s="3">
        <f>'OTPP excluding (RCA) liability'!N36</f>
        <v>-2513.2850000000071</v>
      </c>
      <c r="P7" s="3">
        <f>'OTPP excluding (RCA) liability'!O36</f>
        <v>-3192.565000000006</v>
      </c>
      <c r="Q7" s="121">
        <f>'OTPP excluding (RCA) liability'!P36</f>
        <v>-3880.7250000000095</v>
      </c>
      <c r="R7" s="121">
        <f>'OTPP excluding (RCA) liability'!Q36</f>
        <v>-4606.9500000000153</v>
      </c>
      <c r="S7" s="121">
        <f>'OTPP excluding (RCA) liability'!R36</f>
        <v>-5301.4000000000124</v>
      </c>
      <c r="T7" s="121">
        <f>'OTPP excluding (RCA) liability'!S36</f>
        <v>-5920.8500000000095</v>
      </c>
      <c r="U7" s="121">
        <f>'OTPP excluding (RCA) liability'!T36</f>
        <v>-7409.1987500000141</v>
      </c>
      <c r="V7" s="121">
        <f>'OTPP excluding (RCA) liability'!U36</f>
        <v>-9653.0237500000112</v>
      </c>
      <c r="W7" s="121">
        <f>'OTPP excluding (RCA) liability'!V36</f>
        <v>-11892.33821300001</v>
      </c>
      <c r="X7" s="121">
        <f>'OTPP excluding (RCA) liability'!W36</f>
        <v>-13525.479145571442</v>
      </c>
      <c r="Y7" s="121">
        <f>'OTPP excluding (RCA) liability'!X36</f>
        <v>-15248.16701157145</v>
      </c>
      <c r="Z7" s="121">
        <f>'OTPP excluding (RCA) liability'!Y36</f>
        <v>-16343.790429549132</v>
      </c>
      <c r="AA7" s="121">
        <f>'OTPP excluding (RCA) liability'!Z36</f>
        <v>-17602.78462954914</v>
      </c>
      <c r="AB7" s="506">
        <f>'OTPP excluding (RCA) liability'!AA36</f>
        <v>-19607.118876549128</v>
      </c>
      <c r="AC7" s="79">
        <f>'OTPP excluding (RCA) liability'!AB36</f>
        <v>-22590.441376549104</v>
      </c>
      <c r="AD7" s="79">
        <f>'OTPP excluding (RCA) liability'!AC36</f>
        <v>-26854.053871408858</v>
      </c>
      <c r="AE7" s="79">
        <f>'OTPP excluding (RCA) liability'!AD36</f>
        <v>-31987.443492232585</v>
      </c>
      <c r="AF7" s="240">
        <f>'OTPP excluding (RCA) liability'!AE36</f>
        <v>-37822.353114558617</v>
      </c>
    </row>
    <row r="8" spans="1:32" s="3" customFormat="1" x14ac:dyDescent="0.2">
      <c r="A8" s="3" t="s">
        <v>211</v>
      </c>
      <c r="B8" s="3" t="s">
        <v>227</v>
      </c>
      <c r="C8" s="3">
        <f>'OTPP expense (excluding RCA)'!C32</f>
        <v>730.63499999999999</v>
      </c>
      <c r="D8" s="3">
        <f>'OTPP expense (excluding RCA)'!D32</f>
        <v>882.42999999999984</v>
      </c>
      <c r="E8" s="3">
        <f>'OTPP expense (excluding RCA)'!E32</f>
        <v>637.99249999999984</v>
      </c>
      <c r="F8" s="3">
        <f>'OTPP expense (excluding RCA)'!F32</f>
        <v>468.09375</v>
      </c>
      <c r="G8" s="3">
        <f>'OTPP expense (excluding RCA)'!G32</f>
        <v>642.78749999999991</v>
      </c>
      <c r="H8" s="3">
        <f>'OTPP expense (excluding RCA)'!H32</f>
        <v>740.38749999999982</v>
      </c>
      <c r="I8" s="3">
        <f>'OTPP expense (excluding RCA)'!I32</f>
        <v>480.67500000000018</v>
      </c>
      <c r="J8" s="3">
        <f>'OTPP expense (excluding RCA)'!J32</f>
        <v>210.48874999999998</v>
      </c>
      <c r="K8" s="3">
        <f>'OTPP expense (excluding RCA)'!K32</f>
        <v>-92.857500000000073</v>
      </c>
      <c r="L8" s="3">
        <f>'OTPP expense (excluding RCA)'!L32</f>
        <v>-674.7175000000002</v>
      </c>
      <c r="M8" s="3">
        <f>'OTPP expense (excluding RCA)'!M32</f>
        <v>-1165.8449999999998</v>
      </c>
      <c r="N8" s="3">
        <f>'OTPP expense (excluding RCA)'!N32</f>
        <v>-317.72000000000025</v>
      </c>
      <c r="O8" s="3">
        <f>'OTPP expense (excluding RCA)'!O32</f>
        <v>27.720000000000255</v>
      </c>
      <c r="P8" s="3">
        <f>'OTPP expense (excluding RCA)'!P32</f>
        <v>41.839999999999236</v>
      </c>
      <c r="Q8" s="121">
        <f>'OTPP expense (excluding RCA)'!Q32</f>
        <v>31.774999999999636</v>
      </c>
      <c r="R8" s="121">
        <f>'OTPP expense (excluding RCA)'!R32</f>
        <v>96.549999999999272</v>
      </c>
      <c r="S8" s="121">
        <f>'OTPP expense (excluding RCA)'!S32</f>
        <v>200.55000000000018</v>
      </c>
      <c r="T8" s="121">
        <f>'OTPP expense (excluding RCA)'!T32</f>
        <v>-428.34875000000011</v>
      </c>
      <c r="U8" s="121">
        <f>'OTPP expense (excluding RCA)'!U32</f>
        <v>-1087.8249999999998</v>
      </c>
      <c r="V8" s="121">
        <f>'OTPP expense (excluding RCA)'!V32</f>
        <v>-831.31446299999948</v>
      </c>
      <c r="W8" s="121">
        <f>'OTPP expense (excluding RCA)'!W32</f>
        <v>-285.14093257142963</v>
      </c>
      <c r="X8" s="121">
        <f>'OTPP expense (excluding RCA)'!X32</f>
        <v>-317.68786599999964</v>
      </c>
      <c r="Y8" s="121">
        <f>'OTPP expense (excluding RCA)'!Y32</f>
        <v>361.37658202232205</v>
      </c>
      <c r="Z8" s="121">
        <f>'OTPP expense (excluding RCA)'!Z32</f>
        <v>269.00579999999991</v>
      </c>
      <c r="AA8" s="121">
        <f>'OTPP expense (excluding RCA)'!AA32</f>
        <v>-411.33424700000046</v>
      </c>
      <c r="AB8" s="506">
        <f>'OTPP expense (excluding RCA)'!AB32</f>
        <v>-1346.3225000000011</v>
      </c>
      <c r="AC8" s="79">
        <f>'OTPP expense (excluding RCA)'!AC32</f>
        <v>-2559.5884511439053</v>
      </c>
      <c r="AD8" s="79">
        <f>'OTPP expense (excluding RCA)'!AD32</f>
        <v>-3362.2046241024304</v>
      </c>
      <c r="AE8" s="79">
        <f>'OTPP expense (excluding RCA)'!AE32</f>
        <v>-4003.3662563806988</v>
      </c>
      <c r="AF8" s="240">
        <f>'OTPP expense (excluding RCA)'!AF32</f>
        <v>-4549.7186385840378</v>
      </c>
    </row>
    <row r="9" spans="1:32" s="3" customFormat="1" x14ac:dyDescent="0.2">
      <c r="A9" s="3" t="s">
        <v>228</v>
      </c>
      <c r="B9" s="3" t="s">
        <v>157</v>
      </c>
      <c r="C9" s="3">
        <f>('Data Input'!D35+'Data Input'!D37)*-1</f>
        <v>-766</v>
      </c>
      <c r="D9" s="3">
        <f>('Data Input'!E35+'Data Input'!E37)*-1</f>
        <v>-924</v>
      </c>
      <c r="E9" s="3">
        <f>('Data Input'!F35+'Data Input'!F37)*-1</f>
        <v>-1169</v>
      </c>
      <c r="F9" s="3">
        <f>('Data Input'!G35+'Data Input'!G37)*-1</f>
        <v>-703</v>
      </c>
      <c r="G9" s="3">
        <f>('Data Input'!H35+'Data Input'!H37)*-1</f>
        <v>-695</v>
      </c>
      <c r="H9" s="3">
        <f>('Data Input'!I35+'Data Input'!I37)*-1</f>
        <v>-660</v>
      </c>
      <c r="I9" s="3">
        <f>('Data Input'!J35+'Data Input'!J37)*-1</f>
        <v>-816</v>
      </c>
      <c r="J9" s="3">
        <f>('Data Input'!K35+'Data Input'!K37)*-1</f>
        <v>-1097</v>
      </c>
      <c r="K9" s="3">
        <f>('Data Input'!L35+'Data Input'!L37)*-1</f>
        <v>-1131</v>
      </c>
      <c r="L9" s="3">
        <f>('Data Input'!M35+'Data Input'!M37)*-1</f>
        <v>-774</v>
      </c>
      <c r="M9" s="3">
        <f>('Data Input'!N35+'Data Input'!N37)*-1</f>
        <v>-648</v>
      </c>
      <c r="N9" s="3">
        <f>('Data Input'!O35+'Data Input'!O37)*-1</f>
        <v>-665</v>
      </c>
      <c r="O9" s="3">
        <f>('Data Input'!P35+'Data Input'!P37)*-1</f>
        <v>-690</v>
      </c>
      <c r="P9" s="3">
        <f>('Data Input'!Q35+'Data Input'!Q37)*-1</f>
        <v>-713</v>
      </c>
      <c r="Q9" s="121">
        <f>('Data Input'!R35+'Data Input'!R37)*-1</f>
        <v>-746</v>
      </c>
      <c r="R9" s="121">
        <f>('Data Input'!S35+'Data Input'!S37)*-1</f>
        <v>-781</v>
      </c>
      <c r="S9" s="121">
        <f>('Data Input'!T35+'Data Input'!T37)*-1</f>
        <v>-820</v>
      </c>
      <c r="T9" s="121">
        <f>('Data Input'!U35+'Data Input'!U37)*-1</f>
        <v>-1060</v>
      </c>
      <c r="U9" s="121">
        <f>('Data Input'!V35+'Data Input'!V37)*-1</f>
        <v>-1156</v>
      </c>
      <c r="V9" s="121">
        <f>('Data Input'!W35+'Data Input'!W37)*-1</f>
        <v>-1408</v>
      </c>
      <c r="W9" s="121">
        <f>('Data Input'!X35+'Data Input'!X37)*-1</f>
        <v>-1348</v>
      </c>
      <c r="X9" s="121">
        <f>('Data Input'!Y35+'Data Input'!Y37+'Data Input'!Y36)*-1</f>
        <v>-1406</v>
      </c>
      <c r="Y9" s="121">
        <f>('Data Input'!Z35+'Data Input'!Z37+'Data Input'!Z36)*-1</f>
        <v>-1458</v>
      </c>
      <c r="Z9" s="121">
        <f>('Data Input'!AA35+'Data Input'!AA37+'Data Input'!AA36)*-1</f>
        <v>-1527</v>
      </c>
      <c r="AA9" s="121">
        <f>('Data Input'!AB35+'Data Input'!AB37+'Data Input'!AB36)*-1</f>
        <v>-1593</v>
      </c>
      <c r="AB9" s="506">
        <f>('Data Input'!AC35+'Data Input'!AC37+'Data Input'!AC36)*-1</f>
        <v>-1637</v>
      </c>
      <c r="AC9" s="79">
        <f>('Data Input'!AD35+'Data Input'!AD37+'Data Input'!AD36)*-1</f>
        <v>-1704.024043715847</v>
      </c>
      <c r="AD9" s="79">
        <f>('Data Input'!AE35+'Data Input'!AE37+'Data Input'!AE36)*-1</f>
        <v>-1771.1849967213113</v>
      </c>
      <c r="AE9" s="79">
        <f>('Data Input'!AF35+'Data Input'!AF37+'Data Input'!AF36)*-1</f>
        <v>-1831.5433659453552</v>
      </c>
      <c r="AF9" s="240">
        <f>('Data Input'!AG35+'Data Input'!AG37+'Data Input'!AG36)*-1</f>
        <v>-1893.9933708257922</v>
      </c>
    </row>
    <row r="10" spans="1:32" s="3" customFormat="1" x14ac:dyDescent="0.2">
      <c r="A10" s="3" t="s">
        <v>230</v>
      </c>
      <c r="B10" s="3" t="s">
        <v>157</v>
      </c>
      <c r="C10" s="6">
        <f>'Data Input'!D34*-1</f>
        <v>0</v>
      </c>
      <c r="D10" s="6">
        <f>'Data Input'!E34*-1</f>
        <v>0</v>
      </c>
      <c r="E10" s="6">
        <f>'Data Input'!F34*-1</f>
        <v>0</v>
      </c>
      <c r="F10" s="6">
        <f>'Data Input'!G34*-1</f>
        <v>0</v>
      </c>
      <c r="G10" s="6">
        <f>'Data Input'!H34*-1</f>
        <v>-22</v>
      </c>
      <c r="H10" s="6">
        <f>'Data Input'!I34*-1</f>
        <v>-19</v>
      </c>
      <c r="I10" s="6">
        <f>'Data Input'!J34*-1</f>
        <v>-10</v>
      </c>
      <c r="J10" s="6">
        <f>'Data Input'!K34*-1</f>
        <v>-9</v>
      </c>
      <c r="K10" s="6">
        <f>'Data Input'!L34*-1</f>
        <v>-5</v>
      </c>
      <c r="L10" s="6">
        <f>'Data Input'!M34*-1</f>
        <v>-10</v>
      </c>
      <c r="M10" s="6">
        <f>'Data Input'!N34*-1</f>
        <v>-9</v>
      </c>
      <c r="N10" s="6">
        <f>'Data Input'!O34*-1</f>
        <v>-9</v>
      </c>
      <c r="O10" s="6">
        <f>'Data Input'!P34*-1</f>
        <v>-18</v>
      </c>
      <c r="P10" s="6">
        <f>'Data Input'!Q34*-1</f>
        <v>-17</v>
      </c>
      <c r="Q10" s="125">
        <f>'Data Input'!R34*-1</f>
        <v>-12</v>
      </c>
      <c r="R10" s="125">
        <f>'Data Input'!S34*-1</f>
        <v>-10</v>
      </c>
      <c r="S10" s="125"/>
      <c r="T10" s="125"/>
      <c r="U10" s="125"/>
      <c r="V10" s="125"/>
      <c r="W10" s="125"/>
      <c r="X10" s="125"/>
      <c r="Y10" s="125"/>
      <c r="Z10" s="125"/>
      <c r="AA10" s="125"/>
      <c r="AB10" s="507"/>
      <c r="AC10" s="81"/>
      <c r="AD10" s="81"/>
      <c r="AE10" s="81"/>
      <c r="AF10" s="241"/>
    </row>
    <row r="11" spans="1:32" s="8" customFormat="1" x14ac:dyDescent="0.2">
      <c r="A11" s="8" t="s">
        <v>213</v>
      </c>
      <c r="B11" s="8" t="s">
        <v>31</v>
      </c>
      <c r="C11" s="21">
        <f>SUM(C7:C10)</f>
        <v>4266.6350000000002</v>
      </c>
      <c r="D11" s="21">
        <f>SUM(D7:D10)</f>
        <v>4225.43</v>
      </c>
      <c r="E11" s="21">
        <f t="shared" ref="E11:Q11" si="0">SUM(E7:E10)</f>
        <v>3694.4225000000006</v>
      </c>
      <c r="F11" s="21">
        <f t="shared" si="0"/>
        <v>3459.5162500000006</v>
      </c>
      <c r="G11" s="21">
        <f t="shared" si="0"/>
        <v>3385.3037499999973</v>
      </c>
      <c r="H11" s="21">
        <f t="shared" si="0"/>
        <v>4230.6912499999953</v>
      </c>
      <c r="I11" s="21">
        <f t="shared" si="0"/>
        <v>3885.36625</v>
      </c>
      <c r="J11" s="21">
        <f t="shared" si="0"/>
        <v>2989.8550000000027</v>
      </c>
      <c r="K11" s="21">
        <f t="shared" si="0"/>
        <v>1760.9974999999995</v>
      </c>
      <c r="L11" s="21">
        <f t="shared" si="0"/>
        <v>302.28000000000111</v>
      </c>
      <c r="M11" s="21">
        <f t="shared" si="0"/>
        <v>-1520.5650000000046</v>
      </c>
      <c r="N11" s="21">
        <f t="shared" si="0"/>
        <v>-2512.2850000000062</v>
      </c>
      <c r="O11" s="21">
        <f t="shared" si="0"/>
        <v>-3193.5650000000069</v>
      </c>
      <c r="P11" s="21">
        <f t="shared" si="0"/>
        <v>-3880.7250000000067</v>
      </c>
      <c r="Q11" s="140">
        <f t="shared" si="0"/>
        <v>-4606.9500000000098</v>
      </c>
      <c r="R11" s="140">
        <f t="shared" ref="R11:AD11" si="1">SUM(R7:R10)</f>
        <v>-5301.400000000016</v>
      </c>
      <c r="S11" s="140">
        <f t="shared" si="1"/>
        <v>-5920.8500000000122</v>
      </c>
      <c r="T11" s="140">
        <f t="shared" si="1"/>
        <v>-7409.1987500000096</v>
      </c>
      <c r="U11" s="140">
        <f t="shared" si="1"/>
        <v>-9653.0237500000148</v>
      </c>
      <c r="V11" s="140">
        <f t="shared" si="1"/>
        <v>-11892.33821300001</v>
      </c>
      <c r="W11" s="140">
        <f t="shared" si="1"/>
        <v>-13525.47914557144</v>
      </c>
      <c r="X11" s="140">
        <f t="shared" si="1"/>
        <v>-15249.167011571442</v>
      </c>
      <c r="Y11" s="140">
        <f t="shared" si="1"/>
        <v>-16344.790429549128</v>
      </c>
      <c r="Z11" s="140">
        <f t="shared" si="1"/>
        <v>-17601.784629549133</v>
      </c>
      <c r="AA11" s="140">
        <f t="shared" si="1"/>
        <v>-19607.118876549139</v>
      </c>
      <c r="AB11" s="508">
        <f t="shared" si="1"/>
        <v>-22590.44137654913</v>
      </c>
      <c r="AC11" s="95">
        <f t="shared" si="1"/>
        <v>-26854.053871408858</v>
      </c>
      <c r="AD11" s="95">
        <f t="shared" si="1"/>
        <v>-31987.4434922326</v>
      </c>
      <c r="AE11" s="95">
        <f>SUM(AE7:AE10)</f>
        <v>-37822.353114558638</v>
      </c>
      <c r="AF11" s="261">
        <f>SUM(AF7:AF10)</f>
        <v>-44266.065123968452</v>
      </c>
    </row>
    <row r="12" spans="1:32" s="3" customFormat="1" x14ac:dyDescent="0.2">
      <c r="A12" s="3" t="s">
        <v>217</v>
      </c>
      <c r="B12" s="3" t="s">
        <v>229</v>
      </c>
      <c r="D12" s="3">
        <f>'OTPP excluding (RCA) liability'!D36-D11</f>
        <v>0</v>
      </c>
      <c r="E12" s="3">
        <f>'OTPP excluding (RCA) liability'!E36-E11</f>
        <v>0</v>
      </c>
      <c r="F12" s="3">
        <f>'OTPP excluding (RCA) liability'!F36-F11</f>
        <v>-3.637978807091713E-12</v>
      </c>
      <c r="G12" s="3">
        <f>'OTPP excluding (RCA) liability'!G36-G11</f>
        <v>783.99999999999818</v>
      </c>
      <c r="H12" s="3">
        <f>'OTPP excluding (RCA) liability'!H36-H11</f>
        <v>0</v>
      </c>
      <c r="I12" s="3">
        <f>'OTPP excluding (RCA) liability'!I36-I11</f>
        <v>0</v>
      </c>
      <c r="J12" s="3">
        <f>'OTPP excluding (RCA) liability'!J36-J11</f>
        <v>0</v>
      </c>
      <c r="K12" s="3">
        <f>'OTPP excluding (RCA) liability'!K36-K11</f>
        <v>1.8189894035458565E-12</v>
      </c>
      <c r="L12" s="3">
        <f>'OTPP excluding (RCA) liability'!L36-L11</f>
        <v>-5.9117155615240335E-12</v>
      </c>
      <c r="M12" s="3">
        <f>'OTPP excluding (RCA) liability'!M36-M11</f>
        <v>0</v>
      </c>
      <c r="N12" s="3">
        <f>'OTPP excluding (RCA) liability'!N36-N11</f>
        <v>-1.0000000000009095</v>
      </c>
      <c r="O12" s="3">
        <f>'OTPP excluding (RCA) liability'!O36-O11</f>
        <v>1.0000000000009095</v>
      </c>
      <c r="P12" s="3">
        <f>'OTPP excluding (RCA) liability'!P36-P11</f>
        <v>0</v>
      </c>
      <c r="Q12" s="121">
        <f>'OTPP excluding (RCA) liability'!Q36-Q11</f>
        <v>0</v>
      </c>
      <c r="R12" s="121">
        <f>'OTPP excluding (RCA) liability'!R36-R11</f>
        <v>0</v>
      </c>
      <c r="S12" s="121">
        <f>'OTPP excluding (RCA) liability'!S36-S11</f>
        <v>0</v>
      </c>
      <c r="T12" s="121">
        <f>'OTPP excluding (RCA) liability'!T36-T11</f>
        <v>0</v>
      </c>
      <c r="U12" s="121">
        <f>'OTPP excluding (RCA) liability'!U36-U11</f>
        <v>0</v>
      </c>
      <c r="V12" s="121">
        <f>'OTPP excluding (RCA) liability'!V36-V11</f>
        <v>0</v>
      </c>
      <c r="W12" s="121">
        <f>'OTPP excluding (RCA) liability'!W36-W11</f>
        <v>0</v>
      </c>
      <c r="X12" s="121">
        <f>'OTPP excluding (RCA) liability'!X36-X11</f>
        <v>0.99999999999272404</v>
      </c>
      <c r="Y12" s="121">
        <f>'OTPP excluding (RCA) liability'!Y36-Y11</f>
        <v>0.99999999999636202</v>
      </c>
      <c r="Z12" s="121">
        <f>'OTPP excluding (RCA) liability'!Z36-Z11</f>
        <v>-1.000000000007276</v>
      </c>
      <c r="AA12" s="121">
        <f>'OTPP excluding (RCA) liability'!AA36-AA11</f>
        <v>0</v>
      </c>
      <c r="AB12" s="506">
        <f>'OTPP excluding (RCA) liability'!AB36-AB11</f>
        <v>0</v>
      </c>
      <c r="AC12" s="79">
        <f>'OTPP excluding (RCA) liability'!AC36-AC11</f>
        <v>0</v>
      </c>
      <c r="AD12" s="79">
        <f>'OTPP excluding (RCA) liability'!AD36-AD11</f>
        <v>0</v>
      </c>
      <c r="AE12" s="79">
        <f>'OTPP excluding (RCA) liability'!AE36-AE11</f>
        <v>0</v>
      </c>
      <c r="AF12" s="240">
        <f>'OTPP excluding (RCA) liability'!AF36-AF11</f>
        <v>0</v>
      </c>
    </row>
    <row r="13" spans="1:32" s="3" customFormat="1" x14ac:dyDescent="0.2">
      <c r="Q13" s="121"/>
      <c r="R13" s="121"/>
      <c r="S13" s="121"/>
      <c r="T13" s="121"/>
      <c r="U13" s="121"/>
      <c r="V13" s="121"/>
      <c r="W13" s="121"/>
      <c r="X13" s="121"/>
      <c r="Y13" s="121"/>
      <c r="Z13" s="121"/>
      <c r="AA13" s="121"/>
      <c r="AB13" s="506"/>
      <c r="AC13" s="79"/>
      <c r="AD13" s="79"/>
      <c r="AE13" s="79"/>
      <c r="AF13" s="240"/>
    </row>
    <row r="14" spans="1:32" s="12" customFormat="1" ht="13.5" thickBot="1" x14ac:dyDescent="0.25">
      <c r="A14" s="46" t="s">
        <v>156</v>
      </c>
      <c r="B14" s="47" t="s">
        <v>26</v>
      </c>
      <c r="C14" s="47" t="s">
        <v>193</v>
      </c>
      <c r="D14" s="47" t="s">
        <v>34</v>
      </c>
      <c r="E14" s="47" t="s">
        <v>35</v>
      </c>
      <c r="F14" s="47" t="s">
        <v>36</v>
      </c>
      <c r="G14" s="47" t="s">
        <v>37</v>
      </c>
      <c r="H14" s="47" t="s">
        <v>38</v>
      </c>
      <c r="I14" s="47" t="s">
        <v>39</v>
      </c>
      <c r="J14" s="47" t="s">
        <v>40</v>
      </c>
      <c r="K14" s="47" t="s">
        <v>41</v>
      </c>
      <c r="L14" s="47" t="s">
        <v>42</v>
      </c>
      <c r="M14" s="47" t="s">
        <v>43</v>
      </c>
      <c r="N14" s="47" t="s">
        <v>44</v>
      </c>
      <c r="O14" s="47" t="s">
        <v>45</v>
      </c>
      <c r="P14" s="47" t="s">
        <v>168</v>
      </c>
      <c r="Q14" s="142" t="s">
        <v>169</v>
      </c>
      <c r="R14" s="142" t="s">
        <v>170</v>
      </c>
      <c r="S14" s="142" t="s">
        <v>171</v>
      </c>
      <c r="T14" s="142" t="s">
        <v>172</v>
      </c>
      <c r="U14" s="142" t="s">
        <v>173</v>
      </c>
      <c r="V14" s="142" t="s">
        <v>174</v>
      </c>
      <c r="W14" s="142" t="s">
        <v>175</v>
      </c>
      <c r="X14" s="142" t="s">
        <v>176</v>
      </c>
      <c r="Y14" s="142" t="s">
        <v>177</v>
      </c>
      <c r="Z14" s="142" t="s">
        <v>178</v>
      </c>
      <c r="AA14" s="142" t="s">
        <v>294</v>
      </c>
      <c r="AB14" s="509" t="s">
        <v>309</v>
      </c>
      <c r="AC14" s="97" t="s">
        <v>315</v>
      </c>
      <c r="AD14" s="97" t="s">
        <v>316</v>
      </c>
      <c r="AE14" s="97" t="s">
        <v>317</v>
      </c>
      <c r="AF14" s="264" t="s">
        <v>318</v>
      </c>
    </row>
    <row r="15" spans="1:32" s="3" customFormat="1" x14ac:dyDescent="0.2">
      <c r="Q15" s="121"/>
      <c r="R15" s="121"/>
      <c r="S15" s="121"/>
      <c r="T15" s="121"/>
      <c r="U15" s="121"/>
      <c r="V15" s="121"/>
      <c r="W15" s="121"/>
      <c r="X15" s="121"/>
      <c r="Y15" s="121"/>
      <c r="Z15" s="121"/>
      <c r="AA15" s="121"/>
      <c r="AB15" s="506"/>
      <c r="AC15" s="79"/>
      <c r="AD15" s="79"/>
      <c r="AE15" s="79"/>
      <c r="AF15" s="240"/>
    </row>
    <row r="16" spans="1:32" s="8" customFormat="1" x14ac:dyDescent="0.2">
      <c r="A16" s="8" t="s">
        <v>212</v>
      </c>
      <c r="B16" s="8" t="s">
        <v>31</v>
      </c>
      <c r="C16" s="48">
        <v>5084</v>
      </c>
      <c r="D16" s="50">
        <f>+C20</f>
        <v>5159.6350000000002</v>
      </c>
      <c r="E16" s="50">
        <f t="shared" ref="E16:Q16" si="2">+D20</f>
        <v>5170.0650000000005</v>
      </c>
      <c r="F16" s="50">
        <f t="shared" si="2"/>
        <v>4875.0575000000008</v>
      </c>
      <c r="G16" s="50">
        <f t="shared" si="2"/>
        <v>4902.1512500000008</v>
      </c>
      <c r="H16" s="50">
        <f>+G20+784</f>
        <v>4978.9387500000012</v>
      </c>
      <c r="I16" s="50">
        <f t="shared" si="2"/>
        <v>5033.326250000001</v>
      </c>
      <c r="J16" s="50">
        <f t="shared" si="2"/>
        <v>4588.0012500000012</v>
      </c>
      <c r="K16" s="50">
        <f t="shared" si="2"/>
        <v>3666.4900000000016</v>
      </c>
      <c r="L16" s="50">
        <f t="shared" si="2"/>
        <v>2464.6325000000015</v>
      </c>
      <c r="M16" s="50">
        <f t="shared" si="2"/>
        <v>1122.9150000000013</v>
      </c>
      <c r="N16" s="50">
        <f t="shared" si="2"/>
        <v>-677.92999999999847</v>
      </c>
      <c r="O16" s="50">
        <f t="shared" si="2"/>
        <v>-1640.6843699999986</v>
      </c>
      <c r="P16" s="50">
        <f t="shared" si="2"/>
        <v>-2295.2071959999985</v>
      </c>
      <c r="Q16" s="143">
        <f t="shared" si="2"/>
        <v>-2936.3103709999991</v>
      </c>
      <c r="R16" s="143">
        <f t="shared" ref="R16:AD16" si="3">+Q20</f>
        <v>-3612.6790049999995</v>
      </c>
      <c r="S16" s="143">
        <f t="shared" si="3"/>
        <v>-4256.338538</v>
      </c>
      <c r="T16" s="143">
        <f t="shared" si="3"/>
        <v>-4850.9054269999997</v>
      </c>
      <c r="U16" s="143">
        <f t="shared" si="3"/>
        <v>-6087.4688459999998</v>
      </c>
      <c r="V16" s="143">
        <f t="shared" si="3"/>
        <v>-8245.2938460000005</v>
      </c>
      <c r="W16" s="143">
        <f t="shared" si="3"/>
        <v>-10321.178467</v>
      </c>
      <c r="X16" s="143">
        <f t="shared" si="3"/>
        <v>-11922.581265571431</v>
      </c>
      <c r="Y16" s="143">
        <f t="shared" si="3"/>
        <v>-13584.082088571431</v>
      </c>
      <c r="Z16" s="143">
        <f t="shared" si="3"/>
        <v>-14615.76247254911</v>
      </c>
      <c r="AA16" s="143">
        <f t="shared" si="3"/>
        <v>-15807.512621549109</v>
      </c>
      <c r="AB16" s="510">
        <f t="shared" si="3"/>
        <v>-17744.647539549111</v>
      </c>
      <c r="AC16" s="98">
        <f t="shared" si="3"/>
        <v>-20689.208126849113</v>
      </c>
      <c r="AD16" s="98">
        <f t="shared" si="3"/>
        <v>-24912.972903008591</v>
      </c>
      <c r="AE16" s="98">
        <f>+AD20</f>
        <v>-30007.809970144801</v>
      </c>
      <c r="AF16" s="265">
        <f>+AE20</f>
        <v>-35805.331019408186</v>
      </c>
    </row>
    <row r="17" spans="1:33" s="3" customFormat="1" x14ac:dyDescent="0.2">
      <c r="A17" s="3" t="s">
        <v>211</v>
      </c>
      <c r="B17" s="3" t="s">
        <v>227</v>
      </c>
      <c r="C17" s="3">
        <f>'OTPP expense (excluding RCA)'!C32</f>
        <v>730.63499999999999</v>
      </c>
      <c r="D17" s="3">
        <f>'OTPP expense (excluding RCA)'!D32</f>
        <v>882.42999999999984</v>
      </c>
      <c r="E17" s="3">
        <f>'OTPP expense (excluding RCA)'!E32</f>
        <v>637.99249999999984</v>
      </c>
      <c r="F17" s="3">
        <f>'OTPP expense (excluding RCA)'!F32</f>
        <v>468.09375</v>
      </c>
      <c r="G17" s="3">
        <f>'OTPP expense (excluding RCA)'!G32</f>
        <v>642.78749999999991</v>
      </c>
      <c r="H17" s="3">
        <f>'OTPP expense (excluding RCA)'!H32</f>
        <v>740.38749999999982</v>
      </c>
      <c r="I17" s="3">
        <f>'OTPP expense (excluding RCA)'!I32</f>
        <v>480.67500000000018</v>
      </c>
      <c r="J17" s="3">
        <f>'OTPP expense (excluding RCA)'!J32</f>
        <v>210.48874999999998</v>
      </c>
      <c r="K17" s="3">
        <f>'OTPP expense (excluding RCA)'!K32</f>
        <v>-92.857500000000073</v>
      </c>
      <c r="L17" s="3">
        <f>'OTPP expense (excluding RCA)'!L32</f>
        <v>-674.7175000000002</v>
      </c>
      <c r="M17" s="3">
        <f>'OTPP expense (excluding RCA)'!M32</f>
        <v>-1165.8449999999998</v>
      </c>
      <c r="N17" s="3">
        <f>'OTPP expense (excluding RCA)'!N32</f>
        <v>-317.72000000000025</v>
      </c>
      <c r="O17" s="3">
        <f>'OTPP expense (excluding RCA)'!O32</f>
        <v>27.720000000000255</v>
      </c>
      <c r="P17" s="3">
        <f>'OTPP expense (excluding RCA)'!P32</f>
        <v>41.839999999999236</v>
      </c>
      <c r="Q17" s="121">
        <f>'OTPP expense (excluding RCA)'!Q32</f>
        <v>31.774999999999636</v>
      </c>
      <c r="R17" s="121">
        <f>'OTPP expense (excluding RCA)'!R32</f>
        <v>96.549999999999272</v>
      </c>
      <c r="S17" s="121">
        <f>'OTPP expense (excluding RCA)'!S32</f>
        <v>200.55000000000018</v>
      </c>
      <c r="T17" s="121">
        <f>'OTPP expense (excluding RCA)'!T32</f>
        <v>-428.34875000000011</v>
      </c>
      <c r="U17" s="121">
        <f>'OTPP expense (excluding RCA)'!U32</f>
        <v>-1087.8249999999998</v>
      </c>
      <c r="V17" s="121">
        <f>'OTPP expense (excluding RCA)'!V32</f>
        <v>-831.31446299999948</v>
      </c>
      <c r="W17" s="121">
        <f>'OTPP expense (excluding RCA)'!W32</f>
        <v>-285.14093257142963</v>
      </c>
      <c r="X17" s="121">
        <f>'OTPP expense (excluding RCA)'!X32</f>
        <v>-317.68786599999964</v>
      </c>
      <c r="Y17" s="121">
        <f>'OTPP expense (excluding RCA)'!Y32</f>
        <v>361.37658202232205</v>
      </c>
      <c r="Z17" s="121">
        <f>'OTPP expense (excluding RCA)'!Z32</f>
        <v>269.00579999999991</v>
      </c>
      <c r="AA17" s="121">
        <f>'OTPP expense (excluding RCA)'!AA32</f>
        <v>-411.33424700000046</v>
      </c>
      <c r="AB17" s="506">
        <f>'OTPP expense (excluding RCA)'!AB32</f>
        <v>-1346.3225000000011</v>
      </c>
      <c r="AC17" s="79">
        <f>'OTPP expense (excluding RCA)'!AC32</f>
        <v>-2559.5884511439053</v>
      </c>
      <c r="AD17" s="79">
        <f>'OTPP expense (excluding RCA)'!AD32</f>
        <v>-3362.2046241024304</v>
      </c>
      <c r="AE17" s="79">
        <f>'OTPP expense (excluding RCA)'!AE32</f>
        <v>-4003.3662563806988</v>
      </c>
      <c r="AF17" s="265">
        <f>'OTPP expense (excluding RCA)'!AF32</f>
        <v>-4549.7186385840378</v>
      </c>
    </row>
    <row r="18" spans="1:33" s="3" customFormat="1" x14ac:dyDescent="0.2">
      <c r="A18" s="3" t="s">
        <v>228</v>
      </c>
      <c r="B18" s="3" t="s">
        <v>214</v>
      </c>
      <c r="C18" s="3">
        <f>'Data Input'!D46*-1</f>
        <v>-655</v>
      </c>
      <c r="D18" s="3">
        <f>'Data Input'!E46*-1</f>
        <v>-872</v>
      </c>
      <c r="E18" s="3">
        <f>'Data Input'!F46*-1</f>
        <v>-933</v>
      </c>
      <c r="F18" s="3">
        <f>'Data Input'!G46*-1</f>
        <v>-441</v>
      </c>
      <c r="G18" s="3">
        <f>'Data Input'!H46*-1</f>
        <v>-566</v>
      </c>
      <c r="H18" s="3">
        <f>'Data Input'!I46*-1</f>
        <v>-686</v>
      </c>
      <c r="I18" s="3">
        <f>'Data Input'!J46*-1</f>
        <v>-926</v>
      </c>
      <c r="J18" s="3">
        <f>'Data Input'!K46*-1</f>
        <v>-1132</v>
      </c>
      <c r="K18" s="3">
        <f>'Data Input'!L46*-1</f>
        <v>-1109</v>
      </c>
      <c r="L18" s="3">
        <f>'Data Input'!M46*-1</f>
        <v>-667</v>
      </c>
      <c r="M18" s="3">
        <f>'Data Input'!N46*-1</f>
        <v>-635</v>
      </c>
      <c r="N18" s="3">
        <f>'Data Input'!O46*-1</f>
        <v>-645.03436999999997</v>
      </c>
      <c r="O18" s="3">
        <f>'Data Input'!P46*-1</f>
        <v>-676.24282600000004</v>
      </c>
      <c r="P18" s="3">
        <f>'Data Input'!Q46*-1</f>
        <v>-682.943175</v>
      </c>
      <c r="Q18" s="121">
        <f>'Data Input'!R46*-1</f>
        <v>-708.14363400000002</v>
      </c>
      <c r="R18" s="121">
        <f>'Data Input'!S46*-1</f>
        <v>-740.20953299999996</v>
      </c>
      <c r="S18" s="121">
        <f>'Data Input'!T46*-1</f>
        <v>-795.11688900000001</v>
      </c>
      <c r="T18" s="121">
        <f>'Data Input'!U46*-1</f>
        <v>-808.21466899999996</v>
      </c>
      <c r="U18" s="121">
        <f>'Data Input'!V46*-1</f>
        <v>-1070</v>
      </c>
      <c r="V18" s="121">
        <f>'Data Input'!W46*-1</f>
        <v>-1244.570158</v>
      </c>
      <c r="W18" s="121">
        <f>'Data Input'!X46*-1</f>
        <v>-1316.2618660000001</v>
      </c>
      <c r="X18" s="121">
        <f>'Data Input'!Y46*-1</f>
        <v>-1343.8129570000001</v>
      </c>
      <c r="Y18" s="121">
        <f>'Data Input'!Z46*-1</f>
        <v>-1393.0569660000001</v>
      </c>
      <c r="Z18" s="121">
        <f>'Data Input'!AA46*-1</f>
        <v>-1460.7559490000001</v>
      </c>
      <c r="AA18" s="121">
        <f>'Data Input'!AB46*-1</f>
        <v>-1525.800671</v>
      </c>
      <c r="AB18" s="506">
        <f>'Data Input'!AC46*-1</f>
        <v>-1598.2380873</v>
      </c>
      <c r="AC18" s="79">
        <f>'Data Input'!AD46*-1</f>
        <v>-1664.1763250155739</v>
      </c>
      <c r="AD18" s="79">
        <f>'Data Input'!AE46*-1</f>
        <v>-1732.632443033782</v>
      </c>
      <c r="AE18" s="79">
        <f>'Data Input'!AF46*-1</f>
        <v>-1794.1547928826822</v>
      </c>
      <c r="AF18" s="240">
        <f>'Data Input'!AG46*-1</f>
        <v>-1857.8091145237856</v>
      </c>
    </row>
    <row r="19" spans="1:33" s="3" customFormat="1" x14ac:dyDescent="0.2">
      <c r="A19" s="3" t="s">
        <v>215</v>
      </c>
      <c r="C19" s="24" t="s">
        <v>12</v>
      </c>
      <c r="D19" s="24" t="s">
        <v>12</v>
      </c>
      <c r="E19" s="24" t="s">
        <v>12</v>
      </c>
      <c r="F19" s="24" t="s">
        <v>12</v>
      </c>
      <c r="G19" s="24">
        <v>-784</v>
      </c>
      <c r="H19" s="24" t="s">
        <v>12</v>
      </c>
      <c r="I19" s="24" t="s">
        <v>12</v>
      </c>
      <c r="J19" s="24" t="s">
        <v>12</v>
      </c>
      <c r="K19" s="24" t="s">
        <v>12</v>
      </c>
      <c r="L19" s="24" t="s">
        <v>12</v>
      </c>
      <c r="M19" s="24" t="s">
        <v>12</v>
      </c>
      <c r="N19" s="24" t="s">
        <v>12</v>
      </c>
      <c r="O19" s="24">
        <v>-6</v>
      </c>
      <c r="P19" s="24" t="s">
        <v>12</v>
      </c>
      <c r="Q19" s="131" t="s">
        <v>12</v>
      </c>
      <c r="R19" s="131" t="s">
        <v>12</v>
      </c>
      <c r="S19" s="131" t="s">
        <v>12</v>
      </c>
      <c r="T19" s="131" t="s">
        <v>12</v>
      </c>
      <c r="U19" s="131" t="s">
        <v>12</v>
      </c>
      <c r="V19" s="131" t="s">
        <v>12</v>
      </c>
      <c r="W19" s="131" t="s">
        <v>12</v>
      </c>
      <c r="X19" s="131" t="s">
        <v>12</v>
      </c>
      <c r="Y19" s="131" t="s">
        <v>12</v>
      </c>
      <c r="Z19" s="131" t="s">
        <v>12</v>
      </c>
      <c r="AA19" s="131" t="s">
        <v>12</v>
      </c>
      <c r="AB19" s="511" t="s">
        <v>12</v>
      </c>
      <c r="AC19" s="86" t="s">
        <v>12</v>
      </c>
      <c r="AD19" s="86" t="s">
        <v>12</v>
      </c>
      <c r="AE19" s="86" t="s">
        <v>12</v>
      </c>
      <c r="AF19" s="247" t="s">
        <v>12</v>
      </c>
    </row>
    <row r="20" spans="1:33" s="8" customFormat="1" x14ac:dyDescent="0.2">
      <c r="A20" s="8" t="s">
        <v>213</v>
      </c>
      <c r="B20" s="8" t="s">
        <v>31</v>
      </c>
      <c r="C20" s="21">
        <f>SUM(C16:C19)</f>
        <v>5159.6350000000002</v>
      </c>
      <c r="D20" s="21">
        <f>SUM(D16:D19)</f>
        <v>5170.0650000000005</v>
      </c>
      <c r="E20" s="21">
        <f t="shared" ref="E20:Q20" si="4">SUM(E16:E19)</f>
        <v>4875.0575000000008</v>
      </c>
      <c r="F20" s="21">
        <f t="shared" si="4"/>
        <v>4902.1512500000008</v>
      </c>
      <c r="G20" s="21">
        <f t="shared" si="4"/>
        <v>4194.9387500000012</v>
      </c>
      <c r="H20" s="21">
        <f t="shared" si="4"/>
        <v>5033.326250000001</v>
      </c>
      <c r="I20" s="21">
        <f t="shared" si="4"/>
        <v>4588.0012500000012</v>
      </c>
      <c r="J20" s="21">
        <f t="shared" si="4"/>
        <v>3666.4900000000016</v>
      </c>
      <c r="K20" s="21">
        <f t="shared" si="4"/>
        <v>2464.6325000000015</v>
      </c>
      <c r="L20" s="21">
        <f t="shared" si="4"/>
        <v>1122.9150000000013</v>
      </c>
      <c r="M20" s="21">
        <f t="shared" si="4"/>
        <v>-677.92999999999847</v>
      </c>
      <c r="N20" s="21">
        <f t="shared" si="4"/>
        <v>-1640.6843699999986</v>
      </c>
      <c r="O20" s="21">
        <f t="shared" si="4"/>
        <v>-2295.2071959999985</v>
      </c>
      <c r="P20" s="21">
        <f t="shared" si="4"/>
        <v>-2936.3103709999991</v>
      </c>
      <c r="Q20" s="140">
        <f t="shared" si="4"/>
        <v>-3612.6790049999995</v>
      </c>
      <c r="R20" s="140">
        <f t="shared" ref="R20:AD20" si="5">SUM(R16:R19)</f>
        <v>-4256.338538</v>
      </c>
      <c r="S20" s="140">
        <f t="shared" si="5"/>
        <v>-4850.9054269999997</v>
      </c>
      <c r="T20" s="140">
        <f t="shared" si="5"/>
        <v>-6087.4688459999998</v>
      </c>
      <c r="U20" s="140">
        <f t="shared" si="5"/>
        <v>-8245.2938460000005</v>
      </c>
      <c r="V20" s="140">
        <f t="shared" si="5"/>
        <v>-10321.178467</v>
      </c>
      <c r="W20" s="140">
        <f t="shared" si="5"/>
        <v>-11922.581265571431</v>
      </c>
      <c r="X20" s="140">
        <f t="shared" si="5"/>
        <v>-13584.082088571431</v>
      </c>
      <c r="Y20" s="140">
        <f t="shared" si="5"/>
        <v>-14615.76247254911</v>
      </c>
      <c r="Z20" s="140">
        <f t="shared" si="5"/>
        <v>-15807.512621549109</v>
      </c>
      <c r="AA20" s="140">
        <f t="shared" si="5"/>
        <v>-17744.647539549111</v>
      </c>
      <c r="AB20" s="508">
        <f t="shared" si="5"/>
        <v>-20689.208126849113</v>
      </c>
      <c r="AC20" s="95">
        <f t="shared" si="5"/>
        <v>-24912.972903008591</v>
      </c>
      <c r="AD20" s="95">
        <f t="shared" si="5"/>
        <v>-30007.809970144801</v>
      </c>
      <c r="AE20" s="95">
        <f>SUM(AE16:AE19)</f>
        <v>-35805.331019408186</v>
      </c>
      <c r="AF20" s="261">
        <f>SUM(AF16:AF19)</f>
        <v>-42212.858772516011</v>
      </c>
    </row>
    <row r="21" spans="1:33" s="3" customFormat="1" x14ac:dyDescent="0.2">
      <c r="Q21" s="121"/>
      <c r="R21" s="121"/>
      <c r="S21" s="121"/>
      <c r="T21" s="121"/>
      <c r="U21" s="121"/>
      <c r="V21" s="121"/>
      <c r="W21" s="121"/>
      <c r="X21" s="121"/>
      <c r="Y21" s="121"/>
      <c r="Z21" s="121"/>
      <c r="AA21" s="121"/>
      <c r="AB21" s="506"/>
      <c r="AC21" s="79"/>
      <c r="AD21" s="79"/>
      <c r="AE21" s="79"/>
      <c r="AF21" s="240"/>
    </row>
    <row r="22" spans="1:33" s="9" customFormat="1" x14ac:dyDescent="0.2">
      <c r="A22" s="9" t="s">
        <v>216</v>
      </c>
      <c r="C22" s="9">
        <f>C20-C11</f>
        <v>893</v>
      </c>
      <c r="D22" s="9">
        <f>D20-D11</f>
        <v>944.63500000000022</v>
      </c>
      <c r="E22" s="9">
        <f t="shared" ref="E22:N22" si="6">E20-E11</f>
        <v>1180.6350000000002</v>
      </c>
      <c r="F22" s="9">
        <f t="shared" si="6"/>
        <v>1442.6350000000002</v>
      </c>
      <c r="G22" s="9">
        <f t="shared" si="6"/>
        <v>809.63500000000386</v>
      </c>
      <c r="H22" s="9">
        <f t="shared" si="6"/>
        <v>802.63500000000568</v>
      </c>
      <c r="I22" s="9">
        <f t="shared" si="6"/>
        <v>702.63500000000113</v>
      </c>
      <c r="J22" s="9">
        <f t="shared" si="6"/>
        <v>676.63499999999885</v>
      </c>
      <c r="K22" s="9">
        <f t="shared" si="6"/>
        <v>703.63500000000204</v>
      </c>
      <c r="L22" s="9">
        <f t="shared" si="6"/>
        <v>820.63500000000022</v>
      </c>
      <c r="M22" s="9">
        <f t="shared" si="6"/>
        <v>842.63500000000613</v>
      </c>
      <c r="N22" s="9">
        <f t="shared" si="6"/>
        <v>871.60063000000764</v>
      </c>
      <c r="O22" s="9">
        <f t="shared" ref="O22:U22" si="7">O20-O11</f>
        <v>898.3578040000084</v>
      </c>
      <c r="P22" s="9">
        <f t="shared" si="7"/>
        <v>944.41462900000761</v>
      </c>
      <c r="Q22" s="146">
        <f t="shared" si="7"/>
        <v>994.27099500001032</v>
      </c>
      <c r="R22" s="146">
        <f t="shared" si="7"/>
        <v>1045.061462000016</v>
      </c>
      <c r="S22" s="146">
        <f t="shared" si="7"/>
        <v>1069.9445730000125</v>
      </c>
      <c r="T22" s="146">
        <f t="shared" si="7"/>
        <v>1321.7299040000098</v>
      </c>
      <c r="U22" s="146">
        <f t="shared" si="7"/>
        <v>1407.7299040000144</v>
      </c>
      <c r="V22" s="146">
        <f t="shared" ref="V22:AA22" si="8">V20-V11</f>
        <v>1571.1597460000103</v>
      </c>
      <c r="W22" s="146">
        <f t="shared" si="8"/>
        <v>1602.8978800000095</v>
      </c>
      <c r="X22" s="146">
        <f t="shared" si="8"/>
        <v>1665.0849230000113</v>
      </c>
      <c r="Y22" s="146">
        <f t="shared" si="8"/>
        <v>1729.0279570000184</v>
      </c>
      <c r="Z22" s="146">
        <f t="shared" si="8"/>
        <v>1794.2720080000236</v>
      </c>
      <c r="AA22" s="146">
        <f t="shared" si="8"/>
        <v>1862.4713370000281</v>
      </c>
      <c r="AB22" s="512">
        <f>AB20-AB11</f>
        <v>1901.233249700017</v>
      </c>
      <c r="AC22" s="103">
        <f>AC20-AC11</f>
        <v>1941.080968400267</v>
      </c>
      <c r="AD22" s="103">
        <f>AD20-AD11</f>
        <v>1979.6335220877991</v>
      </c>
      <c r="AE22" s="103">
        <f>AE20-AE11</f>
        <v>2017.0220951504525</v>
      </c>
      <c r="AF22" s="266">
        <f>AF20-AF11</f>
        <v>2053.2063514524416</v>
      </c>
    </row>
    <row r="23" spans="1:33" s="3" customFormat="1" x14ac:dyDescent="0.2">
      <c r="Q23" s="121"/>
      <c r="R23" s="121"/>
      <c r="S23" s="121"/>
      <c r="T23" s="121"/>
      <c r="U23" s="121"/>
      <c r="V23" s="121"/>
      <c r="W23" s="121"/>
      <c r="X23" s="121"/>
      <c r="Y23" s="121"/>
      <c r="Z23" s="121"/>
      <c r="AA23" s="121"/>
      <c r="AB23" s="506"/>
      <c r="AC23" s="79"/>
      <c r="AD23" s="79"/>
      <c r="AE23" s="79"/>
      <c r="AF23" s="240"/>
    </row>
    <row r="24" spans="1:33" x14ac:dyDescent="0.2">
      <c r="A24" s="3" t="s">
        <v>343</v>
      </c>
      <c r="R24" s="106">
        <f>SUM(C10:R10)</f>
        <v>-150</v>
      </c>
    </row>
    <row r="25" spans="1:33" x14ac:dyDescent="0.2">
      <c r="A25" s="3" t="s">
        <v>233</v>
      </c>
      <c r="R25" s="106"/>
      <c r="S25" s="106">
        <f>'Data Input'!T40</f>
        <v>13.6</v>
      </c>
    </row>
    <row r="26" spans="1:33" x14ac:dyDescent="0.2">
      <c r="A26" s="3"/>
      <c r="R26" s="106"/>
    </row>
    <row r="27" spans="1:33" s="18" customFormat="1" ht="15.75" x14ac:dyDescent="0.25">
      <c r="A27" s="194" t="s">
        <v>344</v>
      </c>
      <c r="Q27" s="164"/>
      <c r="R27" s="165"/>
      <c r="S27" s="165">
        <f>R24/S25</f>
        <v>-11.029411764705882</v>
      </c>
      <c r="T27" s="165">
        <f t="shared" ref="T27:Y27" si="9">$S27</f>
        <v>-11.029411764705882</v>
      </c>
      <c r="U27" s="165">
        <f t="shared" si="9"/>
        <v>-11.029411764705882</v>
      </c>
      <c r="V27" s="165">
        <f t="shared" si="9"/>
        <v>-11.029411764705882</v>
      </c>
      <c r="W27" s="165">
        <f t="shared" si="9"/>
        <v>-11.029411764705882</v>
      </c>
      <c r="X27" s="165">
        <f t="shared" si="9"/>
        <v>-11.029411764705882</v>
      </c>
      <c r="Y27" s="165">
        <f t="shared" si="9"/>
        <v>-11.029411764705882</v>
      </c>
      <c r="Z27" s="165">
        <f>$S27</f>
        <v>-11.029411764705882</v>
      </c>
      <c r="AA27" s="165">
        <f>$S27</f>
        <v>-11.029411764705882</v>
      </c>
      <c r="AB27" s="513">
        <f>$S27</f>
        <v>-11.029411764705882</v>
      </c>
      <c r="AC27" s="166">
        <f>$S27+1</f>
        <v>-10.029411764705882</v>
      </c>
      <c r="AD27" s="166">
        <f>$S27+1</f>
        <v>-10.029411764705882</v>
      </c>
      <c r="AE27" s="166">
        <f>$S27+1</f>
        <v>-10.029411764705882</v>
      </c>
      <c r="AF27" s="267">
        <f>$S27+1</f>
        <v>-10.029411764705882</v>
      </c>
      <c r="AG27" s="167">
        <f>SUM(S27:AF27)</f>
        <v>-150.41176470588235</v>
      </c>
    </row>
    <row r="29" spans="1:33" x14ac:dyDescent="0.2">
      <c r="A29" s="3" t="s">
        <v>235</v>
      </c>
      <c r="S29" s="106">
        <f>$R24-SUM($S27:S27)</f>
        <v>-138.97058823529412</v>
      </c>
      <c r="T29" s="106">
        <f>$R24-SUM($S27:T27)</f>
        <v>-127.94117647058823</v>
      </c>
      <c r="U29" s="106">
        <f>$R24-SUM($S27:U27)</f>
        <v>-116.91176470588235</v>
      </c>
      <c r="V29" s="106">
        <f>$R24-SUM($S27:V27)</f>
        <v>-105.88235294117646</v>
      </c>
      <c r="W29" s="106">
        <f>$R24-SUM($S27:W27)</f>
        <v>-94.85294117647058</v>
      </c>
      <c r="X29" s="106">
        <f>$R24-SUM($S27:X27)</f>
        <v>-83.82352941176471</v>
      </c>
      <c r="Y29" s="106">
        <f>$R24-SUM($S27:Y27)</f>
        <v>-72.794117647058826</v>
      </c>
      <c r="Z29" s="106">
        <f>$R24-SUM($S27:Z27)</f>
        <v>-61.764705882352942</v>
      </c>
      <c r="AA29" s="106">
        <f>$R24-SUM($S27:AA27)</f>
        <v>-50.735294117647058</v>
      </c>
      <c r="AB29" s="391">
        <f>$R24-SUM($S27:AB27)</f>
        <v>-39.705882352941174</v>
      </c>
      <c r="AC29" s="85">
        <f>$R24-SUM($S27:AC27)</f>
        <v>-29.67647058823529</v>
      </c>
      <c r="AD29" s="85">
        <f>$R24-SUM($S27:AD27)</f>
        <v>-19.64705882352942</v>
      </c>
      <c r="AE29" s="85">
        <f>$R24-SUM($S27:AE27)</f>
        <v>-9.6176470588235361</v>
      </c>
      <c r="AF29" s="246">
        <f>$R24-SUM($S27:AF27)</f>
        <v>0.41176470588234793</v>
      </c>
    </row>
    <row r="30" spans="1:33" x14ac:dyDescent="0.2">
      <c r="A30" t="s">
        <v>345</v>
      </c>
      <c r="S30" s="159">
        <f>SUM($S27:S27)</f>
        <v>-11.029411764705882</v>
      </c>
      <c r="T30" s="159">
        <f>SUM($S27:T27)</f>
        <v>-22.058823529411764</v>
      </c>
      <c r="U30" s="159">
        <f>SUM($S27:U27)</f>
        <v>-33.088235294117645</v>
      </c>
      <c r="V30" s="159">
        <f>SUM($S27:V27)</f>
        <v>-44.117647058823529</v>
      </c>
      <c r="W30" s="159">
        <f>SUM($S27:W27)</f>
        <v>-55.147058823529413</v>
      </c>
      <c r="X30" s="159">
        <f>SUM($S27:X27)</f>
        <v>-66.17647058823529</v>
      </c>
      <c r="Y30" s="159">
        <f>SUM($S27:Y27)</f>
        <v>-77.205882352941174</v>
      </c>
      <c r="Z30" s="159">
        <f>SUM($S27:Z27)</f>
        <v>-88.235294117647058</v>
      </c>
      <c r="AA30" s="159">
        <f>SUM($S27:AA27)</f>
        <v>-99.264705882352942</v>
      </c>
      <c r="AB30" s="514">
        <f>SUM($S27:AB27)</f>
        <v>-110.29411764705883</v>
      </c>
      <c r="AC30" s="160">
        <f>SUM($S27:AC27)</f>
        <v>-120.32352941176471</v>
      </c>
      <c r="AD30" s="160">
        <f>SUM($S27:AD27)</f>
        <v>-130.35294117647058</v>
      </c>
      <c r="AE30" s="160">
        <f>SUM($S27:AE27)</f>
        <v>-140.38235294117646</v>
      </c>
      <c r="AF30" s="268">
        <f>SUM($S27:AF27)</f>
        <v>-150.41176470588235</v>
      </c>
    </row>
    <row r="32" spans="1:33" s="18" customFormat="1" ht="15.75" x14ac:dyDescent="0.25">
      <c r="A32" s="18" t="s">
        <v>203</v>
      </c>
      <c r="C32" s="163">
        <f t="shared" ref="C32:Y32" si="10">C22+C30</f>
        <v>893</v>
      </c>
      <c r="D32" s="163">
        <f t="shared" si="10"/>
        <v>944.63500000000022</v>
      </c>
      <c r="E32" s="163">
        <f t="shared" si="10"/>
        <v>1180.6350000000002</v>
      </c>
      <c r="F32" s="163">
        <f t="shared" si="10"/>
        <v>1442.6350000000002</v>
      </c>
      <c r="G32" s="163">
        <f t="shared" si="10"/>
        <v>809.63500000000386</v>
      </c>
      <c r="H32" s="163">
        <f t="shared" si="10"/>
        <v>802.63500000000568</v>
      </c>
      <c r="I32" s="163">
        <f t="shared" si="10"/>
        <v>702.63500000000113</v>
      </c>
      <c r="J32" s="163">
        <f t="shared" si="10"/>
        <v>676.63499999999885</v>
      </c>
      <c r="K32" s="163">
        <f t="shared" si="10"/>
        <v>703.63500000000204</v>
      </c>
      <c r="L32" s="163">
        <f t="shared" si="10"/>
        <v>820.63500000000022</v>
      </c>
      <c r="M32" s="163">
        <f t="shared" si="10"/>
        <v>842.63500000000613</v>
      </c>
      <c r="N32" s="163">
        <f t="shared" si="10"/>
        <v>871.60063000000764</v>
      </c>
      <c r="O32" s="163">
        <f t="shared" si="10"/>
        <v>898.3578040000084</v>
      </c>
      <c r="P32" s="163">
        <f t="shared" si="10"/>
        <v>944.41462900000761</v>
      </c>
      <c r="Q32" s="163">
        <f t="shared" si="10"/>
        <v>994.27099500001032</v>
      </c>
      <c r="R32" s="163">
        <f>R22+R30</f>
        <v>1045.061462000016</v>
      </c>
      <c r="S32" s="163">
        <f>S22+S30</f>
        <v>1058.9151612353066</v>
      </c>
      <c r="T32" s="163">
        <f t="shared" si="10"/>
        <v>1299.6710804705981</v>
      </c>
      <c r="U32" s="163">
        <f t="shared" si="10"/>
        <v>1374.6416687058968</v>
      </c>
      <c r="V32" s="163">
        <f t="shared" si="10"/>
        <v>1527.0420989411869</v>
      </c>
      <c r="W32" s="163">
        <f t="shared" si="10"/>
        <v>1547.75082117648</v>
      </c>
      <c r="X32" s="163">
        <f t="shared" si="10"/>
        <v>1598.9084524117759</v>
      </c>
      <c r="Y32" s="163">
        <f t="shared" si="10"/>
        <v>1651.8220746470772</v>
      </c>
      <c r="Z32" s="163">
        <f t="shared" ref="Z32:AD32" si="11">Z22+Z30</f>
        <v>1706.0367138823765</v>
      </c>
      <c r="AA32" s="163">
        <f t="shared" si="11"/>
        <v>1763.2066311176752</v>
      </c>
      <c r="AB32" s="515">
        <f t="shared" si="11"/>
        <v>1790.9391320529583</v>
      </c>
      <c r="AC32" s="168">
        <f t="shared" si="11"/>
        <v>1820.7574389885024</v>
      </c>
      <c r="AD32" s="168">
        <f t="shared" si="11"/>
        <v>1849.2805809113286</v>
      </c>
      <c r="AE32" s="168">
        <f>AE22+AE30</f>
        <v>1876.6397422092759</v>
      </c>
      <c r="AF32" s="269">
        <f>AF22+AF30</f>
        <v>1902.7945867465592</v>
      </c>
    </row>
  </sheetData>
  <phoneticPr fontId="0" type="noConversion"/>
  <pageMargins left="0.5" right="0.5" top="1" bottom="1" header="0.5" footer="0.5"/>
  <pageSetup paperSize="5" scale="76" orientation="landscape" r:id="rId1"/>
  <headerFooter alignWithMargins="0">
    <oddFooter>&amp;L&amp;"Arial,Bold"&amp;F&amp;C&amp;A&amp;R&amp;D  &amp;T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workbookViewId="0">
      <pane xSplit="1" ySplit="5" topLeftCell="K6"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35.140625" customWidth="1"/>
    <col min="2" max="2" width="41.140625" customWidth="1"/>
    <col min="3" max="8" width="9.140625" style="115"/>
    <col min="9" max="10" width="9.140625" style="115" customWidth="1"/>
    <col min="11" max="11" width="9.140625" style="489" customWidth="1"/>
    <col min="12" max="14" width="9.140625" style="76" customWidth="1" outlineLevel="1"/>
    <col min="15" max="15" width="9.140625" style="238" customWidth="1" outlineLevel="1"/>
    <col min="16" max="16" width="9.140625" customWidth="1" outlineLevel="1"/>
  </cols>
  <sheetData>
    <row r="1" spans="1:15" ht="15.75" x14ac:dyDescent="0.25">
      <c r="A1" s="18" t="s">
        <v>67</v>
      </c>
    </row>
    <row r="2" spans="1:15" x14ac:dyDescent="0.2">
      <c r="A2" s="2" t="s">
        <v>399</v>
      </c>
    </row>
    <row r="5" spans="1:15" s="2" customFormat="1" ht="13.5" thickBot="1" x14ac:dyDescent="0.25">
      <c r="A5" s="19" t="s">
        <v>1</v>
      </c>
      <c r="B5" s="20" t="s">
        <v>26</v>
      </c>
      <c r="C5" s="116">
        <v>2008</v>
      </c>
      <c r="D5" s="116">
        <v>2009</v>
      </c>
      <c r="E5" s="116">
        <v>2010</v>
      </c>
      <c r="F5" s="116">
        <v>2011</v>
      </c>
      <c r="G5" s="116">
        <v>2012</v>
      </c>
      <c r="H5" s="116">
        <v>2013</v>
      </c>
      <c r="I5" s="116">
        <v>2014</v>
      </c>
      <c r="J5" s="116">
        <v>2015</v>
      </c>
      <c r="K5" s="491">
        <v>2016</v>
      </c>
      <c r="L5" s="77">
        <v>2017</v>
      </c>
      <c r="M5" s="77">
        <v>2019</v>
      </c>
      <c r="N5" s="77">
        <v>2018</v>
      </c>
      <c r="O5" s="239">
        <v>2019</v>
      </c>
    </row>
    <row r="6" spans="1:15" s="296" customFormat="1" x14ac:dyDescent="0.2">
      <c r="C6" s="301"/>
      <c r="D6" s="301"/>
      <c r="E6" s="301"/>
      <c r="F6" s="301"/>
      <c r="G6" s="301"/>
      <c r="H6" s="301"/>
      <c r="I6" s="301"/>
      <c r="J6" s="301"/>
      <c r="K6" s="516"/>
      <c r="L6" s="237"/>
      <c r="M6" s="237"/>
      <c r="N6" s="237"/>
      <c r="O6" s="302"/>
    </row>
    <row r="7" spans="1:15" s="296" customFormat="1" x14ac:dyDescent="0.2">
      <c r="A7" s="296" t="s">
        <v>400</v>
      </c>
      <c r="B7" s="296" t="s">
        <v>157</v>
      </c>
      <c r="C7" s="301">
        <f>'Data Input'!V36</f>
        <v>0</v>
      </c>
      <c r="D7" s="301">
        <f>'Data Input'!W36</f>
        <v>0</v>
      </c>
      <c r="E7" s="301">
        <f>'Data Input'!X36</f>
        <v>0</v>
      </c>
      <c r="F7" s="301">
        <f>'Data Input'!Y36</f>
        <v>0</v>
      </c>
      <c r="G7" s="301">
        <f>'Data Input'!Z36</f>
        <v>0</v>
      </c>
      <c r="H7" s="301">
        <f>'Data Input'!AA36</f>
        <v>1</v>
      </c>
      <c r="I7" s="301">
        <f>'Data Input'!AB36</f>
        <v>1</v>
      </c>
      <c r="J7" s="301">
        <f>'Data Input'!AC36</f>
        <v>1</v>
      </c>
      <c r="K7" s="516">
        <f>'Data Input'!AD36</f>
        <v>0</v>
      </c>
      <c r="L7" s="237">
        <f>'Data Input'!AE36</f>
        <v>0</v>
      </c>
      <c r="M7" s="237">
        <f>'Data Input'!AF36</f>
        <v>0</v>
      </c>
      <c r="N7" s="237">
        <f>'Data Input'!AG36</f>
        <v>0</v>
      </c>
      <c r="O7" s="302">
        <f>'Data Input'!AH36</f>
        <v>0</v>
      </c>
    </row>
    <row r="8" spans="1:15" s="296" customFormat="1" x14ac:dyDescent="0.2">
      <c r="C8" s="301"/>
      <c r="D8" s="301"/>
      <c r="E8" s="301"/>
      <c r="F8" s="301"/>
      <c r="G8" s="301"/>
      <c r="H8" s="301"/>
      <c r="I8" s="301"/>
      <c r="J8" s="301"/>
      <c r="K8" s="516"/>
      <c r="L8" s="237"/>
      <c r="M8" s="237"/>
      <c r="N8" s="237"/>
      <c r="O8" s="302"/>
    </row>
    <row r="9" spans="1:15" s="12" customFormat="1" ht="13.5" thickBot="1" x14ac:dyDescent="0.25">
      <c r="A9" s="46" t="s">
        <v>156</v>
      </c>
      <c r="B9" s="47" t="s">
        <v>26</v>
      </c>
      <c r="C9" s="142" t="s">
        <v>173</v>
      </c>
      <c r="D9" s="142" t="s">
        <v>174</v>
      </c>
      <c r="E9" s="142" t="s">
        <v>175</v>
      </c>
      <c r="F9" s="142" t="s">
        <v>176</v>
      </c>
      <c r="G9" s="142" t="s">
        <v>177</v>
      </c>
      <c r="H9" s="142" t="s">
        <v>178</v>
      </c>
      <c r="I9" s="142" t="s">
        <v>294</v>
      </c>
      <c r="J9" s="142" t="s">
        <v>309</v>
      </c>
      <c r="K9" s="517" t="s">
        <v>315</v>
      </c>
      <c r="L9" s="97" t="s">
        <v>316</v>
      </c>
      <c r="M9" s="97" t="s">
        <v>317</v>
      </c>
      <c r="N9" s="97" t="s">
        <v>317</v>
      </c>
      <c r="O9" s="264" t="s">
        <v>317</v>
      </c>
    </row>
    <row r="10" spans="1:15" s="296" customFormat="1" x14ac:dyDescent="0.2">
      <c r="C10" s="301"/>
      <c r="D10" s="301"/>
      <c r="E10" s="301"/>
      <c r="F10" s="301"/>
      <c r="G10" s="301"/>
      <c r="H10" s="301"/>
      <c r="I10" s="301"/>
      <c r="J10" s="301"/>
      <c r="K10" s="516"/>
      <c r="L10" s="237"/>
      <c r="M10" s="237"/>
      <c r="N10" s="237"/>
      <c r="O10" s="302"/>
    </row>
    <row r="11" spans="1:15" s="8" customFormat="1" x14ac:dyDescent="0.2">
      <c r="A11" s="296" t="s">
        <v>401</v>
      </c>
      <c r="B11" s="296" t="s">
        <v>214</v>
      </c>
      <c r="C11" s="143">
        <f>'Data Input'!V44</f>
        <v>0</v>
      </c>
      <c r="D11" s="143">
        <f>'Data Input'!W44</f>
        <v>0</v>
      </c>
      <c r="E11" s="143">
        <f>'Data Input'!X44</f>
        <v>0</v>
      </c>
      <c r="F11" s="143">
        <f>'Data Input'!Y44</f>
        <v>0</v>
      </c>
      <c r="G11" s="143">
        <f>'Data Input'!Z44</f>
        <v>0</v>
      </c>
      <c r="H11" s="143">
        <f>'Data Input'!AA44</f>
        <v>1</v>
      </c>
      <c r="I11" s="143">
        <f>'Data Input'!AB44</f>
        <v>1</v>
      </c>
      <c r="J11" s="143">
        <f>'Data Input'!AC44</f>
        <v>1</v>
      </c>
      <c r="K11" s="518">
        <f>'Data Input'!AD44</f>
        <v>0</v>
      </c>
      <c r="L11" s="98">
        <f>'Data Input'!AE44</f>
        <v>0</v>
      </c>
      <c r="M11" s="98">
        <f>'Data Input'!AF44</f>
        <v>0</v>
      </c>
      <c r="N11" s="98">
        <f>'Data Input'!AG44</f>
        <v>0</v>
      </c>
      <c r="O11" s="265">
        <f>'Data Input'!AH44</f>
        <v>0</v>
      </c>
    </row>
    <row r="13" spans="1:15" s="18" customFormat="1" ht="15.75" x14ac:dyDescent="0.25">
      <c r="A13" s="18" t="s">
        <v>402</v>
      </c>
      <c r="C13" s="163">
        <f>C11</f>
        <v>0</v>
      </c>
      <c r="D13" s="163">
        <f>C13+D11</f>
        <v>0</v>
      </c>
      <c r="E13" s="163">
        <f t="shared" ref="E13:O13" si="0">D13+E11</f>
        <v>0</v>
      </c>
      <c r="F13" s="163">
        <f t="shared" si="0"/>
        <v>0</v>
      </c>
      <c r="G13" s="163">
        <f>F13+G11</f>
        <v>0</v>
      </c>
      <c r="H13" s="163">
        <f>G13+H11</f>
        <v>1</v>
      </c>
      <c r="I13" s="163">
        <f>H13+I11</f>
        <v>2</v>
      </c>
      <c r="J13" s="163">
        <f t="shared" si="0"/>
        <v>3</v>
      </c>
      <c r="K13" s="519">
        <f t="shared" si="0"/>
        <v>3</v>
      </c>
      <c r="L13" s="168">
        <f t="shared" si="0"/>
        <v>3</v>
      </c>
      <c r="M13" s="168">
        <f t="shared" si="0"/>
        <v>3</v>
      </c>
      <c r="N13" s="168">
        <f t="shared" si="0"/>
        <v>3</v>
      </c>
      <c r="O13" s="269">
        <f t="shared" si="0"/>
        <v>3</v>
      </c>
    </row>
  </sheetData>
  <phoneticPr fontId="0" type="noConversion"/>
  <pageMargins left="0.5" right="0.5" top="1" bottom="1" header="0.5" footer="0.5"/>
  <pageSetup paperSize="5" scale="83" orientation="landscape" r:id="rId1"/>
  <headerFooter alignWithMargins="0">
    <oddFooter>&amp;L&amp;"Arial,Bold"&amp;F&amp;C&amp;A&amp;R&amp;D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55"/>
  <sheetViews>
    <sheetView tabSelected="1" workbookViewId="0">
      <pane ySplit="5" topLeftCell="A6" activePane="bottomLeft" state="frozen"/>
      <selection activeCell="D33" sqref="D33"/>
      <selection pane="bottomLeft" activeCell="C64" sqref="C64"/>
    </sheetView>
  </sheetViews>
  <sheetFormatPr defaultRowHeight="12.75" outlineLevelRow="2" outlineLevelCol="1" x14ac:dyDescent="0.2"/>
  <cols>
    <col min="1" max="1" width="2" style="569" customWidth="1"/>
    <col min="2" max="2" width="3.140625" style="569" customWidth="1"/>
    <col min="3" max="3" width="114.140625" style="569" customWidth="1"/>
    <col min="4" max="4" width="0" style="573" hidden="1" customWidth="1" outlineLevel="1"/>
    <col min="5" max="5" width="9.140625" style="573" collapsed="1"/>
    <col min="6" max="6" width="9.140625" style="573"/>
    <col min="7" max="7" width="9.5703125" style="572" bestFit="1" customWidth="1"/>
    <col min="8" max="8" width="9.5703125" style="573" bestFit="1" customWidth="1"/>
    <col min="9" max="9" width="9.5703125" style="572" bestFit="1" customWidth="1"/>
    <col min="10" max="10" width="2.5703125" style="572" customWidth="1"/>
    <col min="11" max="16384" width="9.140625" style="569"/>
  </cols>
  <sheetData>
    <row r="1" spans="1:10" x14ac:dyDescent="0.2">
      <c r="A1" s="979"/>
      <c r="B1" s="840" t="s">
        <v>594</v>
      </c>
      <c r="C1" s="840"/>
      <c r="D1" s="841"/>
      <c r="E1" s="841"/>
      <c r="F1" s="841"/>
      <c r="G1" s="841"/>
      <c r="H1" s="841"/>
      <c r="I1" s="841"/>
      <c r="J1" s="841"/>
    </row>
    <row r="2" spans="1:10" x14ac:dyDescent="0.2">
      <c r="A2" s="979"/>
      <c r="B2" s="840" t="s">
        <v>593</v>
      </c>
      <c r="C2" s="842"/>
      <c r="D2" s="841"/>
      <c r="E2" s="841"/>
      <c r="F2" s="841"/>
      <c r="G2" s="841"/>
      <c r="H2" s="841"/>
      <c r="I2" s="841"/>
      <c r="J2" s="841"/>
    </row>
    <row r="3" spans="1:10" x14ac:dyDescent="0.2">
      <c r="A3" s="979"/>
      <c r="B3" s="843"/>
      <c r="C3" s="844"/>
      <c r="D3" s="841"/>
      <c r="E3" s="841"/>
      <c r="F3" s="841"/>
      <c r="G3" s="841"/>
      <c r="H3" s="841"/>
      <c r="I3" s="841"/>
      <c r="J3" s="841"/>
    </row>
    <row r="4" spans="1:10" x14ac:dyDescent="0.2">
      <c r="B4" s="630"/>
      <c r="C4" s="742"/>
      <c r="H4" s="572"/>
    </row>
    <row r="5" spans="1:10" x14ac:dyDescent="0.2">
      <c r="B5" s="965"/>
      <c r="C5" s="966"/>
      <c r="D5" s="967" t="s">
        <v>294</v>
      </c>
      <c r="E5" s="968" t="s">
        <v>309</v>
      </c>
      <c r="F5" s="968" t="s">
        <v>315</v>
      </c>
      <c r="G5" s="968" t="s">
        <v>316</v>
      </c>
      <c r="H5" s="968" t="s">
        <v>317</v>
      </c>
      <c r="I5" s="968" t="s">
        <v>318</v>
      </c>
      <c r="J5" s="969"/>
    </row>
    <row r="6" spans="1:10" x14ac:dyDescent="0.2">
      <c r="B6" s="970"/>
      <c r="C6" s="978" t="s">
        <v>548</v>
      </c>
      <c r="D6" s="585" t="s">
        <v>483</v>
      </c>
      <c r="E6" s="586" t="s">
        <v>483</v>
      </c>
      <c r="F6" s="587" t="s">
        <v>485</v>
      </c>
      <c r="G6" s="587" t="s">
        <v>486</v>
      </c>
      <c r="H6" s="587" t="s">
        <v>486</v>
      </c>
      <c r="I6" s="587" t="s">
        <v>486</v>
      </c>
      <c r="J6" s="971"/>
    </row>
    <row r="7" spans="1:10" x14ac:dyDescent="0.2">
      <c r="B7" s="970"/>
      <c r="C7" s="978"/>
      <c r="D7" s="585"/>
      <c r="E7" s="586"/>
      <c r="F7" s="587"/>
      <c r="G7" s="587"/>
      <c r="H7" s="587"/>
      <c r="I7" s="587"/>
      <c r="J7" s="971"/>
    </row>
    <row r="8" spans="1:10" x14ac:dyDescent="0.2">
      <c r="B8" s="970"/>
      <c r="C8" s="744" t="s">
        <v>591</v>
      </c>
      <c r="D8" s="572"/>
      <c r="E8" s="572"/>
      <c r="F8" s="572"/>
      <c r="H8" s="572"/>
      <c r="J8" s="971"/>
    </row>
    <row r="9" spans="1:10" x14ac:dyDescent="0.2">
      <c r="B9" s="970"/>
      <c r="C9" s="601" t="s">
        <v>587</v>
      </c>
      <c r="D9" s="631">
        <v>564</v>
      </c>
      <c r="E9" s="913">
        <v>110</v>
      </c>
      <c r="F9" s="913">
        <v>-452</v>
      </c>
      <c r="G9" s="913">
        <v>-820</v>
      </c>
      <c r="H9" s="913">
        <v>-1110</v>
      </c>
      <c r="I9" s="913">
        <f>H9</f>
        <v>-1110</v>
      </c>
      <c r="J9" s="971"/>
    </row>
    <row r="10" spans="1:10" x14ac:dyDescent="0.2">
      <c r="B10" s="970"/>
      <c r="C10" s="601" t="s">
        <v>573</v>
      </c>
      <c r="D10" s="631"/>
      <c r="E10" s="913">
        <v>177</v>
      </c>
      <c r="F10" s="913">
        <f>'Pension and OPRB 2016 Budget'!O11</f>
        <v>134.50516528925621</v>
      </c>
      <c r="G10" s="913">
        <f>'Pension and OPRB 2016 Budget'!P11</f>
        <v>98.473915289256198</v>
      </c>
      <c r="H10" s="913">
        <f>'Pension and OPRB 2016 Budget'!Q11</f>
        <v>88.5625</v>
      </c>
      <c r="I10" s="913">
        <f>'Pension and OPRB 2016 Budget'!R11</f>
        <v>88.5625</v>
      </c>
      <c r="J10" s="971"/>
    </row>
    <row r="11" spans="1:10" x14ac:dyDescent="0.2">
      <c r="B11" s="970"/>
      <c r="C11" s="601" t="s">
        <v>617</v>
      </c>
      <c r="D11" s="631"/>
      <c r="E11" s="913">
        <v>747</v>
      </c>
      <c r="F11" s="913">
        <f>'Pension and OPRB 2016 Budget'!O16</f>
        <v>631</v>
      </c>
      <c r="G11" s="913">
        <f>'Pension and OPRB 2016 Budget'!P16</f>
        <v>548</v>
      </c>
      <c r="H11" s="913">
        <f>'Pension and OPRB 2016 Budget'!Q16</f>
        <v>537</v>
      </c>
      <c r="I11" s="913">
        <f>'Pension and OPRB 2016 Budget'!R16</f>
        <v>537</v>
      </c>
      <c r="J11" s="971"/>
    </row>
    <row r="12" spans="1:10" x14ac:dyDescent="0.2">
      <c r="B12" s="970"/>
      <c r="C12" s="601" t="s">
        <v>618</v>
      </c>
      <c r="D12" s="631"/>
      <c r="E12" s="913">
        <v>190</v>
      </c>
      <c r="F12" s="913">
        <f>'Pension and OPRB 2016 Budget'!O17</f>
        <v>187</v>
      </c>
      <c r="G12" s="913">
        <f>'Pension and OPRB 2016 Budget'!P17</f>
        <v>172</v>
      </c>
      <c r="H12" s="913">
        <f>'Pension and OPRB 2016 Budget'!Q17</f>
        <v>166</v>
      </c>
      <c r="I12" s="913">
        <f>'Pension and OPRB 2016 Budget'!R17</f>
        <v>166</v>
      </c>
      <c r="J12" s="971"/>
    </row>
    <row r="13" spans="1:10" x14ac:dyDescent="0.2">
      <c r="B13" s="970"/>
      <c r="C13" s="630"/>
      <c r="D13" s="631"/>
      <c r="E13" s="127"/>
      <c r="F13" s="127"/>
      <c r="G13" s="127"/>
      <c r="H13" s="127"/>
      <c r="I13" s="127"/>
      <c r="J13" s="971"/>
    </row>
    <row r="14" spans="1:10" x14ac:dyDescent="0.2">
      <c r="B14" s="970"/>
      <c r="C14" s="964" t="s">
        <v>619</v>
      </c>
      <c r="D14" s="631"/>
      <c r="E14" s="127"/>
      <c r="F14" s="127"/>
      <c r="G14" s="127"/>
      <c r="H14" s="127"/>
      <c r="I14" s="127"/>
      <c r="J14" s="971"/>
    </row>
    <row r="15" spans="1:10" x14ac:dyDescent="0.2">
      <c r="B15" s="970"/>
      <c r="C15" s="601" t="s">
        <v>588</v>
      </c>
      <c r="D15" s="631"/>
      <c r="E15" s="127">
        <f>E40</f>
        <v>1590.3240441176465</v>
      </c>
      <c r="F15" s="127">
        <f t="shared" ref="F15:I15" si="0">F40</f>
        <v>1671.6313690921424</v>
      </c>
      <c r="G15" s="127">
        <f t="shared" si="0"/>
        <v>1738.3412009935096</v>
      </c>
      <c r="H15" s="127">
        <f t="shared" si="0"/>
        <v>1800.2587348028703</v>
      </c>
      <c r="I15" s="127">
        <f t="shared" si="0"/>
        <v>1865.6381553503188</v>
      </c>
      <c r="J15" s="971"/>
    </row>
    <row r="16" spans="1:10" x14ac:dyDescent="0.2">
      <c r="B16" s="970"/>
      <c r="C16" s="601" t="s">
        <v>573</v>
      </c>
      <c r="D16" s="631"/>
      <c r="E16" s="127">
        <f>E50</f>
        <v>210.89965498999945</v>
      </c>
      <c r="F16" s="127">
        <f t="shared" ref="F16:I16" si="1">F50</f>
        <v>228.9999999999998</v>
      </c>
      <c r="G16" s="127">
        <f t="shared" si="1"/>
        <v>234</v>
      </c>
      <c r="H16" s="127">
        <f t="shared" si="1"/>
        <v>241</v>
      </c>
      <c r="I16" s="127">
        <f t="shared" si="1"/>
        <v>248.00000000000011</v>
      </c>
      <c r="J16" s="971"/>
    </row>
    <row r="17" spans="2:10" x14ac:dyDescent="0.2">
      <c r="B17" s="970"/>
      <c r="C17" s="601" t="s">
        <v>617</v>
      </c>
      <c r="D17" s="631"/>
      <c r="E17" s="913">
        <v>747</v>
      </c>
      <c r="F17" s="127">
        <f>F11</f>
        <v>631</v>
      </c>
      <c r="G17" s="127">
        <f>-'HOOP - hospital'!S19</f>
        <v>1058.4909661281924</v>
      </c>
      <c r="H17" s="127">
        <f>-'HOOP - hospital'!T19</f>
        <v>1120.3279302646379</v>
      </c>
      <c r="I17" s="127">
        <f>-'HOOP - hospital'!U19</f>
        <v>1185.7774052830598</v>
      </c>
      <c r="J17" s="971"/>
    </row>
    <row r="18" spans="2:10" x14ac:dyDescent="0.2">
      <c r="B18" s="970"/>
      <c r="C18" s="601" t="s">
        <v>618</v>
      </c>
      <c r="D18" s="631"/>
      <c r="E18" s="913">
        <v>190</v>
      </c>
      <c r="F18" s="127">
        <f>-ROUND(CAATPP!O18/1000,0)</f>
        <v>224</v>
      </c>
      <c r="G18" s="127">
        <f>-ROUND(CAATPP!P18/1000,0)</f>
        <v>242</v>
      </c>
      <c r="H18" s="127">
        <f>-ROUND(CAATPP!Q18/1000,0)</f>
        <v>262</v>
      </c>
      <c r="I18" s="127">
        <f>-ROUND(CAATPP!R18/1000,0)</f>
        <v>284</v>
      </c>
      <c r="J18" s="971"/>
    </row>
    <row r="19" spans="2:10" x14ac:dyDescent="0.2">
      <c r="B19" s="970"/>
      <c r="C19" s="630"/>
      <c r="D19" s="631"/>
      <c r="E19" s="127"/>
      <c r="F19" s="127"/>
      <c r="G19" s="127"/>
      <c r="H19" s="127"/>
      <c r="I19" s="127"/>
      <c r="J19" s="971"/>
    </row>
    <row r="20" spans="2:10" x14ac:dyDescent="0.2">
      <c r="B20" s="970"/>
      <c r="C20" s="964" t="s">
        <v>589</v>
      </c>
      <c r="D20" s="631"/>
      <c r="E20" s="127"/>
      <c r="F20" s="127"/>
      <c r="G20" s="127"/>
      <c r="H20" s="127"/>
      <c r="I20" s="127"/>
      <c r="J20" s="971"/>
    </row>
    <row r="21" spans="2:10" x14ac:dyDescent="0.2">
      <c r="B21" s="970"/>
      <c r="C21" s="601" t="s">
        <v>588</v>
      </c>
      <c r="D21" s="631"/>
      <c r="E21" s="127">
        <f>E15-E9</f>
        <v>1480.3240441176465</v>
      </c>
      <c r="F21" s="127">
        <f t="shared" ref="F21:I21" si="2">F15-F9</f>
        <v>2123.6313690921424</v>
      </c>
      <c r="G21" s="127">
        <f t="shared" si="2"/>
        <v>2558.3412009935096</v>
      </c>
      <c r="H21" s="127">
        <f t="shared" si="2"/>
        <v>2910.2587348028701</v>
      </c>
      <c r="I21" s="127">
        <f t="shared" si="2"/>
        <v>2975.6381553503188</v>
      </c>
      <c r="J21" s="971"/>
    </row>
    <row r="22" spans="2:10" x14ac:dyDescent="0.2">
      <c r="B22" s="970"/>
      <c r="C22" s="601" t="s">
        <v>573</v>
      </c>
      <c r="D22" s="631"/>
      <c r="E22" s="127">
        <f>E16-E10</f>
        <v>33.899654989999448</v>
      </c>
      <c r="F22" s="127">
        <f t="shared" ref="F22:I22" si="3">F16-F10</f>
        <v>94.494834710743589</v>
      </c>
      <c r="G22" s="127">
        <f t="shared" si="3"/>
        <v>135.52608471074382</v>
      </c>
      <c r="H22" s="127">
        <f t="shared" si="3"/>
        <v>152.4375</v>
      </c>
      <c r="I22" s="127">
        <f t="shared" si="3"/>
        <v>159.43750000000011</v>
      </c>
      <c r="J22" s="971"/>
    </row>
    <row r="23" spans="2:10" x14ac:dyDescent="0.2">
      <c r="B23" s="970"/>
      <c r="C23" s="601" t="s">
        <v>617</v>
      </c>
      <c r="D23" s="631"/>
      <c r="E23" s="127">
        <f>E17-E11</f>
        <v>0</v>
      </c>
      <c r="F23" s="127">
        <f t="shared" ref="F23:I23" si="4">F17-F11</f>
        <v>0</v>
      </c>
      <c r="G23" s="127">
        <f t="shared" si="4"/>
        <v>510.49096612819244</v>
      </c>
      <c r="H23" s="127">
        <f t="shared" si="4"/>
        <v>583.32793026463787</v>
      </c>
      <c r="I23" s="127">
        <f t="shared" si="4"/>
        <v>648.77740528305981</v>
      </c>
      <c r="J23" s="971"/>
    </row>
    <row r="24" spans="2:10" x14ac:dyDescent="0.2">
      <c r="B24" s="970"/>
      <c r="C24" s="601" t="s">
        <v>618</v>
      </c>
      <c r="D24" s="631"/>
      <c r="E24" s="127">
        <f>E18-E12</f>
        <v>0</v>
      </c>
      <c r="F24" s="127">
        <f t="shared" ref="F24:I24" si="5">F18-F12</f>
        <v>37</v>
      </c>
      <c r="G24" s="127">
        <f t="shared" si="5"/>
        <v>70</v>
      </c>
      <c r="H24" s="127">
        <f t="shared" si="5"/>
        <v>96</v>
      </c>
      <c r="I24" s="127">
        <f t="shared" si="5"/>
        <v>118</v>
      </c>
      <c r="J24" s="971"/>
    </row>
    <row r="25" spans="2:10" ht="13.5" thickBot="1" x14ac:dyDescent="0.25">
      <c r="B25" s="970"/>
      <c r="C25" s="630"/>
      <c r="D25" s="631"/>
      <c r="E25" s="127"/>
      <c r="F25" s="127"/>
      <c r="G25" s="127"/>
      <c r="H25" s="127"/>
      <c r="I25" s="127"/>
      <c r="J25" s="971"/>
    </row>
    <row r="26" spans="2:10" ht="13.5" thickBot="1" x14ac:dyDescent="0.25">
      <c r="B26" s="970"/>
      <c r="C26" s="974" t="s">
        <v>590</v>
      </c>
      <c r="D26" s="975"/>
      <c r="E26" s="976">
        <f>SUM(E21:E24)</f>
        <v>1514.2236991076459</v>
      </c>
      <c r="F26" s="976">
        <f>SUM(F21:F24)</f>
        <v>2255.1262038028863</v>
      </c>
      <c r="G26" s="976">
        <f>SUM(G21:G24)</f>
        <v>3274.3582518324456</v>
      </c>
      <c r="H26" s="976">
        <f>SUM(H21:H24)</f>
        <v>3742.024165067508</v>
      </c>
      <c r="I26" s="977">
        <f>SUM(I21:I24)</f>
        <v>3901.8530606333788</v>
      </c>
      <c r="J26" s="971"/>
    </row>
    <row r="27" spans="2:10" x14ac:dyDescent="0.2">
      <c r="B27" s="972"/>
      <c r="C27" s="597"/>
      <c r="D27" s="598"/>
      <c r="E27" s="125"/>
      <c r="F27" s="125"/>
      <c r="G27" s="125"/>
      <c r="H27" s="125"/>
      <c r="I27" s="125"/>
      <c r="J27" s="973"/>
    </row>
    <row r="28" spans="2:10" x14ac:dyDescent="0.2">
      <c r="B28" s="573"/>
      <c r="C28" s="630"/>
      <c r="D28" s="631"/>
      <c r="E28" s="121"/>
      <c r="F28" s="121"/>
      <c r="G28" s="121"/>
      <c r="H28" s="121"/>
      <c r="I28" s="121"/>
    </row>
    <row r="29" spans="2:10" x14ac:dyDescent="0.2">
      <c r="B29" s="573"/>
      <c r="C29" s="630" t="s">
        <v>595</v>
      </c>
      <c r="D29" s="631"/>
      <c r="E29" s="121"/>
      <c r="F29" s="121"/>
      <c r="G29" s="121"/>
      <c r="H29" s="121"/>
      <c r="I29" s="121"/>
    </row>
    <row r="30" spans="2:10" x14ac:dyDescent="0.2">
      <c r="B30" s="573"/>
      <c r="C30" s="601" t="s">
        <v>597</v>
      </c>
      <c r="D30" s="631"/>
      <c r="E30" s="121"/>
      <c r="F30" s="121"/>
      <c r="G30" s="121"/>
      <c r="H30" s="121"/>
      <c r="I30" s="121"/>
    </row>
    <row r="31" spans="2:10" x14ac:dyDescent="0.2">
      <c r="B31" s="573"/>
      <c r="C31" s="601" t="s">
        <v>596</v>
      </c>
      <c r="D31" s="631"/>
      <c r="E31" s="121"/>
      <c r="F31" s="121"/>
      <c r="G31" s="121"/>
      <c r="H31" s="121"/>
      <c r="I31" s="121"/>
    </row>
    <row r="32" spans="2:10" x14ac:dyDescent="0.2">
      <c r="B32" s="573"/>
      <c r="C32" s="630"/>
      <c r="D32" s="631"/>
      <c r="E32" s="121"/>
      <c r="F32" s="121"/>
      <c r="G32" s="121"/>
      <c r="H32" s="121"/>
      <c r="I32" s="121"/>
    </row>
    <row r="33" spans="2:10" x14ac:dyDescent="0.2">
      <c r="B33" s="573"/>
      <c r="C33" s="630"/>
      <c r="D33" s="631"/>
      <c r="E33" s="121"/>
      <c r="F33" s="121"/>
      <c r="G33" s="121"/>
      <c r="H33" s="121"/>
      <c r="I33" s="121"/>
    </row>
    <row r="34" spans="2:10" x14ac:dyDescent="0.2">
      <c r="B34" s="573"/>
      <c r="C34" s="630"/>
      <c r="D34" s="631"/>
      <c r="E34" s="121"/>
      <c r="F34" s="121"/>
      <c r="G34" s="121"/>
      <c r="H34" s="121"/>
      <c r="I34" s="121"/>
    </row>
    <row r="35" spans="2:10" x14ac:dyDescent="0.2">
      <c r="B35" s="573"/>
      <c r="C35" s="630"/>
      <c r="D35" s="631"/>
      <c r="E35" s="121"/>
      <c r="F35" s="121"/>
      <c r="G35" s="121"/>
      <c r="H35" s="121"/>
      <c r="I35" s="121"/>
    </row>
    <row r="36" spans="2:10" hidden="1" outlineLevel="1" x14ac:dyDescent="0.2">
      <c r="B36" s="573"/>
      <c r="C36" s="630"/>
      <c r="D36" s="631"/>
      <c r="E36" s="121"/>
      <c r="F36" s="121"/>
      <c r="G36" s="121"/>
      <c r="H36" s="121"/>
      <c r="I36" s="121"/>
    </row>
    <row r="37" spans="2:10" hidden="1" outlineLevel="1" x14ac:dyDescent="0.2">
      <c r="B37" s="573"/>
      <c r="C37" s="601" t="s">
        <v>568</v>
      </c>
      <c r="D37" s="603"/>
      <c r="E37" s="121">
        <f>'OTPP expense (excluding RCA)'!AB19</f>
        <v>118.32404411764651</v>
      </c>
      <c r="F37" s="121">
        <f>'OTPP expense (excluding RCA)'!AC19</f>
        <v>-459.36863090785755</v>
      </c>
      <c r="G37" s="121">
        <f>'OTPP expense (excluding RCA)'!AD19</f>
        <v>-825.65879900649043</v>
      </c>
      <c r="H37" s="121">
        <f>'OTPP expense (excluding RCA)'!AE19</f>
        <v>-1116.7412651971297</v>
      </c>
      <c r="I37" s="121">
        <f>'OTPP expense (excluding RCA)'!AF19</f>
        <v>-1358.3618446496812</v>
      </c>
    </row>
    <row r="38" spans="2:10" hidden="1" outlineLevel="1" x14ac:dyDescent="0.2">
      <c r="B38" s="573"/>
      <c r="C38" s="573" t="s">
        <v>567</v>
      </c>
      <c r="D38" s="605"/>
      <c r="E38" s="121">
        <f>ROUND('RCA exp'!V15+'RCA exp'!V33,0)</f>
        <v>-8</v>
      </c>
      <c r="F38" s="121">
        <f>ROUND('RCA exp'!W15,0)</f>
        <v>7</v>
      </c>
      <c r="G38" s="121">
        <f>ROUND('RCA exp'!X15,0)</f>
        <v>6</v>
      </c>
      <c r="H38" s="121">
        <f>ROUND('RCA exp'!Y15,0)</f>
        <v>6</v>
      </c>
      <c r="I38" s="121">
        <f>ROUND('RCA exp'!Z15,0)</f>
        <v>8</v>
      </c>
    </row>
    <row r="39" spans="2:10" hidden="1" outlineLevel="1" x14ac:dyDescent="0.2">
      <c r="B39" s="573"/>
      <c r="C39" s="573" t="s">
        <v>570</v>
      </c>
      <c r="D39" s="605"/>
      <c r="E39" s="125">
        <f>'OTPP excluding (RCA) liability'!AB47</f>
        <v>1480</v>
      </c>
      <c r="F39" s="125">
        <f>'OTPP excluding (RCA) liability'!AC47</f>
        <v>2124</v>
      </c>
      <c r="G39" s="125">
        <f>'OTPP excluding (RCA) liability'!AD47</f>
        <v>2558</v>
      </c>
      <c r="H39" s="125">
        <f>'OTPP excluding (RCA) liability'!AE47</f>
        <v>2911</v>
      </c>
      <c r="I39" s="125">
        <f>'OTPP excluding (RCA) liability'!AF47</f>
        <v>3216</v>
      </c>
    </row>
    <row r="40" spans="2:10" ht="15.75" hidden="1" outlineLevel="1" x14ac:dyDescent="0.25">
      <c r="B40" s="573"/>
      <c r="C40" s="838" t="s">
        <v>569</v>
      </c>
      <c r="D40" s="839"/>
      <c r="E40" s="215">
        <f>SUM(E37:E39)</f>
        <v>1590.3240441176465</v>
      </c>
      <c r="F40" s="215">
        <f t="shared" ref="F40:I40" si="6">SUM(F37:F39)</f>
        <v>1671.6313690921424</v>
      </c>
      <c r="G40" s="215">
        <f t="shared" si="6"/>
        <v>1738.3412009935096</v>
      </c>
      <c r="H40" s="215">
        <f t="shared" si="6"/>
        <v>1800.2587348028703</v>
      </c>
      <c r="I40" s="215">
        <f t="shared" si="6"/>
        <v>1865.6381553503188</v>
      </c>
      <c r="J40" s="606"/>
    </row>
    <row r="41" spans="2:10" hidden="1" outlineLevel="1" x14ac:dyDescent="0.2">
      <c r="B41" s="573"/>
      <c r="C41" s="573"/>
      <c r="E41" s="121"/>
      <c r="F41" s="121"/>
      <c r="G41" s="121"/>
      <c r="H41" s="121"/>
      <c r="I41" s="121"/>
    </row>
    <row r="42" spans="2:10" hidden="1" outlineLevel="1" x14ac:dyDescent="0.2">
      <c r="C42" s="569" t="s">
        <v>571</v>
      </c>
      <c r="E42" s="121">
        <f>E40-E9</f>
        <v>1480.3240441176465</v>
      </c>
      <c r="F42" s="121">
        <f t="shared" ref="F42:I42" si="7">F40-F9</f>
        <v>2123.6313690921424</v>
      </c>
      <c r="G42" s="121">
        <f t="shared" si="7"/>
        <v>2558.3412009935096</v>
      </c>
      <c r="H42" s="121">
        <f t="shared" si="7"/>
        <v>2910.2587348028701</v>
      </c>
      <c r="I42" s="121">
        <f t="shared" si="7"/>
        <v>2975.6381553503188</v>
      </c>
    </row>
    <row r="43" spans="2:10" hidden="1" outlineLevel="1" x14ac:dyDescent="0.2">
      <c r="E43" s="121"/>
      <c r="F43" s="121"/>
      <c r="G43" s="121"/>
      <c r="H43" s="121"/>
      <c r="I43" s="121"/>
    </row>
    <row r="44" spans="2:10" hidden="1" outlineLevel="2" x14ac:dyDescent="0.2">
      <c r="C44" s="569" t="s">
        <v>592</v>
      </c>
      <c r="E44" s="121">
        <f>ROUND('Data Input'!AC46,0)</f>
        <v>1598</v>
      </c>
      <c r="F44" s="121">
        <f>ROUND('Data Input'!AD46,0)</f>
        <v>1664</v>
      </c>
      <c r="G44" s="121">
        <f>ROUND('Data Input'!AE46,0)</f>
        <v>1733</v>
      </c>
      <c r="H44" s="121">
        <f>ROUND('Data Input'!AF46,0)</f>
        <v>1794</v>
      </c>
      <c r="I44" s="121">
        <f>ROUND('Data Input'!AG46,0)</f>
        <v>1858</v>
      </c>
    </row>
    <row r="45" spans="2:10" hidden="1" outlineLevel="2" x14ac:dyDescent="0.2">
      <c r="C45" s="569" t="s">
        <v>572</v>
      </c>
      <c r="E45" s="125">
        <f>E38</f>
        <v>-8</v>
      </c>
      <c r="F45" s="125">
        <f t="shared" ref="F45:I45" si="8">F38</f>
        <v>7</v>
      </c>
      <c r="G45" s="125">
        <f t="shared" si="8"/>
        <v>6</v>
      </c>
      <c r="H45" s="125">
        <f t="shared" si="8"/>
        <v>6</v>
      </c>
      <c r="I45" s="125">
        <f t="shared" si="8"/>
        <v>8</v>
      </c>
    </row>
    <row r="46" spans="2:10" ht="15.75" hidden="1" outlineLevel="2" x14ac:dyDescent="0.25">
      <c r="C46" s="838" t="s">
        <v>569</v>
      </c>
      <c r="E46" s="837">
        <f>E44+E45</f>
        <v>1590</v>
      </c>
      <c r="F46" s="837">
        <f t="shared" ref="F46:I46" si="9">F44+F45</f>
        <v>1671</v>
      </c>
      <c r="G46" s="837">
        <f t="shared" si="9"/>
        <v>1739</v>
      </c>
      <c r="H46" s="837">
        <f t="shared" si="9"/>
        <v>1800</v>
      </c>
      <c r="I46" s="837">
        <f t="shared" si="9"/>
        <v>1866</v>
      </c>
    </row>
    <row r="47" spans="2:10" hidden="1" outlineLevel="1" collapsed="1" x14ac:dyDescent="0.2">
      <c r="E47" s="121"/>
      <c r="F47" s="121"/>
      <c r="G47" s="121"/>
      <c r="H47" s="121"/>
      <c r="I47" s="121"/>
    </row>
    <row r="48" spans="2:10" hidden="1" outlineLevel="1" x14ac:dyDescent="0.2">
      <c r="C48" s="601" t="s">
        <v>584</v>
      </c>
      <c r="E48" s="121">
        <f>'OPSEU expense'!W18-3</f>
        <v>177.18266528925628</v>
      </c>
      <c r="F48" s="121">
        <f>'OPSEU expense'!X18</f>
        <v>134.47391528925621</v>
      </c>
      <c r="G48" s="121">
        <f>'OPSEU expense'!Y18</f>
        <v>98.473915289256198</v>
      </c>
      <c r="H48" s="121">
        <f>'OPSEU expense'!Z18</f>
        <v>88.5625</v>
      </c>
      <c r="I48" s="121">
        <f>'OPSEU expense'!AA18</f>
        <v>98.703125</v>
      </c>
    </row>
    <row r="49" spans="3:9" hidden="1" outlineLevel="1" x14ac:dyDescent="0.2">
      <c r="C49" s="573" t="s">
        <v>570</v>
      </c>
      <c r="E49" s="125">
        <f>-('OPSEU liability'!W14-'OPSEU liability'!V14)</f>
        <v>33.71698970074317</v>
      </c>
      <c r="F49" s="125">
        <f>-('OPSEU liability'!X14-'OPSEU liability'!W14)</f>
        <v>94.526084710743589</v>
      </c>
      <c r="G49" s="125">
        <f>-('OPSEU liability'!Y14-'OPSEU liability'!X14)</f>
        <v>135.52608471074382</v>
      </c>
      <c r="H49" s="125">
        <f>-('OPSEU liability'!Z14-'OPSEU liability'!Y14)</f>
        <v>152.4375</v>
      </c>
      <c r="I49" s="125">
        <f>-('OPSEU liability'!AA14-'OPSEU liability'!Z14)</f>
        <v>149.29687500000011</v>
      </c>
    </row>
    <row r="50" spans="3:9" ht="15.75" hidden="1" outlineLevel="1" x14ac:dyDescent="0.25">
      <c r="C50" s="838" t="s">
        <v>585</v>
      </c>
      <c r="E50" s="565">
        <f>SUM(E48:E49)</f>
        <v>210.89965498999945</v>
      </c>
      <c r="F50" s="565">
        <f t="shared" ref="F50:I50" si="10">SUM(F48:F49)</f>
        <v>228.9999999999998</v>
      </c>
      <c r="G50" s="565">
        <f t="shared" si="10"/>
        <v>234</v>
      </c>
      <c r="H50" s="565">
        <f t="shared" si="10"/>
        <v>241</v>
      </c>
      <c r="I50" s="565">
        <f t="shared" si="10"/>
        <v>248.00000000000011</v>
      </c>
    </row>
    <row r="51" spans="3:9" ht="15.75" hidden="1" outlineLevel="1" x14ac:dyDescent="0.25">
      <c r="C51" s="838"/>
      <c r="E51" s="127"/>
      <c r="F51" s="127"/>
      <c r="G51" s="127"/>
      <c r="H51" s="127"/>
      <c r="I51" s="127"/>
    </row>
    <row r="52" spans="3:9" hidden="1" outlineLevel="1" x14ac:dyDescent="0.2">
      <c r="C52" s="569" t="s">
        <v>586</v>
      </c>
      <c r="E52" s="837">
        <f>-('OPSEU liability'!W20+3)</f>
        <v>210.89965498999999</v>
      </c>
      <c r="F52" s="837">
        <f>-'OPSEU liability'!X20</f>
        <v>229</v>
      </c>
      <c r="G52" s="837">
        <f>-'OPSEU liability'!Y20</f>
        <v>234</v>
      </c>
      <c r="H52" s="837">
        <f>-'OPSEU liability'!Z20</f>
        <v>241</v>
      </c>
      <c r="I52" s="837">
        <f>-'OPSEU liability'!AA20</f>
        <v>248</v>
      </c>
    </row>
    <row r="53" spans="3:9" hidden="1" outlineLevel="1" x14ac:dyDescent="0.2">
      <c r="E53" s="121"/>
      <c r="F53" s="121"/>
      <c r="G53" s="121"/>
      <c r="H53" s="121"/>
      <c r="I53" s="121"/>
    </row>
    <row r="54" spans="3:9" collapsed="1" x14ac:dyDescent="0.2">
      <c r="E54" s="121"/>
      <c r="F54" s="121"/>
      <c r="G54" s="121"/>
      <c r="H54" s="121"/>
      <c r="I54" s="121"/>
    </row>
    <row r="55" spans="3:9" x14ac:dyDescent="0.2">
      <c r="E55" s="121"/>
      <c r="F55" s="121"/>
      <c r="G55" s="121"/>
      <c r="H55" s="121"/>
      <c r="I55" s="121"/>
    </row>
  </sheetData>
  <pageMargins left="0.47244094488188981" right="0.59055118110236227" top="0.98425196850393704" bottom="0.98425196850393704" header="0.51181102362204722" footer="0.51181102362204722"/>
  <pageSetup scale="76" orientation="landscape" cellComments="asDisplayed" r:id="rId1"/>
  <headerFooter alignWithMargins="0">
    <oddFooter>&amp;L&amp;F&amp;R&amp;D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AF51"/>
  <sheetViews>
    <sheetView workbookViewId="0">
      <pane xSplit="6" ySplit="4" topLeftCell="S8" activePane="bottomRight" state="frozen"/>
      <selection activeCell="AE23" sqref="AE23"/>
      <selection pane="topRight" activeCell="AE23" sqref="AE23"/>
      <selection pane="bottomLeft" activeCell="AE23" sqref="AE23"/>
      <selection pane="bottomRight" activeCell="AE23" sqref="AE23"/>
    </sheetView>
  </sheetViews>
  <sheetFormatPr defaultRowHeight="12.75" outlineLevelCol="1" x14ac:dyDescent="0.2"/>
  <cols>
    <col min="1" max="1" width="41.140625" customWidth="1"/>
    <col min="2" max="2" width="26.7109375" customWidth="1"/>
    <col min="3" max="4" width="0" hidden="1" customWidth="1"/>
    <col min="5" max="5" width="8.85546875" hidden="1" customWidth="1"/>
    <col min="6" max="6" width="11.5703125" hidden="1" customWidth="1"/>
    <col min="7" max="11" width="11.5703125" customWidth="1" outlineLevel="1"/>
    <col min="12" max="12" width="18" customWidth="1" outlineLevel="1"/>
    <col min="13" max="13" width="18.140625" customWidth="1" outlineLevel="1"/>
    <col min="14" max="14" width="11" customWidth="1" outlineLevel="1"/>
    <col min="15" max="15" width="12" customWidth="1" outlineLevel="1"/>
    <col min="16" max="16" width="13.42578125" customWidth="1" outlineLevel="1"/>
    <col min="17" max="17" width="13.42578125" style="115" customWidth="1" outlineLevel="1"/>
    <col min="18" max="18" width="15" style="115" customWidth="1" outlineLevel="1"/>
    <col min="19" max="19" width="14.42578125" style="115" customWidth="1" outlineLevel="1"/>
    <col min="20" max="20" width="13.42578125" style="115" customWidth="1" outlineLevel="1"/>
    <col min="21" max="25" width="13.42578125" style="115" bestFit="1" customWidth="1"/>
    <col min="26" max="26" width="15.140625" style="115" customWidth="1"/>
    <col min="27" max="27" width="14.5703125" style="115" bestFit="1" customWidth="1"/>
    <col min="28" max="28" width="15.5703125" style="115" bestFit="1" customWidth="1"/>
    <col min="29" max="32" width="10.42578125" style="115" customWidth="1" outlineLevel="1"/>
  </cols>
  <sheetData>
    <row r="1" spans="1:32" ht="15.75" x14ac:dyDescent="0.25">
      <c r="A1" s="18" t="s">
        <v>67</v>
      </c>
      <c r="AB1" s="338"/>
      <c r="AC1" s="858"/>
      <c r="AD1" s="858"/>
      <c r="AE1" s="859" t="s">
        <v>519</v>
      </c>
      <c r="AF1" s="858"/>
    </row>
    <row r="2" spans="1:32" x14ac:dyDescent="0.2">
      <c r="A2" s="2" t="s">
        <v>195</v>
      </c>
      <c r="AB2" s="338"/>
      <c r="AC2" s="858"/>
      <c r="AD2" s="858"/>
      <c r="AE2" s="858"/>
      <c r="AF2" s="858"/>
    </row>
    <row r="3" spans="1:32" x14ac:dyDescent="0.2">
      <c r="Z3" s="339" t="s">
        <v>178</v>
      </c>
      <c r="AA3" s="339" t="s">
        <v>294</v>
      </c>
      <c r="AB3" s="337" t="s">
        <v>309</v>
      </c>
      <c r="AC3" s="860" t="s">
        <v>315</v>
      </c>
      <c r="AD3" s="860" t="s">
        <v>316</v>
      </c>
      <c r="AE3" s="860" t="s">
        <v>317</v>
      </c>
      <c r="AF3" s="860" t="s">
        <v>318</v>
      </c>
    </row>
    <row r="4" spans="1:32" s="2" customFormat="1" ht="13.5" thickBot="1" x14ac:dyDescent="0.25">
      <c r="A4" s="19" t="s">
        <v>1</v>
      </c>
      <c r="B4" s="20" t="s">
        <v>26</v>
      </c>
      <c r="C4" s="20">
        <v>1990</v>
      </c>
      <c r="D4" s="20">
        <v>1991</v>
      </c>
      <c r="E4" s="20">
        <v>1992</v>
      </c>
      <c r="F4" s="20">
        <v>1993</v>
      </c>
      <c r="G4" s="20">
        <v>1994</v>
      </c>
      <c r="H4" s="20">
        <v>1995</v>
      </c>
      <c r="I4" s="20">
        <v>1996</v>
      </c>
      <c r="J4" s="20">
        <v>1997</v>
      </c>
      <c r="K4" s="20">
        <v>1998</v>
      </c>
      <c r="L4" s="20">
        <v>1999</v>
      </c>
      <c r="M4" s="20">
        <v>2000</v>
      </c>
      <c r="N4" s="20">
        <v>2001</v>
      </c>
      <c r="O4" s="20">
        <v>2002</v>
      </c>
      <c r="P4" s="20">
        <v>2003</v>
      </c>
      <c r="Q4" s="116">
        <v>2004</v>
      </c>
      <c r="R4" s="116">
        <v>2005</v>
      </c>
      <c r="S4" s="116">
        <v>2006</v>
      </c>
      <c r="T4" s="116">
        <v>2007</v>
      </c>
      <c r="U4" s="116">
        <v>2008</v>
      </c>
      <c r="V4" s="116">
        <v>2009</v>
      </c>
      <c r="W4" s="116">
        <v>2010</v>
      </c>
      <c r="X4" s="116">
        <v>2011</v>
      </c>
      <c r="Y4" s="116">
        <v>2012</v>
      </c>
      <c r="Z4" s="116">
        <v>2013</v>
      </c>
      <c r="AA4" s="116">
        <v>2014</v>
      </c>
      <c r="AB4" s="342">
        <v>2015</v>
      </c>
      <c r="AC4" s="861">
        <v>2016</v>
      </c>
      <c r="AD4" s="861">
        <v>2017</v>
      </c>
      <c r="AE4" s="861">
        <v>2018</v>
      </c>
      <c r="AF4" s="862">
        <v>2019</v>
      </c>
    </row>
    <row r="5" spans="1:32" x14ac:dyDescent="0.2">
      <c r="AB5" s="338"/>
      <c r="AC5" s="858"/>
      <c r="AD5" s="858"/>
      <c r="AE5" s="858"/>
      <c r="AF5" s="858"/>
    </row>
    <row r="6" spans="1:32" s="3" customFormat="1" x14ac:dyDescent="0.2">
      <c r="A6" s="12" t="s">
        <v>236</v>
      </c>
      <c r="Q6" s="121"/>
      <c r="R6" s="121"/>
      <c r="S6" s="121"/>
      <c r="T6" s="121"/>
      <c r="U6" s="121"/>
      <c r="V6" s="121"/>
      <c r="W6" s="121"/>
      <c r="X6" s="121"/>
      <c r="Y6" s="121"/>
      <c r="Z6" s="121"/>
      <c r="AA6" s="121"/>
      <c r="AB6" s="345"/>
      <c r="AC6" s="863"/>
      <c r="AD6" s="863"/>
      <c r="AE6" s="863"/>
      <c r="AF6" s="863"/>
    </row>
    <row r="7" spans="1:32" s="3" customFormat="1" x14ac:dyDescent="0.2">
      <c r="Q7" s="121"/>
      <c r="R7" s="121"/>
      <c r="S7" s="121"/>
      <c r="T7" s="121"/>
      <c r="U7" s="121"/>
      <c r="V7" s="121"/>
      <c r="W7" s="121"/>
      <c r="X7" s="121"/>
      <c r="Y7" s="121"/>
      <c r="Z7" s="121"/>
      <c r="AA7" s="121"/>
      <c r="AB7" s="345"/>
      <c r="AC7" s="863"/>
      <c r="AD7" s="863"/>
      <c r="AE7" s="863"/>
      <c r="AF7" s="863"/>
    </row>
    <row r="8" spans="1:32" s="3" customFormat="1" x14ac:dyDescent="0.2">
      <c r="A8" s="3" t="s">
        <v>197</v>
      </c>
      <c r="B8" s="3" t="s">
        <v>238</v>
      </c>
      <c r="C8" s="3">
        <f>C30/2</f>
        <v>12195.5</v>
      </c>
      <c r="D8" s="3">
        <f>D30/2</f>
        <v>13739.5</v>
      </c>
      <c r="E8" s="3">
        <f>E30/2</f>
        <v>15390.5</v>
      </c>
      <c r="F8" s="3">
        <f>F30/2</f>
        <v>16999</v>
      </c>
      <c r="G8" s="3">
        <f t="shared" ref="G8:M8" si="0">G30/2</f>
        <v>18424</v>
      </c>
      <c r="H8" s="3">
        <f t="shared" si="0"/>
        <v>19503.5</v>
      </c>
      <c r="I8" s="3">
        <f t="shared" si="0"/>
        <v>20916.5</v>
      </c>
      <c r="J8" s="3">
        <f t="shared" si="0"/>
        <v>23235</v>
      </c>
      <c r="K8" s="3">
        <f t="shared" si="0"/>
        <v>24317.5</v>
      </c>
      <c r="L8" s="3">
        <f t="shared" si="0"/>
        <v>25173</v>
      </c>
      <c r="M8" s="3">
        <f t="shared" si="0"/>
        <v>27543.5</v>
      </c>
      <c r="N8" s="567">
        <f>N30/2</f>
        <v>32184.5</v>
      </c>
      <c r="O8" s="3">
        <f t="shared" ref="O8:P10" si="1">O30/2</f>
        <v>33659.5</v>
      </c>
      <c r="P8" s="3">
        <f t="shared" si="1"/>
        <v>35504.5</v>
      </c>
      <c r="Q8" s="121">
        <f t="shared" ref="Q8:U10" si="2">Q30/2</f>
        <v>37044.5</v>
      </c>
      <c r="R8" s="121">
        <f t="shared" si="2"/>
        <v>40185.5</v>
      </c>
      <c r="S8" s="121">
        <f t="shared" si="2"/>
        <v>41560</v>
      </c>
      <c r="T8" s="121">
        <f t="shared" si="2"/>
        <v>44178</v>
      </c>
      <c r="U8" s="121">
        <f t="shared" si="2"/>
        <v>46011</v>
      </c>
      <c r="V8" s="226">
        <f t="shared" ref="V8:W10" si="3">V30/2</f>
        <v>48304</v>
      </c>
      <c r="W8" s="121">
        <f t="shared" si="3"/>
        <v>49558.5</v>
      </c>
      <c r="X8" s="121">
        <f t="shared" ref="X8:Y10" si="4">X30/2</f>
        <v>51846.5</v>
      </c>
      <c r="Y8" s="121">
        <f t="shared" si="4"/>
        <v>52977</v>
      </c>
      <c r="Z8" s="121">
        <f t="shared" ref="Z8:AA10" si="5">Z30/2</f>
        <v>54762</v>
      </c>
      <c r="AA8" s="121">
        <f t="shared" si="5"/>
        <v>56900.5</v>
      </c>
      <c r="AB8" s="345">
        <f t="shared" ref="AB8:AC10" si="6">AB30/2</f>
        <v>58183.5</v>
      </c>
      <c r="AC8" s="863">
        <f t="shared" si="6"/>
        <v>60445.578869909761</v>
      </c>
      <c r="AD8" s="863">
        <f t="shared" ref="AD8:AE10" si="7">AD30/2</f>
        <v>62837.272937482718</v>
      </c>
      <c r="AE8" s="863">
        <f t="shared" si="7"/>
        <v>65362.388075468276</v>
      </c>
      <c r="AF8" s="863">
        <f t="shared" ref="AF8" si="8">AF30/2</f>
        <v>68033.241449586654</v>
      </c>
    </row>
    <row r="9" spans="1:32" s="3" customFormat="1" x14ac:dyDescent="0.2">
      <c r="A9" s="3" t="s">
        <v>206</v>
      </c>
      <c r="B9" s="3" t="s">
        <v>238</v>
      </c>
      <c r="C9" s="3">
        <f t="shared" ref="C9:F10" si="9">C31/2</f>
        <v>0</v>
      </c>
      <c r="D9" s="3">
        <f t="shared" si="9"/>
        <v>0</v>
      </c>
      <c r="E9" s="3">
        <f t="shared" si="9"/>
        <v>0</v>
      </c>
      <c r="F9" s="3">
        <f t="shared" si="9"/>
        <v>0</v>
      </c>
      <c r="G9" s="3">
        <f t="shared" ref="G9:N9" si="10">G31/2</f>
        <v>0</v>
      </c>
      <c r="H9" s="3">
        <f t="shared" si="10"/>
        <v>0</v>
      </c>
      <c r="I9" s="3">
        <f t="shared" si="10"/>
        <v>250</v>
      </c>
      <c r="J9" s="3">
        <f t="shared" si="10"/>
        <v>0</v>
      </c>
      <c r="K9" s="3">
        <f t="shared" si="10"/>
        <v>0</v>
      </c>
      <c r="L9" s="3">
        <f t="shared" si="10"/>
        <v>0</v>
      </c>
      <c r="M9" s="3">
        <f t="shared" si="10"/>
        <v>0</v>
      </c>
      <c r="N9" s="3">
        <f t="shared" si="10"/>
        <v>0</v>
      </c>
      <c r="O9" s="3">
        <f t="shared" si="1"/>
        <v>0</v>
      </c>
      <c r="P9" s="3">
        <f t="shared" si="1"/>
        <v>0</v>
      </c>
      <c r="Q9" s="121">
        <f t="shared" si="2"/>
        <v>0</v>
      </c>
      <c r="R9" s="121">
        <f t="shared" si="2"/>
        <v>0</v>
      </c>
      <c r="S9" s="121">
        <f t="shared" si="2"/>
        <v>0</v>
      </c>
      <c r="T9" s="121">
        <f t="shared" si="2"/>
        <v>0</v>
      </c>
      <c r="U9" s="121">
        <f t="shared" si="2"/>
        <v>0</v>
      </c>
      <c r="V9" s="226">
        <f t="shared" si="3"/>
        <v>0</v>
      </c>
      <c r="W9" s="121">
        <f t="shared" si="3"/>
        <v>0</v>
      </c>
      <c r="X9" s="121">
        <f t="shared" si="4"/>
        <v>0</v>
      </c>
      <c r="Y9" s="121">
        <f t="shared" si="4"/>
        <v>0</v>
      </c>
      <c r="Z9" s="121">
        <f t="shared" si="5"/>
        <v>0</v>
      </c>
      <c r="AA9" s="121">
        <f t="shared" si="5"/>
        <v>0</v>
      </c>
      <c r="AB9" s="345">
        <f t="shared" si="6"/>
        <v>0</v>
      </c>
      <c r="AC9" s="863">
        <f t="shared" si="6"/>
        <v>0</v>
      </c>
      <c r="AD9" s="863">
        <f t="shared" si="7"/>
        <v>0</v>
      </c>
      <c r="AE9" s="863">
        <f t="shared" si="7"/>
        <v>0</v>
      </c>
      <c r="AF9" s="863">
        <f t="shared" ref="AF9" si="11">AF31/2</f>
        <v>0</v>
      </c>
    </row>
    <row r="10" spans="1:32" s="3" customFormat="1" x14ac:dyDescent="0.2">
      <c r="A10" s="3" t="s">
        <v>198</v>
      </c>
      <c r="B10" s="3" t="s">
        <v>238</v>
      </c>
      <c r="C10" s="3">
        <f t="shared" si="9"/>
        <v>-10062</v>
      </c>
      <c r="D10" s="3">
        <f t="shared" si="9"/>
        <v>-12348.5</v>
      </c>
      <c r="E10" s="3">
        <f t="shared" si="9"/>
        <v>-13886.5</v>
      </c>
      <c r="F10" s="3">
        <f t="shared" si="9"/>
        <v>-16855.5</v>
      </c>
      <c r="G10" s="3">
        <f t="shared" ref="G10:M10" si="12">G32/2</f>
        <v>-17121</v>
      </c>
      <c r="H10" s="3">
        <f t="shared" si="12"/>
        <v>-19046</v>
      </c>
      <c r="I10" s="3">
        <f t="shared" si="12"/>
        <v>-21506.5</v>
      </c>
      <c r="J10" s="3">
        <f t="shared" si="12"/>
        <v>-24450.5</v>
      </c>
      <c r="K10" s="3">
        <f t="shared" si="12"/>
        <v>-27191</v>
      </c>
      <c r="L10" s="3">
        <f t="shared" si="12"/>
        <v>-30519.5</v>
      </c>
      <c r="M10" s="3">
        <f t="shared" si="12"/>
        <v>-34390</v>
      </c>
      <c r="N10" s="567">
        <f>N32/2</f>
        <v>-36214.5</v>
      </c>
      <c r="O10" s="3">
        <f t="shared" si="1"/>
        <v>-37928.5</v>
      </c>
      <c r="P10" s="3">
        <f t="shared" si="1"/>
        <v>-39578.5</v>
      </c>
      <c r="Q10" s="121">
        <f t="shared" si="2"/>
        <v>-41395.5</v>
      </c>
      <c r="R10" s="121">
        <f t="shared" si="2"/>
        <v>-44347</v>
      </c>
      <c r="S10" s="121">
        <f t="shared" si="2"/>
        <v>-47425</v>
      </c>
      <c r="T10" s="121">
        <f t="shared" si="2"/>
        <v>-52458.5</v>
      </c>
      <c r="U10" s="121">
        <f t="shared" si="2"/>
        <v>-53478.5</v>
      </c>
      <c r="V10" s="226">
        <f t="shared" si="3"/>
        <v>-54556</v>
      </c>
      <c r="W10" s="121">
        <f t="shared" si="3"/>
        <v>-57123</v>
      </c>
      <c r="X10" s="121">
        <f t="shared" si="4"/>
        <v>-57842.5</v>
      </c>
      <c r="Y10" s="121">
        <f t="shared" si="4"/>
        <v>-59932</v>
      </c>
      <c r="Z10" s="121">
        <f t="shared" si="5"/>
        <v>-65433.5</v>
      </c>
      <c r="AA10" s="121">
        <f t="shared" si="5"/>
        <v>-71538</v>
      </c>
      <c r="AB10" s="345">
        <f t="shared" si="6"/>
        <v>-78499</v>
      </c>
      <c r="AC10" s="863">
        <f t="shared" si="6"/>
        <v>-85402.937442314142</v>
      </c>
      <c r="AD10" s="863">
        <f t="shared" si="7"/>
        <v>-91866.574124607039</v>
      </c>
      <c r="AE10" s="863">
        <f t="shared" si="7"/>
        <v>-98069.625199640723</v>
      </c>
      <c r="AF10" s="863">
        <f t="shared" ref="AF10" si="13">AF32/2</f>
        <v>-103848.70271947625</v>
      </c>
    </row>
    <row r="11" spans="1:32" s="3" customFormat="1" x14ac:dyDescent="0.2">
      <c r="A11" s="3" t="s">
        <v>196</v>
      </c>
      <c r="B11" s="3" t="s">
        <v>238</v>
      </c>
      <c r="C11" s="3">
        <f>C34/2</f>
        <v>0</v>
      </c>
      <c r="D11" s="3">
        <f>D34/2</f>
        <v>721.71500000000015</v>
      </c>
      <c r="E11" s="3">
        <f>E34/2</f>
        <v>343.21125000000029</v>
      </c>
      <c r="F11" s="3">
        <f>F34/2</f>
        <v>1586.2581249999985</v>
      </c>
      <c r="G11" s="3">
        <f t="shared" ref="G11:M11" si="14">G34/2</f>
        <v>746.65187499999774</v>
      </c>
      <c r="H11" s="3">
        <f t="shared" si="14"/>
        <v>1618.3456249999999</v>
      </c>
      <c r="I11" s="3">
        <f t="shared" si="14"/>
        <v>2252.1831250000014</v>
      </c>
      <c r="J11" s="3">
        <f t="shared" si="14"/>
        <v>2676.4274999999998</v>
      </c>
      <c r="K11" s="3">
        <f t="shared" si="14"/>
        <v>3727.4987500000007</v>
      </c>
      <c r="L11" s="3">
        <f t="shared" si="14"/>
        <v>5475.6399999999976</v>
      </c>
      <c r="M11" s="3">
        <f t="shared" si="14"/>
        <v>6065.717499999997</v>
      </c>
      <c r="N11" s="3">
        <f>(N34/2)-1</f>
        <v>2750.3574999999964</v>
      </c>
      <c r="O11" s="3">
        <f t="shared" ref="O11:U11" si="15">O34/2</f>
        <v>2645.717499999997</v>
      </c>
      <c r="P11" s="3">
        <f t="shared" si="15"/>
        <v>2112.1374999999953</v>
      </c>
      <c r="Q11" s="121">
        <f t="shared" si="15"/>
        <v>2027.5249999999924</v>
      </c>
      <c r="R11" s="121">
        <f t="shared" si="15"/>
        <v>1492.7999999999938</v>
      </c>
      <c r="S11" s="121">
        <f t="shared" si="15"/>
        <v>2887.5749999999953</v>
      </c>
      <c r="T11" s="121">
        <f t="shared" si="15"/>
        <v>4560.4006249999929</v>
      </c>
      <c r="U11" s="121">
        <f t="shared" si="15"/>
        <v>2617.4881249999944</v>
      </c>
      <c r="V11" s="226">
        <f t="shared" ref="V11:AA11" si="16">V34/2</f>
        <v>276.83999999999469</v>
      </c>
      <c r="W11" s="121">
        <f t="shared" si="16"/>
        <v>772.46767671427915</v>
      </c>
      <c r="X11" s="121">
        <f t="shared" si="16"/>
        <v>-1647.943947785725</v>
      </c>
      <c r="Y11" s="121">
        <f>Y34/2</f>
        <v>-1236.5293332745659</v>
      </c>
      <c r="Z11" s="121">
        <f t="shared" si="16"/>
        <v>1851.1560352254292</v>
      </c>
      <c r="AA11" s="121">
        <f t="shared" si="16"/>
        <v>4815.5733102254362</v>
      </c>
      <c r="AB11" s="345">
        <f>AB34/2</f>
        <v>9001.2793117254478</v>
      </c>
      <c r="AC11" s="863">
        <f>AC34/2</f>
        <v>11508.649453994069</v>
      </c>
      <c r="AD11" s="863">
        <f>AD34/2</f>
        <v>13013.897258302146</v>
      </c>
      <c r="AE11" s="863">
        <f>AE34/2</f>
        <v>13774.378384187257</v>
      </c>
      <c r="AF11" s="863">
        <f>AF34/2</f>
        <v>13660.746525199494</v>
      </c>
    </row>
    <row r="12" spans="1:32" s="3" customFormat="1" x14ac:dyDescent="0.2">
      <c r="A12" s="3" t="s">
        <v>203</v>
      </c>
      <c r="B12" s="3" t="s">
        <v>238</v>
      </c>
      <c r="C12" s="3">
        <f>C38/2</f>
        <v>446.5</v>
      </c>
      <c r="D12" s="3">
        <f>D38/2</f>
        <v>472.31750000000011</v>
      </c>
      <c r="E12" s="3">
        <f>E38/2</f>
        <v>590.31750000000011</v>
      </c>
      <c r="F12" s="3">
        <f>F38/2</f>
        <v>721.31750000000011</v>
      </c>
      <c r="G12" s="3">
        <f t="shared" ref="G12:M12" si="17">G38/2</f>
        <v>404.81750000000193</v>
      </c>
      <c r="H12" s="3">
        <f t="shared" si="17"/>
        <v>401.31750000000284</v>
      </c>
      <c r="I12" s="3">
        <f t="shared" si="17"/>
        <v>351.31750000000056</v>
      </c>
      <c r="J12" s="3">
        <f t="shared" si="17"/>
        <v>338.31749999999943</v>
      </c>
      <c r="K12" s="3">
        <f t="shared" si="17"/>
        <v>351.81750000000102</v>
      </c>
      <c r="L12" s="3">
        <f t="shared" si="17"/>
        <v>410.31750000000011</v>
      </c>
      <c r="M12" s="3">
        <f t="shared" si="17"/>
        <v>421.31750000000306</v>
      </c>
      <c r="N12" s="567">
        <f>N38/2</f>
        <v>435.80031500000382</v>
      </c>
      <c r="O12" s="3">
        <f t="shared" ref="O12:U12" si="18">O38/2</f>
        <v>449.1789020000042</v>
      </c>
      <c r="P12" s="3">
        <f t="shared" si="18"/>
        <v>472.2073145000038</v>
      </c>
      <c r="Q12" s="121">
        <f t="shared" si="18"/>
        <v>497.13549750000516</v>
      </c>
      <c r="R12" s="121">
        <f t="shared" si="18"/>
        <v>522.53073100000802</v>
      </c>
      <c r="S12" s="121">
        <f t="shared" si="18"/>
        <v>529.45758061765332</v>
      </c>
      <c r="T12" s="121">
        <f t="shared" si="18"/>
        <v>649.83554023529905</v>
      </c>
      <c r="U12" s="121">
        <f t="shared" si="18"/>
        <v>687.3208343529484</v>
      </c>
      <c r="V12" s="226">
        <f t="shared" ref="V12:AD12" si="19">V38/2</f>
        <v>763.52104947059343</v>
      </c>
      <c r="W12" s="121">
        <f t="shared" si="19"/>
        <v>773.87541058824002</v>
      </c>
      <c r="X12" s="121">
        <f t="shared" si="19"/>
        <v>799.45422620588795</v>
      </c>
      <c r="Y12" s="121">
        <f t="shared" si="19"/>
        <v>825.91103732353861</v>
      </c>
      <c r="Z12" s="121">
        <f t="shared" si="19"/>
        <v>853.01835694118824</v>
      </c>
      <c r="AA12" s="121">
        <f t="shared" si="19"/>
        <v>881.60331555883761</v>
      </c>
      <c r="AB12" s="345">
        <f t="shared" si="19"/>
        <v>895.46956602647913</v>
      </c>
      <c r="AC12" s="863">
        <f t="shared" si="19"/>
        <v>910.37871949425119</v>
      </c>
      <c r="AD12" s="863">
        <f t="shared" si="19"/>
        <v>924.64029045566429</v>
      </c>
      <c r="AE12" s="863">
        <f t="shared" ref="AE12:AF12" si="20">AE38/2</f>
        <v>938.31987110463797</v>
      </c>
      <c r="AF12" s="863">
        <f t="shared" si="20"/>
        <v>951.39729337327958</v>
      </c>
    </row>
    <row r="13" spans="1:32" s="121" customFormat="1" x14ac:dyDescent="0.2">
      <c r="A13" s="885" t="s">
        <v>403</v>
      </c>
      <c r="B13" s="121" t="s">
        <v>238</v>
      </c>
      <c r="U13" s="121">
        <f>U37/2</f>
        <v>0</v>
      </c>
      <c r="V13" s="226">
        <f t="shared" ref="V13:AD13" si="21">V37/2</f>
        <v>0</v>
      </c>
      <c r="W13" s="121">
        <f t="shared" si="21"/>
        <v>0</v>
      </c>
      <c r="X13" s="121">
        <f t="shared" si="21"/>
        <v>0</v>
      </c>
      <c r="Y13" s="121">
        <f t="shared" si="21"/>
        <v>0</v>
      </c>
      <c r="Z13" s="121">
        <f t="shared" si="21"/>
        <v>-0.5</v>
      </c>
      <c r="AA13" s="121">
        <f t="shared" si="21"/>
        <v>-1</v>
      </c>
      <c r="AB13" s="345">
        <f t="shared" si="21"/>
        <v>-1.5</v>
      </c>
      <c r="AC13" s="863">
        <f t="shared" si="21"/>
        <v>-1.5</v>
      </c>
      <c r="AD13" s="863">
        <f t="shared" si="21"/>
        <v>-1.5</v>
      </c>
      <c r="AE13" s="863">
        <f t="shared" ref="AE13:AF13" si="22">AE37/2</f>
        <v>-1.5</v>
      </c>
      <c r="AF13" s="863">
        <f t="shared" si="22"/>
        <v>-1.5</v>
      </c>
    </row>
    <row r="14" spans="1:32" s="3" customFormat="1" x14ac:dyDescent="0.2">
      <c r="A14" s="3" t="s">
        <v>199</v>
      </c>
      <c r="B14" s="3" t="s">
        <v>238</v>
      </c>
      <c r="C14" s="55" t="str">
        <f>+C35</f>
        <v>n/a</v>
      </c>
      <c r="D14" s="55" t="str">
        <f>+D35</f>
        <v>n/a</v>
      </c>
      <c r="E14" s="55" t="str">
        <f>+E35</f>
        <v>n/a</v>
      </c>
      <c r="F14" s="55" t="str">
        <f>+F35</f>
        <v>n/a</v>
      </c>
      <c r="G14" s="55">
        <f>+G35/2</f>
        <v>35</v>
      </c>
      <c r="H14" s="55">
        <f t="shared" ref="H14:M14" si="23">+H35/2</f>
        <v>39.5</v>
      </c>
      <c r="I14" s="55">
        <f t="shared" si="23"/>
        <v>30.5</v>
      </c>
      <c r="J14" s="55">
        <f t="shared" si="23"/>
        <v>34</v>
      </c>
      <c r="K14" s="55">
        <f t="shared" si="23"/>
        <v>26.5</v>
      </c>
      <c r="L14" s="55">
        <f t="shared" si="23"/>
        <v>22</v>
      </c>
      <c r="M14" s="55">
        <f t="shared" si="23"/>
        <v>20.5</v>
      </c>
      <c r="N14" s="55">
        <f>+N35/2</f>
        <v>22</v>
      </c>
      <c r="O14" s="55">
        <f t="shared" ref="O14:U14" si="24">+O35/2</f>
        <v>27</v>
      </c>
      <c r="P14" s="55">
        <f t="shared" si="24"/>
        <v>21.5</v>
      </c>
      <c r="Q14" s="144">
        <f t="shared" si="24"/>
        <v>20</v>
      </c>
      <c r="R14" s="144">
        <f t="shared" si="24"/>
        <v>18</v>
      </c>
      <c r="S14" s="144">
        <f t="shared" si="24"/>
        <v>17</v>
      </c>
      <c r="T14" s="144">
        <f t="shared" si="24"/>
        <v>15.5</v>
      </c>
      <c r="U14" s="144">
        <f t="shared" si="24"/>
        <v>23.5</v>
      </c>
      <c r="V14" s="227">
        <f t="shared" ref="V14:AA14" si="25">+V35/2</f>
        <v>28.990893499999999</v>
      </c>
      <c r="W14" s="144">
        <f t="shared" si="25"/>
        <v>29.2927505</v>
      </c>
      <c r="X14" s="144">
        <f t="shared" si="25"/>
        <v>19.860441999999999</v>
      </c>
      <c r="Y14" s="144">
        <f>+Y35/2</f>
        <v>19.6341185</v>
      </c>
      <c r="Z14" s="144">
        <f t="shared" si="25"/>
        <v>18.951650000000001</v>
      </c>
      <c r="AA14" s="144">
        <f t="shared" si="25"/>
        <v>18.367251499999998</v>
      </c>
      <c r="AB14" s="374">
        <f>+AB35/2</f>
        <v>19</v>
      </c>
      <c r="AC14" s="864">
        <f>+AC35/2</f>
        <v>21.682182705882354</v>
      </c>
      <c r="AD14" s="864">
        <f>+AD35/2</f>
        <v>21.682182705882354</v>
      </c>
      <c r="AE14" s="864">
        <f>+AE35/2</f>
        <v>21.682182705882354</v>
      </c>
      <c r="AF14" s="864">
        <f>+AF35/2</f>
        <v>21.682182705882354</v>
      </c>
    </row>
    <row r="15" spans="1:32" s="3" customFormat="1" x14ac:dyDescent="0.2">
      <c r="A15" s="3" t="s">
        <v>248</v>
      </c>
      <c r="B15" s="3" t="s">
        <v>239</v>
      </c>
      <c r="C15" s="3">
        <f>'initial ufl'!C12</f>
        <v>0</v>
      </c>
      <c r="D15" s="3">
        <f>'initial ufl'!D12</f>
        <v>0</v>
      </c>
      <c r="E15" s="3">
        <f>'initial ufl'!E12</f>
        <v>0</v>
      </c>
      <c r="F15" s="3">
        <f>'initial ufl'!F12</f>
        <v>2264</v>
      </c>
      <c r="G15" s="3">
        <f>'initial ufl'!G12</f>
        <v>2090</v>
      </c>
      <c r="H15" s="3">
        <f>'initial ufl'!H12</f>
        <v>1916</v>
      </c>
      <c r="I15" s="3">
        <f>'initial ufl'!I12</f>
        <v>1742</v>
      </c>
      <c r="J15" s="3">
        <f>'initial ufl'!J12</f>
        <v>1568</v>
      </c>
      <c r="K15" s="3">
        <f>'initial ufl'!K12</f>
        <v>1394</v>
      </c>
      <c r="L15" s="3">
        <f>'initial ufl'!L12</f>
        <v>1220</v>
      </c>
      <c r="M15" s="3">
        <f>'initial ufl'!M12</f>
        <v>1046</v>
      </c>
      <c r="N15" s="3">
        <f>'initial ufl'!N12-1</f>
        <v>871</v>
      </c>
      <c r="O15" s="3">
        <f>'initial ufl'!O12</f>
        <v>698</v>
      </c>
      <c r="P15" s="3">
        <f>'initial ufl'!P12</f>
        <v>524</v>
      </c>
      <c r="Q15" s="121">
        <f>'initial ufl'!Q12</f>
        <v>350</v>
      </c>
      <c r="R15" s="121">
        <f>'initial ufl'!R12</f>
        <v>176</v>
      </c>
      <c r="S15" s="121">
        <f>'initial ufl'!S12</f>
        <v>0</v>
      </c>
      <c r="T15" s="121">
        <f>'initial ufl'!T12</f>
        <v>0</v>
      </c>
      <c r="U15" s="121">
        <f>'initial ufl'!U12</f>
        <v>0</v>
      </c>
      <c r="V15" s="226">
        <f>'initial ufl'!V12</f>
        <v>0</v>
      </c>
      <c r="W15" s="121">
        <f>'initial ufl'!W12</f>
        <v>0</v>
      </c>
      <c r="X15" s="121">
        <f>'initial ufl'!X12</f>
        <v>0</v>
      </c>
      <c r="Y15" s="121">
        <f>'initial ufl'!Y12</f>
        <v>0</v>
      </c>
      <c r="Z15" s="121">
        <f>'initial ufl'!Z12</f>
        <v>0</v>
      </c>
      <c r="AA15" s="121">
        <f>'initial ufl'!AA12</f>
        <v>0</v>
      </c>
      <c r="AB15" s="345">
        <f>'initial ufl'!AB12</f>
        <v>0</v>
      </c>
      <c r="AC15" s="863">
        <f>'initial ufl'!AC12</f>
        <v>0</v>
      </c>
      <c r="AD15" s="863">
        <f>'initial ufl'!AD12</f>
        <v>0</v>
      </c>
      <c r="AE15" s="863">
        <f>'initial ufl'!AE12</f>
        <v>0</v>
      </c>
      <c r="AF15" s="863">
        <f>'initial ufl'!AF12</f>
        <v>0</v>
      </c>
    </row>
    <row r="16" spans="1:32" s="3" customFormat="1" x14ac:dyDescent="0.2">
      <c r="A16" s="3" t="s">
        <v>249</v>
      </c>
      <c r="B16" s="3" t="s">
        <v>240</v>
      </c>
      <c r="C16" s="24" t="s">
        <v>12</v>
      </c>
      <c r="D16" s="24" t="s">
        <v>12</v>
      </c>
      <c r="E16" s="24" t="s">
        <v>12</v>
      </c>
      <c r="F16" s="24">
        <f>contributions!C52*-1</f>
        <v>118.5</v>
      </c>
      <c r="G16" s="24">
        <f>contributions!D52*-1</f>
        <v>179</v>
      </c>
      <c r="H16" s="24">
        <f>contributions!E52*-1</f>
        <v>136</v>
      </c>
      <c r="I16" s="24">
        <f>contributions!F52*-1</f>
        <v>-18.5</v>
      </c>
      <c r="J16" s="24">
        <f>contributions!G52*-1</f>
        <v>-271.5</v>
      </c>
      <c r="K16" s="24">
        <f>contributions!H52*-1</f>
        <v>-479.5</v>
      </c>
      <c r="L16" s="24">
        <f>contributions!I52*-1</f>
        <v>-459.5</v>
      </c>
      <c r="M16" s="24">
        <f>contributions!J52*-1</f>
        <v>-425</v>
      </c>
      <c r="N16" s="24">
        <f>contributions!K52*-1</f>
        <v>-385.51718499999993</v>
      </c>
      <c r="O16" s="24">
        <f>contributions!L52*-1</f>
        <v>-342.138598</v>
      </c>
      <c r="P16" s="24">
        <f>contributions!M52*-1</f>
        <v>-289.1101855</v>
      </c>
      <c r="Q16" s="131">
        <f>contributions!N52*-1</f>
        <v>-234.68200250000001</v>
      </c>
      <c r="R16" s="131">
        <f>contributions!O52*-1</f>
        <v>-173.78676899999999</v>
      </c>
      <c r="S16" s="131">
        <f>contributions!P52*-1</f>
        <v>-130.8452135</v>
      </c>
      <c r="T16" s="131">
        <f>contributions!Q52*-1</f>
        <v>38.547452000000021</v>
      </c>
      <c r="U16" s="131">
        <f>contributions!R52*-1</f>
        <v>112.54745200000002</v>
      </c>
      <c r="V16" s="228">
        <f>contributions!S52*-1</f>
        <v>177.26237300000003</v>
      </c>
      <c r="W16" s="131">
        <f>contributions!T52*-1</f>
        <v>190.22886857142856</v>
      </c>
      <c r="X16" s="131">
        <f>contributions!U52*-1</f>
        <v>201.82239007142852</v>
      </c>
      <c r="Y16" s="131">
        <f>contributions!V52*-1</f>
        <v>222.15202314285705</v>
      </c>
      <c r="Z16" s="131">
        <f>contributions!W52*-1</f>
        <v>238.274048642857</v>
      </c>
      <c r="AA16" s="131">
        <f>contributions!X52*-1</f>
        <v>255.87371314285701</v>
      </c>
      <c r="AB16" s="350">
        <f>contributions!Y52*-1</f>
        <v>254.25466949285703</v>
      </c>
      <c r="AC16" s="865">
        <f>contributions!Z52*-1</f>
        <v>247.6068075315182</v>
      </c>
      <c r="AD16" s="865">
        <f>contributions!AA52*-1</f>
        <v>241.74880494170486</v>
      </c>
      <c r="AE16" s="865">
        <f>contributions!AB52*-1</f>
        <v>234.62797737593644</v>
      </c>
      <c r="AF16" s="865">
        <f>contributions!AC52*-1</f>
        <v>227.2356006387343</v>
      </c>
    </row>
    <row r="17" spans="1:32" s="49" customFormat="1" ht="15.75" x14ac:dyDescent="0.25">
      <c r="A17" s="52" t="s">
        <v>205</v>
      </c>
      <c r="B17" s="9" t="s">
        <v>241</v>
      </c>
      <c r="C17" s="56">
        <f t="shared" ref="C17:Q17" si="26">SUM(C8:C16)</f>
        <v>2580</v>
      </c>
      <c r="D17" s="56">
        <f t="shared" si="26"/>
        <v>2585.0325000000003</v>
      </c>
      <c r="E17" s="56">
        <f t="shared" si="26"/>
        <v>2437.5287500000004</v>
      </c>
      <c r="F17" s="56">
        <f t="shared" si="26"/>
        <v>4833.5756249999986</v>
      </c>
      <c r="G17" s="56">
        <f t="shared" si="26"/>
        <v>4758.4693749999997</v>
      </c>
      <c r="H17" s="56">
        <f t="shared" si="26"/>
        <v>4568.6631250000028</v>
      </c>
      <c r="I17" s="56">
        <f t="shared" si="26"/>
        <v>4017.5006250000019</v>
      </c>
      <c r="J17" s="56">
        <f t="shared" si="26"/>
        <v>3129.744999999999</v>
      </c>
      <c r="K17" s="56">
        <f t="shared" si="26"/>
        <v>2146.8162500000017</v>
      </c>
      <c r="L17" s="56">
        <f t="shared" si="26"/>
        <v>1321.9574999999977</v>
      </c>
      <c r="M17" s="56">
        <f t="shared" si="26"/>
        <v>282.03500000000008</v>
      </c>
      <c r="N17" s="56">
        <f t="shared" si="26"/>
        <v>-336.35936999999967</v>
      </c>
      <c r="O17" s="56">
        <f t="shared" si="26"/>
        <v>-791.24219599999878</v>
      </c>
      <c r="P17" s="56">
        <f t="shared" si="26"/>
        <v>-1233.2653710000009</v>
      </c>
      <c r="Q17" s="56">
        <f t="shared" si="26"/>
        <v>-1691.0215050000024</v>
      </c>
      <c r="R17" s="145">
        <f t="shared" ref="R17:AA17" si="27">SUM(R8:R16)</f>
        <v>-2125.956037999998</v>
      </c>
      <c r="S17" s="145">
        <f t="shared" si="27"/>
        <v>-2561.812632882351</v>
      </c>
      <c r="T17" s="145">
        <f t="shared" si="27"/>
        <v>-3016.2163827647082</v>
      </c>
      <c r="U17" s="145">
        <f t="shared" si="27"/>
        <v>-4026.6435886470572</v>
      </c>
      <c r="V17" s="145">
        <f t="shared" si="27"/>
        <v>-5005.385684029412</v>
      </c>
      <c r="W17" s="145">
        <f t="shared" si="27"/>
        <v>-5798.6352936260528</v>
      </c>
      <c r="X17" s="145">
        <f t="shared" si="27"/>
        <v>-6622.8068895084089</v>
      </c>
      <c r="Y17" s="145">
        <f t="shared" si="27"/>
        <v>-7123.8321543081702</v>
      </c>
      <c r="Z17" s="145">
        <f t="shared" si="27"/>
        <v>-7710.5999091905251</v>
      </c>
      <c r="AA17" s="145">
        <f t="shared" si="27"/>
        <v>-8667.0824095728694</v>
      </c>
      <c r="AB17" s="375">
        <f>SUM(AB8:AB16)</f>
        <v>-10146.996452755217</v>
      </c>
      <c r="AC17" s="866">
        <f>SUM(AC8:AC16)</f>
        <v>-12270.54140867866</v>
      </c>
      <c r="AD17" s="866">
        <f>SUM(AD8:AD16)</f>
        <v>-14828.832650718925</v>
      </c>
      <c r="AE17" s="866">
        <f>SUM(AE8:AE16)</f>
        <v>-17739.728708798732</v>
      </c>
      <c r="AF17" s="866">
        <f>SUM(AF8:AF16)</f>
        <v>-20955.899667972204</v>
      </c>
    </row>
    <row r="18" spans="1:32" s="9" customFormat="1" x14ac:dyDescent="0.2">
      <c r="Q18" s="146"/>
      <c r="R18" s="146"/>
      <c r="S18" s="146"/>
      <c r="T18" s="146"/>
      <c r="U18" s="146"/>
      <c r="V18" s="146"/>
      <c r="W18" s="146"/>
      <c r="X18" s="146"/>
      <c r="Y18" s="146"/>
      <c r="Z18" s="146"/>
      <c r="AA18" s="146"/>
      <c r="AB18" s="344"/>
      <c r="AC18" s="867"/>
      <c r="AD18" s="867"/>
      <c r="AE18" s="867"/>
      <c r="AF18" s="867"/>
    </row>
    <row r="19" spans="1:32" s="9" customFormat="1" x14ac:dyDescent="0.2">
      <c r="N19" s="9" t="s">
        <v>307</v>
      </c>
      <c r="O19" s="70">
        <f t="shared" ref="O19:AB19" si="28">O17*1000000</f>
        <v>-791242195.99999881</v>
      </c>
      <c r="P19" s="70">
        <f t="shared" si="28"/>
        <v>-1233265371.000001</v>
      </c>
      <c r="Q19" s="70">
        <f t="shared" si="28"/>
        <v>-1691021505.0000024</v>
      </c>
      <c r="R19" s="70">
        <f t="shared" si="28"/>
        <v>-2125956037.9999981</v>
      </c>
      <c r="S19" s="70">
        <f t="shared" si="28"/>
        <v>-2561812632.8823509</v>
      </c>
      <c r="T19" s="70">
        <f t="shared" si="28"/>
        <v>-3016216382.764708</v>
      </c>
      <c r="U19" s="209">
        <f t="shared" si="28"/>
        <v>-4026643588.6470571</v>
      </c>
      <c r="V19" s="209">
        <f t="shared" si="28"/>
        <v>-5005385684.0294123</v>
      </c>
      <c r="W19" s="209">
        <f t="shared" si="28"/>
        <v>-5798635293.6260529</v>
      </c>
      <c r="X19" s="209">
        <f t="shared" si="28"/>
        <v>-6622806889.5084085</v>
      </c>
      <c r="Y19" s="209">
        <f t="shared" si="28"/>
        <v>-7123832154.3081703</v>
      </c>
      <c r="Z19" s="146">
        <f t="shared" si="28"/>
        <v>-7710599909.1905251</v>
      </c>
      <c r="AA19" s="146">
        <f t="shared" si="28"/>
        <v>-8667082409.5728703</v>
      </c>
      <c r="AB19" s="344">
        <f t="shared" si="28"/>
        <v>-10146996452.755217</v>
      </c>
      <c r="AC19" s="868"/>
      <c r="AD19" s="868"/>
      <c r="AE19" s="868"/>
      <c r="AF19" s="868"/>
    </row>
    <row r="20" spans="1:32" s="9" customFormat="1" x14ac:dyDescent="0.2">
      <c r="A20" s="12" t="s">
        <v>255</v>
      </c>
      <c r="Q20" s="146"/>
      <c r="R20" s="146"/>
      <c r="S20" s="146"/>
      <c r="T20" s="146"/>
      <c r="U20" s="146"/>
      <c r="V20" s="146"/>
      <c r="W20" s="146"/>
      <c r="X20" s="146"/>
      <c r="Y20" s="146"/>
      <c r="Z20" s="146"/>
      <c r="AA20" s="146"/>
      <c r="AB20" s="344"/>
      <c r="AC20" s="867"/>
      <c r="AD20" s="867"/>
      <c r="AE20" s="867"/>
      <c r="AF20" s="867"/>
    </row>
    <row r="21" spans="1:32" s="9" customFormat="1" x14ac:dyDescent="0.2">
      <c r="A21" s="9" t="s">
        <v>252</v>
      </c>
      <c r="B21" s="9" t="s">
        <v>66</v>
      </c>
      <c r="G21" s="9">
        <f>+F17</f>
        <v>4833.5756249999986</v>
      </c>
      <c r="H21" s="9">
        <f t="shared" ref="H21:N21" si="29">+G17</f>
        <v>4758.4693749999997</v>
      </c>
      <c r="I21" s="9">
        <f t="shared" si="29"/>
        <v>4568.6631250000028</v>
      </c>
      <c r="J21" s="9">
        <f t="shared" si="29"/>
        <v>4017.5006250000019</v>
      </c>
      <c r="K21" s="9">
        <f t="shared" si="29"/>
        <v>3129.744999999999</v>
      </c>
      <c r="L21" s="9">
        <f t="shared" si="29"/>
        <v>2146.8162500000017</v>
      </c>
      <c r="M21" s="9">
        <f t="shared" si="29"/>
        <v>1321.9574999999977</v>
      </c>
      <c r="N21" s="9">
        <f t="shared" si="29"/>
        <v>282.03500000000008</v>
      </c>
      <c r="O21" s="9">
        <f t="shared" ref="O21:AF21" si="30">N17</f>
        <v>-336.35936999999967</v>
      </c>
      <c r="P21" s="9">
        <f t="shared" si="30"/>
        <v>-791.24219599999878</v>
      </c>
      <c r="Q21" s="146">
        <f t="shared" si="30"/>
        <v>-1233.2653710000009</v>
      </c>
      <c r="R21" s="146">
        <f t="shared" si="30"/>
        <v>-1691.0215050000024</v>
      </c>
      <c r="S21" s="146">
        <f t="shared" si="30"/>
        <v>-2125.956037999998</v>
      </c>
      <c r="T21" s="146">
        <f t="shared" si="30"/>
        <v>-2561.812632882351</v>
      </c>
      <c r="U21" s="146">
        <f t="shared" si="30"/>
        <v>-3016.2163827647082</v>
      </c>
      <c r="V21" s="146">
        <f t="shared" si="30"/>
        <v>-4026.6435886470572</v>
      </c>
      <c r="W21" s="146">
        <f t="shared" si="30"/>
        <v>-5005.385684029412</v>
      </c>
      <c r="X21" s="146">
        <f t="shared" si="30"/>
        <v>-5798.6352936260528</v>
      </c>
      <c r="Y21" s="146">
        <f t="shared" si="30"/>
        <v>-6622.8068895084089</v>
      </c>
      <c r="Z21" s="146">
        <f t="shared" si="30"/>
        <v>-7123.8321543081702</v>
      </c>
      <c r="AA21" s="146">
        <f t="shared" si="30"/>
        <v>-7710.5999091905251</v>
      </c>
      <c r="AB21" s="344">
        <f t="shared" si="30"/>
        <v>-8667.0824095728694</v>
      </c>
      <c r="AC21" s="867">
        <f t="shared" si="30"/>
        <v>-10146.996452755217</v>
      </c>
      <c r="AD21" s="867">
        <f t="shared" si="30"/>
        <v>-12270.54140867866</v>
      </c>
      <c r="AE21" s="867">
        <f t="shared" si="30"/>
        <v>-14828.832650718925</v>
      </c>
      <c r="AF21" s="867">
        <f t="shared" si="30"/>
        <v>-17739.728708798732</v>
      </c>
    </row>
    <row r="22" spans="1:32" s="9" customFormat="1" x14ac:dyDescent="0.2">
      <c r="A22" s="9" t="s">
        <v>211</v>
      </c>
      <c r="B22" s="9" t="s">
        <v>227</v>
      </c>
      <c r="G22" s="9">
        <f>'OTPP expense (excluding RCA)'!G19</f>
        <v>490.89374999999995</v>
      </c>
      <c r="H22" s="9">
        <f>'OTPP expense (excluding RCA)'!H19</f>
        <v>496.19374999999991</v>
      </c>
      <c r="I22" s="9">
        <f>'OTPP expense (excluding RCA)'!I19</f>
        <v>374.83750000000009</v>
      </c>
      <c r="J22" s="9">
        <f>'OTPP expense (excluding RCA)'!J19</f>
        <v>244.24437499999999</v>
      </c>
      <c r="K22" s="9">
        <f>'OTPP expense (excluding RCA)'!K19</f>
        <v>126.07124999999996</v>
      </c>
      <c r="L22" s="9">
        <f>'OTPP expense (excluding RCA)'!L19</f>
        <v>-157.8587500000001</v>
      </c>
      <c r="M22" s="9">
        <f>'OTPP expense (excluding RCA)'!M19</f>
        <v>-404.9224999999999</v>
      </c>
      <c r="N22" s="9">
        <f>'OTPP expense (excluding RCA)'!N19</f>
        <v>29.139999999999873</v>
      </c>
      <c r="O22" s="9">
        <f>'OTPP expense (excluding RCA)'!O19</f>
        <v>221.36000000000013</v>
      </c>
      <c r="P22" s="9">
        <f>'OTPP expense (excluding RCA)'!P19</f>
        <v>241.41999999999962</v>
      </c>
      <c r="Q22" s="146">
        <f>'OTPP expense (excluding RCA)'!Q19</f>
        <v>250.38749999999982</v>
      </c>
      <c r="R22" s="146">
        <f>'OTPP expense (excluding RCA)'!R19</f>
        <v>305.27499999999964</v>
      </c>
      <c r="S22" s="146">
        <f>'OTPP expense (excluding RCA)'!S19</f>
        <v>359.26029411764716</v>
      </c>
      <c r="T22" s="146">
        <f>'OTPP expense (excluding RCA)'!T19</f>
        <v>353.81091911764702</v>
      </c>
      <c r="U22" s="146">
        <f>'OTPP expense (excluding RCA)'!U19</f>
        <v>59.572794117647149</v>
      </c>
      <c r="V22" s="146">
        <f>'OTPP expense (excluding RCA)'!V19</f>
        <v>265.82806261764733</v>
      </c>
      <c r="W22" s="146">
        <f>'OTPP expense (excluding RCA)'!W19</f>
        <v>523.01225640336088</v>
      </c>
      <c r="X22" s="146">
        <f>'OTPP expense (excluding RCA)'!X19</f>
        <v>519.14136111764719</v>
      </c>
      <c r="Y22" s="146">
        <f>'OTPP expense (excluding RCA)'!Y19</f>
        <v>892.03170120023663</v>
      </c>
      <c r="Z22" s="146">
        <f>'OTPP expense (excluding RCA)'!Z19</f>
        <v>874.98819411764703</v>
      </c>
      <c r="AA22" s="146">
        <f>'OTPP expense (excluding RCA)'!AA19</f>
        <v>568.81817061764684</v>
      </c>
      <c r="AB22" s="344">
        <f>'OTPP expense (excluding RCA)'!AB19</f>
        <v>118.32404411764651</v>
      </c>
      <c r="AC22" s="867">
        <f>'OTPP expense (excluding RCA)'!AC19</f>
        <v>-459.36863090785755</v>
      </c>
      <c r="AD22" s="867">
        <f>'OTPP expense (excluding RCA)'!AD19</f>
        <v>-825.65879900649043</v>
      </c>
      <c r="AE22" s="867">
        <f>'OTPP expense (excluding RCA)'!AE19</f>
        <v>-1116.7412651971297</v>
      </c>
      <c r="AF22" s="867">
        <f>'OTPP expense (excluding RCA)'!AF19</f>
        <v>-1358.3618446496812</v>
      </c>
    </row>
    <row r="23" spans="1:32" s="9" customFormat="1" x14ac:dyDescent="0.2">
      <c r="A23" s="9" t="s">
        <v>251</v>
      </c>
      <c r="B23" s="9" t="s">
        <v>254</v>
      </c>
      <c r="G23" s="57">
        <f>'Data Input'!H46*-1</f>
        <v>-566</v>
      </c>
      <c r="H23" s="57">
        <f>'Data Input'!I46*-1</f>
        <v>-686</v>
      </c>
      <c r="I23" s="57">
        <f>'Data Input'!J46*-1</f>
        <v>-926</v>
      </c>
      <c r="J23" s="57">
        <f>'Data Input'!K46*-1</f>
        <v>-1132</v>
      </c>
      <c r="K23" s="57">
        <f>'Data Input'!L46*-1</f>
        <v>-1109</v>
      </c>
      <c r="L23" s="57">
        <f>'Data Input'!M46*-1</f>
        <v>-667</v>
      </c>
      <c r="M23" s="57">
        <f>'Data Input'!N46*-1</f>
        <v>-635</v>
      </c>
      <c r="N23" s="57">
        <f>'Data Input'!O46*-1</f>
        <v>-645.03436999999997</v>
      </c>
      <c r="O23" s="57">
        <f>'Data Input'!P46*-1</f>
        <v>-676.24282600000004</v>
      </c>
      <c r="P23" s="57">
        <f>'Data Input'!Q46*-1</f>
        <v>-682.943175</v>
      </c>
      <c r="Q23" s="147">
        <f>'Data Input'!R46*-1</f>
        <v>-708.14363400000002</v>
      </c>
      <c r="R23" s="147">
        <f>'Data Input'!S46*-1</f>
        <v>-740.20953299999996</v>
      </c>
      <c r="S23" s="147">
        <f>'Data Input'!T46*-1</f>
        <v>-795.11688900000001</v>
      </c>
      <c r="T23" s="147">
        <f>'Data Input'!U46*-1</f>
        <v>-808.21466899999996</v>
      </c>
      <c r="U23" s="147">
        <f>'Data Input'!V46*-1</f>
        <v>-1070</v>
      </c>
      <c r="V23" s="147">
        <f>'Data Input'!W46*-1</f>
        <v>-1244.570158</v>
      </c>
      <c r="W23" s="147">
        <f>'Data Input'!X46*-1</f>
        <v>-1316.2618660000001</v>
      </c>
      <c r="X23" s="147">
        <f>'Data Input'!Y46*-1</f>
        <v>-1343.8129570000001</v>
      </c>
      <c r="Y23" s="147">
        <f>'Data Input'!Z46*-1</f>
        <v>-1393.0569660000001</v>
      </c>
      <c r="Z23" s="147">
        <f>'Data Input'!AA46*-1</f>
        <v>-1460.7559490000001</v>
      </c>
      <c r="AA23" s="147">
        <f>'Data Input'!AB46*-1</f>
        <v>-1525.800671</v>
      </c>
      <c r="AB23" s="376">
        <f>'Data Input'!AC46*-1</f>
        <v>-1598.2380873</v>
      </c>
      <c r="AC23" s="869">
        <f>'Data Input'!AD46*-1</f>
        <v>-1664.1763250155739</v>
      </c>
      <c r="AD23" s="869">
        <f>'Data Input'!AE46*-1</f>
        <v>-1732.632443033782</v>
      </c>
      <c r="AE23" s="869">
        <f>'Data Input'!AF46*-1</f>
        <v>-1794.1547928826822</v>
      </c>
      <c r="AF23" s="869">
        <f>'Data Input'!AG46*-1</f>
        <v>-1857.8091145237856</v>
      </c>
    </row>
    <row r="24" spans="1:32" s="8" customFormat="1" x14ac:dyDescent="0.2">
      <c r="A24" s="8" t="s">
        <v>253</v>
      </c>
      <c r="B24" s="8" t="s">
        <v>31</v>
      </c>
      <c r="G24" s="21">
        <f>SUM(G21:G23)</f>
        <v>4758.4693749999988</v>
      </c>
      <c r="H24" s="21">
        <f t="shared" ref="H24:Q24" si="31">SUM(H21:H23)</f>
        <v>4568.6631249999991</v>
      </c>
      <c r="I24" s="21">
        <f t="shared" si="31"/>
        <v>4017.5006250000024</v>
      </c>
      <c r="J24" s="21">
        <f t="shared" si="31"/>
        <v>3129.7450000000017</v>
      </c>
      <c r="K24" s="21">
        <f t="shared" si="31"/>
        <v>2146.8162499999989</v>
      </c>
      <c r="L24" s="21">
        <f t="shared" si="31"/>
        <v>1321.9575000000016</v>
      </c>
      <c r="M24" s="21">
        <f t="shared" si="31"/>
        <v>282.03499999999781</v>
      </c>
      <c r="N24" s="21">
        <f t="shared" si="31"/>
        <v>-333.85937000000001</v>
      </c>
      <c r="O24" s="21">
        <f t="shared" si="31"/>
        <v>-791.24219599999958</v>
      </c>
      <c r="P24" s="21">
        <f t="shared" si="31"/>
        <v>-1232.765370999999</v>
      </c>
      <c r="Q24" s="140">
        <f t="shared" si="31"/>
        <v>-1691.0215050000011</v>
      </c>
      <c r="R24" s="140">
        <f t="shared" ref="R24:AD24" si="32">SUM(R21:R23)</f>
        <v>-2125.956038000003</v>
      </c>
      <c r="S24" s="140">
        <f t="shared" si="32"/>
        <v>-2561.812632882351</v>
      </c>
      <c r="T24" s="140">
        <f t="shared" si="32"/>
        <v>-3016.2163827647037</v>
      </c>
      <c r="U24" s="140">
        <f t="shared" si="32"/>
        <v>-4026.6435886470613</v>
      </c>
      <c r="V24" s="140">
        <f t="shared" si="32"/>
        <v>-5005.3856840294102</v>
      </c>
      <c r="W24" s="140">
        <f t="shared" si="32"/>
        <v>-5798.635293626051</v>
      </c>
      <c r="X24" s="140">
        <f t="shared" si="32"/>
        <v>-6623.3068895084052</v>
      </c>
      <c r="Y24" s="140">
        <f t="shared" si="32"/>
        <v>-7123.832154308172</v>
      </c>
      <c r="Z24" s="140">
        <f t="shared" si="32"/>
        <v>-7709.5999091905232</v>
      </c>
      <c r="AA24" s="140">
        <f t="shared" si="32"/>
        <v>-8667.5824095728785</v>
      </c>
      <c r="AB24" s="361">
        <f t="shared" si="32"/>
        <v>-10146.996452755224</v>
      </c>
      <c r="AC24" s="870">
        <f t="shared" si="32"/>
        <v>-12270.541408678648</v>
      </c>
      <c r="AD24" s="870">
        <f t="shared" si="32"/>
        <v>-14828.832650718934</v>
      </c>
      <c r="AE24" s="870">
        <f t="shared" ref="AE24:AF24" si="33">SUM(AE21:AE23)</f>
        <v>-17739.728708798735</v>
      </c>
      <c r="AF24" s="870">
        <f t="shared" si="33"/>
        <v>-20955.899667972197</v>
      </c>
    </row>
    <row r="25" spans="1:32" s="9" customFormat="1" x14ac:dyDescent="0.2">
      <c r="A25" s="9" t="s">
        <v>217</v>
      </c>
      <c r="G25" s="9">
        <f>G24-G17</f>
        <v>0</v>
      </c>
      <c r="H25" s="9">
        <f t="shared" ref="H25:Q25" si="34">H24-H17</f>
        <v>0</v>
      </c>
      <c r="I25" s="9">
        <f t="shared" si="34"/>
        <v>0</v>
      </c>
      <c r="J25" s="9">
        <f t="shared" si="34"/>
        <v>0</v>
      </c>
      <c r="K25" s="9">
        <f t="shared" si="34"/>
        <v>0</v>
      </c>
      <c r="L25" s="9">
        <f t="shared" si="34"/>
        <v>3.865352482534945E-12</v>
      </c>
      <c r="M25" s="9">
        <f t="shared" si="34"/>
        <v>-2.2737367544323206E-12</v>
      </c>
      <c r="N25" s="9">
        <f>ROUNDDOWN(N24-N17,0)</f>
        <v>2</v>
      </c>
      <c r="O25" s="9">
        <f t="shared" si="34"/>
        <v>0</v>
      </c>
      <c r="P25" s="9">
        <f t="shared" si="34"/>
        <v>0.50000000000181899</v>
      </c>
      <c r="Q25" s="146">
        <f t="shared" si="34"/>
        <v>0</v>
      </c>
      <c r="R25" s="146">
        <f t="shared" ref="R25:AD25" si="35">R24-R17</f>
        <v>-5.0022208597511053E-12</v>
      </c>
      <c r="S25" s="146">
        <f t="shared" si="35"/>
        <v>0</v>
      </c>
      <c r="T25" s="146">
        <f t="shared" si="35"/>
        <v>4.5474735088646412E-12</v>
      </c>
      <c r="U25" s="146">
        <f t="shared" si="35"/>
        <v>-4.0927261579781771E-12</v>
      </c>
      <c r="V25" s="146">
        <f t="shared" si="35"/>
        <v>0</v>
      </c>
      <c r="W25" s="146">
        <f t="shared" si="35"/>
        <v>0</v>
      </c>
      <c r="X25" s="146">
        <f>X24-X17</f>
        <v>-0.49999999999636202</v>
      </c>
      <c r="Y25" s="146">
        <f t="shared" si="35"/>
        <v>0</v>
      </c>
      <c r="Z25" s="146">
        <f t="shared" si="35"/>
        <v>1.000000000001819</v>
      </c>
      <c r="AA25" s="146">
        <f t="shared" si="35"/>
        <v>-0.50000000000909495</v>
      </c>
      <c r="AB25" s="344">
        <f t="shared" si="35"/>
        <v>0</v>
      </c>
      <c r="AC25" s="867">
        <f t="shared" si="35"/>
        <v>0</v>
      </c>
      <c r="AD25" s="867">
        <f t="shared" si="35"/>
        <v>0</v>
      </c>
      <c r="AE25" s="867">
        <f t="shared" ref="AE25:AF25" si="36">AE24-AE17</f>
        <v>0</v>
      </c>
      <c r="AF25" s="867">
        <f t="shared" si="36"/>
        <v>0</v>
      </c>
    </row>
    <row r="26" spans="1:32" s="9" customFormat="1" x14ac:dyDescent="0.2">
      <c r="Q26" s="146"/>
      <c r="R26" s="146"/>
      <c r="S26" s="146"/>
      <c r="T26" s="146"/>
      <c r="U26" s="146"/>
      <c r="V26" s="146"/>
      <c r="W26" s="146"/>
      <c r="X26" s="146"/>
      <c r="Y26" s="146"/>
      <c r="Z26" s="146"/>
      <c r="AA26" s="146"/>
      <c r="AB26" s="344"/>
      <c r="AC26" s="867"/>
      <c r="AD26" s="867"/>
      <c r="AE26" s="867"/>
      <c r="AF26" s="867"/>
    </row>
    <row r="27" spans="1:32" s="9" customFormat="1" x14ac:dyDescent="0.2">
      <c r="Q27" s="146"/>
      <c r="R27" s="146"/>
      <c r="S27" s="146"/>
      <c r="T27" s="146"/>
      <c r="U27" s="146"/>
      <c r="V27" s="146"/>
      <c r="W27" s="146"/>
      <c r="X27" s="146"/>
      <c r="Y27" s="146"/>
      <c r="Z27" s="146"/>
      <c r="AA27" s="146"/>
      <c r="AB27" s="344"/>
      <c r="AC27" s="867"/>
      <c r="AD27" s="867"/>
      <c r="AE27" s="867"/>
      <c r="AF27" s="867"/>
    </row>
    <row r="28" spans="1:32" s="3" customFormat="1" x14ac:dyDescent="0.2">
      <c r="A28" s="44" t="s">
        <v>194</v>
      </c>
      <c r="Q28" s="121"/>
      <c r="R28" s="121"/>
      <c r="S28" s="121"/>
      <c r="T28" s="121"/>
      <c r="U28" s="121"/>
      <c r="V28" s="121"/>
      <c r="W28" s="121"/>
      <c r="X28" s="121"/>
      <c r="Y28" s="121"/>
      <c r="Z28" s="121"/>
      <c r="AA28" s="121"/>
      <c r="AB28" s="345"/>
      <c r="AC28" s="863"/>
      <c r="AD28" s="863"/>
      <c r="AE28" s="863"/>
      <c r="AF28" s="863"/>
    </row>
    <row r="29" spans="1:32" s="3" customFormat="1" x14ac:dyDescent="0.2">
      <c r="Q29" s="121"/>
      <c r="R29" s="121"/>
      <c r="S29" s="121"/>
      <c r="T29" s="121"/>
      <c r="U29" s="121"/>
      <c r="V29" s="121"/>
      <c r="W29" s="121"/>
      <c r="X29" s="121"/>
      <c r="Y29" s="121"/>
      <c r="Z29" s="121"/>
      <c r="AA29" s="121"/>
      <c r="AB29" s="345"/>
      <c r="AC29" s="863"/>
      <c r="AD29" s="863"/>
      <c r="AE29" s="863"/>
      <c r="AF29" s="863"/>
    </row>
    <row r="30" spans="1:32" s="3" customFormat="1" x14ac:dyDescent="0.2">
      <c r="A30" s="3" t="s">
        <v>197</v>
      </c>
      <c r="B30" s="3" t="s">
        <v>201</v>
      </c>
      <c r="C30" s="3">
        <f>'Data Input'!D12</f>
        <v>24391</v>
      </c>
      <c r="D30" s="3">
        <f>'Data Input'!E12</f>
        <v>27479</v>
      </c>
      <c r="E30" s="3">
        <f>'Data Input'!F12</f>
        <v>30781</v>
      </c>
      <c r="F30" s="3">
        <f>'Data Input'!G12</f>
        <v>33998</v>
      </c>
      <c r="G30" s="3">
        <f>'Data Input'!H12</f>
        <v>36848</v>
      </c>
      <c r="H30" s="3">
        <f>'Data Input'!I12</f>
        <v>39007</v>
      </c>
      <c r="I30" s="3">
        <f>'Data Input'!J12</f>
        <v>41833</v>
      </c>
      <c r="J30" s="3">
        <f>'Data Input'!K12</f>
        <v>46470</v>
      </c>
      <c r="K30" s="3">
        <f>'Data Input'!L12</f>
        <v>48635</v>
      </c>
      <c r="L30" s="3">
        <f>'Data Input'!M12</f>
        <v>50346</v>
      </c>
      <c r="M30" s="3">
        <f>'Data Input'!N12</f>
        <v>55087</v>
      </c>
      <c r="N30" s="3">
        <f>'Data Input'!O12</f>
        <v>64369</v>
      </c>
      <c r="O30" s="3">
        <f>'Data Input'!P12</f>
        <v>67319</v>
      </c>
      <c r="P30" s="3">
        <f>'Data Input'!Q12</f>
        <v>71009</v>
      </c>
      <c r="Q30" s="121">
        <f>'Data Input'!R12</f>
        <v>74089</v>
      </c>
      <c r="R30" s="121">
        <f>'Data Input'!S12</f>
        <v>80371</v>
      </c>
      <c r="S30" s="121">
        <f>'Data Input'!T12</f>
        <v>83120</v>
      </c>
      <c r="T30" s="121">
        <f>'Data Input'!U12</f>
        <v>88356</v>
      </c>
      <c r="U30" s="121">
        <f>'Data Input'!V12</f>
        <v>92022</v>
      </c>
      <c r="V30" s="121">
        <f>'Data Input'!W12</f>
        <v>96608</v>
      </c>
      <c r="W30" s="121">
        <f>'Data Input'!X12</f>
        <v>99117</v>
      </c>
      <c r="X30" s="121">
        <f>'Data Input'!Y12</f>
        <v>103693</v>
      </c>
      <c r="Y30" s="121">
        <f>'Data Input'!Z12</f>
        <v>105954</v>
      </c>
      <c r="Z30" s="121">
        <f>'Data Input'!AA12</f>
        <v>109524</v>
      </c>
      <c r="AA30" s="121">
        <f>'Data Input'!AB12</f>
        <v>113801</v>
      </c>
      <c r="AB30" s="345">
        <f>'Data Input'!AC12</f>
        <v>116367</v>
      </c>
      <c r="AC30" s="863">
        <f>'Data Input'!AD12</f>
        <v>120891.15773981952</v>
      </c>
      <c r="AD30" s="863">
        <f>'Data Input'!AE12</f>
        <v>125674.54587496544</v>
      </c>
      <c r="AE30" s="863">
        <f>'Data Input'!AF12</f>
        <v>130724.77615093655</v>
      </c>
      <c r="AF30" s="863">
        <f>'Data Input'!AG12</f>
        <v>136066.48289917331</v>
      </c>
    </row>
    <row r="31" spans="1:32" s="3" customFormat="1" x14ac:dyDescent="0.2">
      <c r="A31" s="3" t="s">
        <v>206</v>
      </c>
      <c r="I31" s="3">
        <v>500</v>
      </c>
      <c r="Q31" s="121"/>
      <c r="R31" s="121"/>
      <c r="S31" s="121"/>
      <c r="T31" s="121"/>
      <c r="U31" s="121"/>
      <c r="V31" s="121"/>
      <c r="W31" s="121"/>
      <c r="X31" s="121"/>
      <c r="Y31" s="121"/>
      <c r="Z31" s="121"/>
      <c r="AA31" s="121"/>
      <c r="AB31" s="345"/>
      <c r="AC31" s="863"/>
      <c r="AD31" s="863"/>
      <c r="AE31" s="863"/>
      <c r="AF31" s="863"/>
    </row>
    <row r="32" spans="1:32" s="3" customFormat="1" x14ac:dyDescent="0.2">
      <c r="A32" s="3" t="s">
        <v>198</v>
      </c>
      <c r="B32" s="3" t="s">
        <v>201</v>
      </c>
      <c r="C32" s="6">
        <f>'Data Input'!D28*-1</f>
        <v>-20124</v>
      </c>
      <c r="D32" s="6">
        <f>'Data Input'!E28*-1</f>
        <v>-24697</v>
      </c>
      <c r="E32" s="6">
        <f>'Data Input'!F28*-1</f>
        <v>-27773</v>
      </c>
      <c r="F32" s="6">
        <f>'Data Input'!G28*-1</f>
        <v>-33711</v>
      </c>
      <c r="G32" s="6">
        <f>'Data Input'!H28*-1</f>
        <v>-34242</v>
      </c>
      <c r="H32" s="6">
        <f>'Data Input'!I28*-1</f>
        <v>-38092</v>
      </c>
      <c r="I32" s="6">
        <f>'Data Input'!J28*-1</f>
        <v>-43013</v>
      </c>
      <c r="J32" s="6">
        <f>'Data Input'!K28*-1</f>
        <v>-48901</v>
      </c>
      <c r="K32" s="6">
        <f>'Data Input'!L28*-1</f>
        <v>-54382</v>
      </c>
      <c r="L32" s="6">
        <f>'Data Input'!M28*-1</f>
        <v>-61039</v>
      </c>
      <c r="M32" s="6">
        <f>'Data Input'!N28*-1</f>
        <v>-68780</v>
      </c>
      <c r="N32" s="6">
        <f>'Data Input'!O28*-1</f>
        <v>-72429</v>
      </c>
      <c r="O32" s="6">
        <f>'Data Input'!P28*-1</f>
        <v>-75857</v>
      </c>
      <c r="P32" s="6">
        <f>'Data Input'!Q28*-1</f>
        <v>-79157</v>
      </c>
      <c r="Q32" s="125">
        <f>'Data Input'!R28*-1</f>
        <v>-82791</v>
      </c>
      <c r="R32" s="125">
        <f>'Data Input'!S28*-1</f>
        <v>-88694</v>
      </c>
      <c r="S32" s="125">
        <f>'Data Input'!T28*-1</f>
        <v>-94850</v>
      </c>
      <c r="T32" s="125">
        <f>'Data Input'!U28*-1</f>
        <v>-104917</v>
      </c>
      <c r="U32" s="125">
        <f>'Data Input'!V28*-1</f>
        <v>-106957</v>
      </c>
      <c r="V32" s="125">
        <f>'Data Input'!W28*-1</f>
        <v>-109112</v>
      </c>
      <c r="W32" s="125">
        <f>'Data Input'!X28*-1</f>
        <v>-114246</v>
      </c>
      <c r="X32" s="125">
        <f>'Data Input'!Y28*-1</f>
        <v>-115685</v>
      </c>
      <c r="Y32" s="125">
        <f>'Data Input'!Z28*-1</f>
        <v>-119864</v>
      </c>
      <c r="Z32" s="125">
        <f>'Data Input'!AA28*-1</f>
        <v>-130867</v>
      </c>
      <c r="AA32" s="125">
        <f>'Data Input'!AB28*-1</f>
        <v>-143076</v>
      </c>
      <c r="AB32" s="346">
        <f>'Data Input'!AC28*-1</f>
        <v>-156998</v>
      </c>
      <c r="AC32" s="871">
        <f>'Data Input'!AD28*-1</f>
        <v>-170805.87488462828</v>
      </c>
      <c r="AD32" s="871">
        <f>'Data Input'!AE28*-1</f>
        <v>-183733.14824921408</v>
      </c>
      <c r="AE32" s="871">
        <f>'Data Input'!AF28*-1</f>
        <v>-196139.25039928145</v>
      </c>
      <c r="AF32" s="871">
        <f>'Data Input'!AG28*-1</f>
        <v>-207697.4054389525</v>
      </c>
    </row>
    <row r="33" spans="1:32" s="8" customFormat="1" x14ac:dyDescent="0.2">
      <c r="A33" s="8" t="s">
        <v>202</v>
      </c>
      <c r="B33" s="8" t="s">
        <v>31</v>
      </c>
      <c r="C33" s="8">
        <f>SUM(C30:C32)</f>
        <v>4267</v>
      </c>
      <c r="D33" s="8">
        <f>SUM(D30:D32)</f>
        <v>2782</v>
      </c>
      <c r="E33" s="8">
        <f t="shared" ref="E33:Q33" si="37">SUM(E30:E32)</f>
        <v>3008</v>
      </c>
      <c r="F33" s="8">
        <f t="shared" si="37"/>
        <v>287</v>
      </c>
      <c r="G33" s="8">
        <f t="shared" si="37"/>
        <v>2606</v>
      </c>
      <c r="H33" s="8">
        <f t="shared" si="37"/>
        <v>915</v>
      </c>
      <c r="I33" s="8">
        <f t="shared" si="37"/>
        <v>-680</v>
      </c>
      <c r="J33" s="8">
        <f t="shared" si="37"/>
        <v>-2431</v>
      </c>
      <c r="K33" s="8">
        <f t="shared" si="37"/>
        <v>-5747</v>
      </c>
      <c r="L33" s="8">
        <f t="shared" si="37"/>
        <v>-10693</v>
      </c>
      <c r="M33" s="8">
        <f t="shared" si="37"/>
        <v>-13693</v>
      </c>
      <c r="N33" s="8">
        <f t="shared" si="37"/>
        <v>-8060</v>
      </c>
      <c r="O33" s="8">
        <f t="shared" si="37"/>
        <v>-8538</v>
      </c>
      <c r="P33" s="8">
        <f t="shared" si="37"/>
        <v>-8148</v>
      </c>
      <c r="Q33" s="119">
        <f t="shared" si="37"/>
        <v>-8702</v>
      </c>
      <c r="R33" s="119">
        <f t="shared" ref="R33:AD33" si="38">SUM(R30:R32)</f>
        <v>-8323</v>
      </c>
      <c r="S33" s="119">
        <f t="shared" si="38"/>
        <v>-11730</v>
      </c>
      <c r="T33" s="119">
        <f t="shared" si="38"/>
        <v>-16561</v>
      </c>
      <c r="U33" s="119">
        <f t="shared" si="38"/>
        <v>-14935</v>
      </c>
      <c r="V33" s="119">
        <f t="shared" si="38"/>
        <v>-12504</v>
      </c>
      <c r="W33" s="119">
        <f t="shared" si="38"/>
        <v>-15129</v>
      </c>
      <c r="X33" s="119">
        <f t="shared" si="38"/>
        <v>-11992</v>
      </c>
      <c r="Y33" s="119">
        <f t="shared" si="38"/>
        <v>-13910</v>
      </c>
      <c r="Z33" s="119">
        <f t="shared" si="38"/>
        <v>-21343</v>
      </c>
      <c r="AA33" s="119">
        <f t="shared" si="38"/>
        <v>-29275</v>
      </c>
      <c r="AB33" s="343">
        <f t="shared" si="38"/>
        <v>-40631</v>
      </c>
      <c r="AC33" s="872">
        <f t="shared" si="38"/>
        <v>-49914.717144808761</v>
      </c>
      <c r="AD33" s="872">
        <f t="shared" si="38"/>
        <v>-58058.602374248643</v>
      </c>
      <c r="AE33" s="872">
        <f t="shared" ref="AE33:AF33" si="39">SUM(AE30:AE32)</f>
        <v>-65414.474248344894</v>
      </c>
      <c r="AF33" s="872">
        <f t="shared" si="39"/>
        <v>-71630.922539779189</v>
      </c>
    </row>
    <row r="34" spans="1:32" s="3" customFormat="1" x14ac:dyDescent="0.2">
      <c r="A34" s="3" t="s">
        <v>196</v>
      </c>
      <c r="B34" s="3" t="s">
        <v>108</v>
      </c>
      <c r="C34" s="3">
        <f>'experience g(l)'!B95</f>
        <v>0</v>
      </c>
      <c r="D34" s="3">
        <f>'experience g(l)'!C95</f>
        <v>1443.4300000000003</v>
      </c>
      <c r="E34" s="3">
        <f>'experience g(l)'!D95</f>
        <v>686.42250000000058</v>
      </c>
      <c r="F34" s="3">
        <f>'experience g(l)'!E95</f>
        <v>3172.5162499999969</v>
      </c>
      <c r="G34" s="3">
        <f>'experience g(l)'!F95</f>
        <v>1493.3037499999955</v>
      </c>
      <c r="H34" s="3">
        <f>'experience g(l)'!G95</f>
        <v>3236.6912499999999</v>
      </c>
      <c r="I34" s="3">
        <f>'experience g(l)'!H95</f>
        <v>4504.3662500000028</v>
      </c>
      <c r="J34" s="3">
        <f>'experience g(l)'!I95</f>
        <v>5352.8549999999996</v>
      </c>
      <c r="K34" s="3">
        <f>'experience g(l)'!J95</f>
        <v>7454.9975000000013</v>
      </c>
      <c r="L34" s="3">
        <f>'experience g(l)'!K95</f>
        <v>10951.279999999995</v>
      </c>
      <c r="M34" s="3">
        <f>'experience g(l)'!L95</f>
        <v>12131.434999999994</v>
      </c>
      <c r="N34" s="3">
        <f>'experience g(l)'!M95</f>
        <v>5502.7149999999929</v>
      </c>
      <c r="O34" s="3">
        <f>'experience g(l)'!N95</f>
        <v>5291.434999999994</v>
      </c>
      <c r="P34" s="3">
        <f>'experience g(l)'!O95</f>
        <v>4224.2749999999905</v>
      </c>
      <c r="Q34" s="121">
        <f>'experience g(l)'!P95</f>
        <v>4055.0499999999847</v>
      </c>
      <c r="R34" s="121">
        <f>'experience g(l)'!Q95</f>
        <v>2985.5999999999876</v>
      </c>
      <c r="S34" s="121">
        <f>'experience g(l)'!R95</f>
        <v>5775.1499999999905</v>
      </c>
      <c r="T34" s="121">
        <f>'experience g(l)'!S95</f>
        <v>9120.8012499999859</v>
      </c>
      <c r="U34" s="121">
        <f>'experience g(l)'!T95</f>
        <v>5234.9762499999888</v>
      </c>
      <c r="V34" s="121">
        <f>'experience g(l)'!U95</f>
        <v>553.67999999998938</v>
      </c>
      <c r="W34" s="121">
        <f>'experience g(l)'!V95</f>
        <v>1544.9353534285583</v>
      </c>
      <c r="X34" s="121">
        <f>'experience g(l)'!W95</f>
        <v>-3295.8878955714499</v>
      </c>
      <c r="Y34" s="121">
        <f>'experience g(l)'!X95</f>
        <v>-2473.0586665491319</v>
      </c>
      <c r="Z34" s="121">
        <f>'experience g(l)'!Y95</f>
        <v>3702.3120704508583</v>
      </c>
      <c r="AA34" s="121">
        <f>'experience g(l)'!Z95</f>
        <v>9631.1466204508724</v>
      </c>
      <c r="AB34" s="345">
        <f>'experience g(l)'!AA95</f>
        <v>18002.558623450896</v>
      </c>
      <c r="AC34" s="863">
        <f>'experience g(l)'!AB95</f>
        <v>23017.298907988137</v>
      </c>
      <c r="AD34" s="863">
        <f>'experience g(l)'!AC95</f>
        <v>26027.794516604292</v>
      </c>
      <c r="AE34" s="863">
        <f>'experience g(l)'!AD95</f>
        <v>27548.756768374515</v>
      </c>
      <c r="AF34" s="863">
        <f>'experience g(l)'!AE95</f>
        <v>27321.493050398989</v>
      </c>
    </row>
    <row r="35" spans="1:32" s="3" customFormat="1" x14ac:dyDescent="0.2">
      <c r="A35" s="3" t="s">
        <v>199</v>
      </c>
      <c r="B35" s="3" t="s">
        <v>201</v>
      </c>
      <c r="C35" s="24" t="str">
        <f>'Data Input'!D29</f>
        <v>n/a</v>
      </c>
      <c r="D35" s="24" t="str">
        <f>'Data Input'!E29</f>
        <v>n/a</v>
      </c>
      <c r="E35" s="24" t="str">
        <f>'Data Input'!F29</f>
        <v>n/a</v>
      </c>
      <c r="F35" s="24" t="str">
        <f>'Data Input'!G29</f>
        <v>n/a</v>
      </c>
      <c r="G35" s="24">
        <f>'Data Input'!H29</f>
        <v>70</v>
      </c>
      <c r="H35" s="24">
        <f>'Data Input'!I29</f>
        <v>79</v>
      </c>
      <c r="I35" s="24">
        <f>'Data Input'!J29</f>
        <v>61</v>
      </c>
      <c r="J35" s="24">
        <f>'Data Input'!K29</f>
        <v>68</v>
      </c>
      <c r="K35" s="24">
        <f>'Data Input'!L29</f>
        <v>53</v>
      </c>
      <c r="L35" s="24">
        <f>'Data Input'!M29</f>
        <v>44</v>
      </c>
      <c r="M35" s="24">
        <f>'Data Input'!N29</f>
        <v>41</v>
      </c>
      <c r="N35" s="24">
        <f>'Data Input'!O29</f>
        <v>44</v>
      </c>
      <c r="O35" s="24">
        <f>'Data Input'!P29</f>
        <v>54</v>
      </c>
      <c r="P35" s="24">
        <f>'Data Input'!Q29</f>
        <v>43</v>
      </c>
      <c r="Q35" s="131">
        <f>'Data Input'!R29</f>
        <v>40</v>
      </c>
      <c r="R35" s="131">
        <f>'Data Input'!S29</f>
        <v>36</v>
      </c>
      <c r="S35" s="131">
        <f>'Data Input'!T29</f>
        <v>34</v>
      </c>
      <c r="T35" s="131">
        <f>'Data Input'!U29</f>
        <v>31</v>
      </c>
      <c r="U35" s="131">
        <f>'Data Input'!V29</f>
        <v>47</v>
      </c>
      <c r="V35" s="131">
        <f>'Data Input'!W29</f>
        <v>57.981786999999997</v>
      </c>
      <c r="W35" s="131">
        <f>'Data Input'!X29</f>
        <v>58.585501000000001</v>
      </c>
      <c r="X35" s="131">
        <f>'Data Input'!Y29</f>
        <v>39.720883999999998</v>
      </c>
      <c r="Y35" s="131">
        <f>'Data Input'!Z29</f>
        <v>39.268236999999999</v>
      </c>
      <c r="Z35" s="131">
        <f>'Data Input'!AA29</f>
        <v>37.903300000000002</v>
      </c>
      <c r="AA35" s="131">
        <f>'Data Input'!AB29</f>
        <v>36.734502999999997</v>
      </c>
      <c r="AB35" s="350">
        <f>'Data Input'!AC29</f>
        <v>38</v>
      </c>
      <c r="AC35" s="865">
        <f>'Data Input'!AD29</f>
        <v>43.364365411764709</v>
      </c>
      <c r="AD35" s="865">
        <f>'Data Input'!AE29</f>
        <v>43.364365411764709</v>
      </c>
      <c r="AE35" s="865">
        <f>'Data Input'!AF29</f>
        <v>43.364365411764709</v>
      </c>
      <c r="AF35" s="865">
        <f>'Data Input'!AG29</f>
        <v>43.364365411764709</v>
      </c>
    </row>
    <row r="36" spans="1:32" s="8" customFormat="1" x14ac:dyDescent="0.2">
      <c r="A36" s="8" t="s">
        <v>200</v>
      </c>
      <c r="B36" s="8" t="s">
        <v>31</v>
      </c>
      <c r="C36" s="8">
        <f>SUM(C33:C35)</f>
        <v>4267</v>
      </c>
      <c r="D36" s="8">
        <f>SUM(D33:D35)</f>
        <v>4225.43</v>
      </c>
      <c r="E36" s="8">
        <f t="shared" ref="E36:Q36" si="40">SUM(E33:E35)</f>
        <v>3694.4225000000006</v>
      </c>
      <c r="F36" s="8">
        <f t="shared" si="40"/>
        <v>3459.5162499999969</v>
      </c>
      <c r="G36" s="8">
        <f t="shared" si="40"/>
        <v>4169.3037499999955</v>
      </c>
      <c r="H36" s="8">
        <f t="shared" si="40"/>
        <v>4230.6912499999999</v>
      </c>
      <c r="I36" s="8">
        <f t="shared" si="40"/>
        <v>3885.3662500000028</v>
      </c>
      <c r="J36" s="8">
        <f t="shared" si="40"/>
        <v>2989.8549999999996</v>
      </c>
      <c r="K36" s="8">
        <f t="shared" si="40"/>
        <v>1760.9975000000013</v>
      </c>
      <c r="L36" s="8">
        <f t="shared" si="40"/>
        <v>302.2799999999952</v>
      </c>
      <c r="M36" s="8">
        <f t="shared" si="40"/>
        <v>-1520.565000000006</v>
      </c>
      <c r="N36" s="8">
        <f t="shared" si="40"/>
        <v>-2513.2850000000071</v>
      </c>
      <c r="O36" s="8">
        <f t="shared" si="40"/>
        <v>-3192.565000000006</v>
      </c>
      <c r="P36" s="8">
        <f t="shared" si="40"/>
        <v>-3880.7250000000095</v>
      </c>
      <c r="Q36" s="119">
        <f t="shared" si="40"/>
        <v>-4606.9500000000153</v>
      </c>
      <c r="R36" s="119">
        <f t="shared" ref="R36:AD36" si="41">SUM(R33:R35)</f>
        <v>-5301.4000000000124</v>
      </c>
      <c r="S36" s="119">
        <f t="shared" si="41"/>
        <v>-5920.8500000000095</v>
      </c>
      <c r="T36" s="119">
        <f t="shared" si="41"/>
        <v>-7409.1987500000141</v>
      </c>
      <c r="U36" s="119">
        <f t="shared" si="41"/>
        <v>-9653.0237500000112</v>
      </c>
      <c r="V36" s="119">
        <f t="shared" si="41"/>
        <v>-11892.33821300001</v>
      </c>
      <c r="W36" s="119">
        <f t="shared" si="41"/>
        <v>-13525.479145571442</v>
      </c>
      <c r="X36" s="119">
        <f t="shared" si="41"/>
        <v>-15248.16701157145</v>
      </c>
      <c r="Y36" s="119">
        <f t="shared" si="41"/>
        <v>-16343.790429549132</v>
      </c>
      <c r="Z36" s="119">
        <f t="shared" si="41"/>
        <v>-17602.78462954914</v>
      </c>
      <c r="AA36" s="119">
        <f t="shared" si="41"/>
        <v>-19607.118876549128</v>
      </c>
      <c r="AB36" s="343">
        <f t="shared" si="41"/>
        <v>-22590.441376549104</v>
      </c>
      <c r="AC36" s="872">
        <f t="shared" si="41"/>
        <v>-26854.053871408858</v>
      </c>
      <c r="AD36" s="872">
        <f t="shared" si="41"/>
        <v>-31987.443492232585</v>
      </c>
      <c r="AE36" s="872">
        <f t="shared" ref="AE36:AF36" si="42">SUM(AE33:AE35)</f>
        <v>-37822.353114558617</v>
      </c>
      <c r="AF36" s="872">
        <f t="shared" si="42"/>
        <v>-44266.065123968438</v>
      </c>
    </row>
    <row r="37" spans="1:32" s="119" customFormat="1" x14ac:dyDescent="0.2">
      <c r="A37" s="885" t="s">
        <v>403</v>
      </c>
      <c r="B37" s="146" t="s">
        <v>404</v>
      </c>
      <c r="U37" s="146">
        <f>-'CPI Special Payments'!C13</f>
        <v>0</v>
      </c>
      <c r="V37" s="146">
        <f>-'CPI Special Payments'!D13</f>
        <v>0</v>
      </c>
      <c r="W37" s="146">
        <f>-'CPI Special Payments'!E13</f>
        <v>0</v>
      </c>
      <c r="X37" s="146">
        <f>-'CPI Special Payments'!F13</f>
        <v>0</v>
      </c>
      <c r="Y37" s="146">
        <f>-'CPI Special Payments'!G13</f>
        <v>0</v>
      </c>
      <c r="Z37" s="146">
        <f>-'CPI Special Payments'!H13</f>
        <v>-1</v>
      </c>
      <c r="AA37" s="146">
        <f>-'CPI Special Payments'!I13</f>
        <v>-2</v>
      </c>
      <c r="AB37" s="344">
        <f>-'CPI Special Payments'!J13</f>
        <v>-3</v>
      </c>
      <c r="AC37" s="867">
        <f>-'CPI Special Payments'!K13</f>
        <v>-3</v>
      </c>
      <c r="AD37" s="867">
        <f>-'CPI Special Payments'!L13</f>
        <v>-3</v>
      </c>
      <c r="AE37" s="867">
        <f>-'CPI Special Payments'!M13</f>
        <v>-3</v>
      </c>
      <c r="AF37" s="867">
        <f>-'CPI Special Payments'!N13</f>
        <v>-3</v>
      </c>
    </row>
    <row r="38" spans="1:32" s="3" customFormat="1" x14ac:dyDescent="0.2">
      <c r="A38" s="3" t="s">
        <v>203</v>
      </c>
      <c r="B38" s="3" t="s">
        <v>204</v>
      </c>
      <c r="C38" s="6">
        <f>'year end'!C22</f>
        <v>893</v>
      </c>
      <c r="D38" s="6">
        <f>'year end'!D22</f>
        <v>944.63500000000022</v>
      </c>
      <c r="E38" s="6">
        <f>'year end'!E22</f>
        <v>1180.6350000000002</v>
      </c>
      <c r="F38" s="6">
        <f>'year end'!F22</f>
        <v>1442.6350000000002</v>
      </c>
      <c r="G38" s="6">
        <f>'year end'!G22</f>
        <v>809.63500000000386</v>
      </c>
      <c r="H38" s="6">
        <f>'year end'!H22</f>
        <v>802.63500000000568</v>
      </c>
      <c r="I38" s="6">
        <f>'year end'!I22</f>
        <v>702.63500000000113</v>
      </c>
      <c r="J38" s="6">
        <f>'year end'!J22</f>
        <v>676.63499999999885</v>
      </c>
      <c r="K38" s="6">
        <f>'year end'!K22</f>
        <v>703.63500000000204</v>
      </c>
      <c r="L38" s="6">
        <f>'year end'!L22</f>
        <v>820.63500000000022</v>
      </c>
      <c r="M38" s="6">
        <f>'year end'!M22</f>
        <v>842.63500000000613</v>
      </c>
      <c r="N38" s="6">
        <f>'year end'!N22</f>
        <v>871.60063000000764</v>
      </c>
      <c r="O38" s="6">
        <f>'year end'!O22</f>
        <v>898.3578040000084</v>
      </c>
      <c r="P38" s="6">
        <f>'year end'!P22</f>
        <v>944.41462900000761</v>
      </c>
      <c r="Q38" s="125">
        <f>'year end'!Q22</f>
        <v>994.27099500001032</v>
      </c>
      <c r="R38" s="125">
        <f>'year end'!R22</f>
        <v>1045.061462000016</v>
      </c>
      <c r="S38" s="125">
        <f>'year end'!S22+'year end'!S30</f>
        <v>1058.9151612353066</v>
      </c>
      <c r="T38" s="125">
        <f>'year end'!T22+'year end'!T30</f>
        <v>1299.6710804705981</v>
      </c>
      <c r="U38" s="125">
        <f>'year end'!U22+'year end'!U30</f>
        <v>1374.6416687058968</v>
      </c>
      <c r="V38" s="125">
        <f>'year end'!V22+'year end'!V30</f>
        <v>1527.0420989411869</v>
      </c>
      <c r="W38" s="125">
        <f>'year end'!W22+'year end'!W30</f>
        <v>1547.75082117648</v>
      </c>
      <c r="X38" s="125">
        <f>'year end'!X22+'year end'!X30</f>
        <v>1598.9084524117759</v>
      </c>
      <c r="Y38" s="125">
        <f>'year end'!Y22+'year end'!Y30</f>
        <v>1651.8220746470772</v>
      </c>
      <c r="Z38" s="125">
        <f>'year end'!Z22+'year end'!Z30</f>
        <v>1706.0367138823765</v>
      </c>
      <c r="AA38" s="125">
        <f>'year end'!AA22+'year end'!AA30</f>
        <v>1763.2066311176752</v>
      </c>
      <c r="AB38" s="346">
        <f>'year end'!AB22+'year end'!AB30</f>
        <v>1790.9391320529583</v>
      </c>
      <c r="AC38" s="871">
        <f>'year end'!AC22+'year end'!AC30</f>
        <v>1820.7574389885024</v>
      </c>
      <c r="AD38" s="871">
        <f>'year end'!AD22+'year end'!AD30</f>
        <v>1849.2805809113286</v>
      </c>
      <c r="AE38" s="871">
        <f>'year end'!AE22+'year end'!AE30</f>
        <v>1876.6397422092759</v>
      </c>
      <c r="AF38" s="871">
        <f>'year end'!AF22+'year end'!AF30</f>
        <v>1902.7945867465592</v>
      </c>
    </row>
    <row r="39" spans="1:32" s="3" customFormat="1" ht="13.5" thickBot="1" x14ac:dyDescent="0.25">
      <c r="A39" s="8" t="s">
        <v>205</v>
      </c>
      <c r="B39" s="8" t="s">
        <v>31</v>
      </c>
      <c r="C39" s="51">
        <f>SUM(C36:C38)</f>
        <v>5160</v>
      </c>
      <c r="D39" s="51">
        <f>SUM(D36:D38)</f>
        <v>5170.0650000000005</v>
      </c>
      <c r="E39" s="51">
        <f t="shared" ref="E39:Q39" si="43">SUM(E36:E38)</f>
        <v>4875.0575000000008</v>
      </c>
      <c r="F39" s="51">
        <f t="shared" si="43"/>
        <v>4902.1512499999972</v>
      </c>
      <c r="G39" s="51">
        <f t="shared" si="43"/>
        <v>4978.9387499999993</v>
      </c>
      <c r="H39" s="51">
        <f t="shared" si="43"/>
        <v>5033.3262500000055</v>
      </c>
      <c r="I39" s="51">
        <f t="shared" si="43"/>
        <v>4588.0012500000039</v>
      </c>
      <c r="J39" s="51">
        <f t="shared" si="43"/>
        <v>3666.4899999999984</v>
      </c>
      <c r="K39" s="51">
        <f t="shared" si="43"/>
        <v>2464.6325000000033</v>
      </c>
      <c r="L39" s="51">
        <f t="shared" si="43"/>
        <v>1122.9149999999954</v>
      </c>
      <c r="M39" s="51">
        <f t="shared" si="43"/>
        <v>-677.92999999999984</v>
      </c>
      <c r="N39" s="51">
        <f>SUM(N36:N38)</f>
        <v>-1641.6843699999995</v>
      </c>
      <c r="O39" s="51">
        <f t="shared" si="43"/>
        <v>-2294.2071959999976</v>
      </c>
      <c r="P39" s="51">
        <f t="shared" si="43"/>
        <v>-2936.3103710000019</v>
      </c>
      <c r="Q39" s="148">
        <f t="shared" si="43"/>
        <v>-3612.679005000005</v>
      </c>
      <c r="R39" s="148">
        <f t="shared" ref="R39:AD39" si="44">SUM(R36:R38)</f>
        <v>-4256.3385379999963</v>
      </c>
      <c r="S39" s="148">
        <f t="shared" si="44"/>
        <v>-4861.9348387647024</v>
      </c>
      <c r="T39" s="148">
        <f t="shared" si="44"/>
        <v>-6109.527669529416</v>
      </c>
      <c r="U39" s="148">
        <f t="shared" si="44"/>
        <v>-8278.382081294114</v>
      </c>
      <c r="V39" s="148">
        <f t="shared" si="44"/>
        <v>-10365.296114058823</v>
      </c>
      <c r="W39" s="148">
        <f t="shared" si="44"/>
        <v>-11977.728324394962</v>
      </c>
      <c r="X39" s="148">
        <f>SUM(X36:X38)</f>
        <v>-13649.258559159674</v>
      </c>
      <c r="Y39" s="148">
        <f t="shared" si="44"/>
        <v>-14691.968354902054</v>
      </c>
      <c r="Z39" s="148">
        <f t="shared" si="44"/>
        <v>-15897.747915666763</v>
      </c>
      <c r="AA39" s="148">
        <f t="shared" si="44"/>
        <v>-17845.912245431453</v>
      </c>
      <c r="AB39" s="377">
        <f t="shared" si="44"/>
        <v>-20802.502244496147</v>
      </c>
      <c r="AC39" s="873">
        <f t="shared" si="44"/>
        <v>-25036.296432420357</v>
      </c>
      <c r="AD39" s="873">
        <f t="shared" si="44"/>
        <v>-30141.162911321258</v>
      </c>
      <c r="AE39" s="873">
        <f t="shared" ref="AE39:AF39" si="45">SUM(AE36:AE38)</f>
        <v>-35948.713372349339</v>
      </c>
      <c r="AF39" s="873">
        <f t="shared" si="45"/>
        <v>-42366.270537221877</v>
      </c>
    </row>
    <row r="40" spans="1:32" s="3" customFormat="1" ht="13.5" thickTop="1" x14ac:dyDescent="0.2">
      <c r="Q40" s="121"/>
      <c r="R40" s="121"/>
      <c r="S40" s="121"/>
      <c r="T40" s="121"/>
      <c r="U40" s="121"/>
      <c r="V40" s="121"/>
      <c r="W40" s="121"/>
      <c r="X40" s="121"/>
      <c r="Y40" s="121"/>
      <c r="Z40" s="121"/>
      <c r="AA40" s="121"/>
      <c r="AB40" s="345"/>
      <c r="AC40" s="863"/>
      <c r="AD40" s="863"/>
      <c r="AE40" s="863"/>
      <c r="AF40" s="863"/>
    </row>
    <row r="41" spans="1:32" s="3" customFormat="1" ht="13.5" thickBot="1" x14ac:dyDescent="0.25">
      <c r="Q41" s="121"/>
      <c r="R41" s="121"/>
      <c r="S41" s="121"/>
      <c r="T41" s="121"/>
      <c r="U41" s="121"/>
      <c r="V41" s="121"/>
      <c r="W41" s="121"/>
      <c r="X41" s="121"/>
      <c r="Y41" s="121"/>
      <c r="Z41" s="121"/>
      <c r="AA41" s="121"/>
      <c r="AB41" s="345"/>
      <c r="AC41" s="863"/>
      <c r="AD41" s="863"/>
      <c r="AE41" s="863"/>
      <c r="AF41" s="863"/>
    </row>
    <row r="42" spans="1:32" x14ac:dyDescent="0.2">
      <c r="K42" s="845" t="s">
        <v>471</v>
      </c>
      <c r="L42" s="846"/>
      <c r="M42" s="846"/>
      <c r="N42" s="847">
        <f>ROUND(N17,0)</f>
        <v>-336</v>
      </c>
      <c r="O42" s="847">
        <f t="shared" ref="O42:AF42" si="46">ROUND(O17,0)</f>
        <v>-791</v>
      </c>
      <c r="P42" s="847">
        <f t="shared" si="46"/>
        <v>-1233</v>
      </c>
      <c r="Q42" s="847">
        <f t="shared" si="46"/>
        <v>-1691</v>
      </c>
      <c r="R42" s="847">
        <f t="shared" si="46"/>
        <v>-2126</v>
      </c>
      <c r="S42" s="847">
        <f t="shared" si="46"/>
        <v>-2562</v>
      </c>
      <c r="T42" s="847">
        <f t="shared" si="46"/>
        <v>-3016</v>
      </c>
      <c r="U42" s="847">
        <f t="shared" si="46"/>
        <v>-4027</v>
      </c>
      <c r="V42" s="847">
        <f t="shared" si="46"/>
        <v>-5005</v>
      </c>
      <c r="W42" s="847">
        <f t="shared" si="46"/>
        <v>-5799</v>
      </c>
      <c r="X42" s="847">
        <f t="shared" si="46"/>
        <v>-6623</v>
      </c>
      <c r="Y42" s="847">
        <f t="shared" si="46"/>
        <v>-7124</v>
      </c>
      <c r="Z42" s="847">
        <f t="shared" si="46"/>
        <v>-7711</v>
      </c>
      <c r="AA42" s="847">
        <f t="shared" si="46"/>
        <v>-8667</v>
      </c>
      <c r="AB42" s="856">
        <f t="shared" si="46"/>
        <v>-10147</v>
      </c>
      <c r="AC42" s="874">
        <f t="shared" si="46"/>
        <v>-12271</v>
      </c>
      <c r="AD42" s="874">
        <f t="shared" si="46"/>
        <v>-14829</v>
      </c>
      <c r="AE42" s="874">
        <f t="shared" si="46"/>
        <v>-17740</v>
      </c>
      <c r="AF42" s="875">
        <f t="shared" si="46"/>
        <v>-20956</v>
      </c>
    </row>
    <row r="43" spans="1:32" x14ac:dyDescent="0.2">
      <c r="K43" s="848" t="s">
        <v>473</v>
      </c>
      <c r="L43" s="849"/>
      <c r="M43" s="849"/>
      <c r="N43" s="38">
        <f>-N42</f>
        <v>336</v>
      </c>
      <c r="O43" s="38">
        <f t="shared" ref="O43:AF43" si="47">-O42</f>
        <v>791</v>
      </c>
      <c r="P43" s="38">
        <f t="shared" si="47"/>
        <v>1233</v>
      </c>
      <c r="Q43" s="38">
        <f t="shared" si="47"/>
        <v>1691</v>
      </c>
      <c r="R43" s="38">
        <f t="shared" si="47"/>
        <v>2126</v>
      </c>
      <c r="S43" s="38">
        <f t="shared" si="47"/>
        <v>2562</v>
      </c>
      <c r="T43" s="38">
        <f t="shared" si="47"/>
        <v>3016</v>
      </c>
      <c r="U43" s="38">
        <f t="shared" si="47"/>
        <v>4027</v>
      </c>
      <c r="V43" s="38">
        <f t="shared" si="47"/>
        <v>5005</v>
      </c>
      <c r="W43" s="38">
        <f t="shared" si="47"/>
        <v>5799</v>
      </c>
      <c r="X43" s="38">
        <f t="shared" si="47"/>
        <v>6623</v>
      </c>
      <c r="Y43" s="38">
        <f t="shared" si="47"/>
        <v>7124</v>
      </c>
      <c r="Z43" s="38">
        <f t="shared" si="47"/>
        <v>7711</v>
      </c>
      <c r="AA43" s="38">
        <f t="shared" si="47"/>
        <v>8667</v>
      </c>
      <c r="AB43" s="356">
        <f t="shared" si="47"/>
        <v>10147</v>
      </c>
      <c r="AC43" s="876">
        <f t="shared" si="47"/>
        <v>12271</v>
      </c>
      <c r="AD43" s="876">
        <f t="shared" si="47"/>
        <v>14829</v>
      </c>
      <c r="AE43" s="876">
        <f t="shared" si="47"/>
        <v>17740</v>
      </c>
      <c r="AF43" s="877">
        <f t="shared" si="47"/>
        <v>20956</v>
      </c>
    </row>
    <row r="44" spans="1:32" x14ac:dyDescent="0.2">
      <c r="K44" s="848" t="s">
        <v>474</v>
      </c>
      <c r="L44" s="849"/>
      <c r="M44" s="849"/>
      <c r="N44" s="74">
        <f>SUM(N42:N43)</f>
        <v>0</v>
      </c>
      <c r="O44" s="74">
        <f t="shared" ref="O44:AF44" si="48">SUM(O42:O43)</f>
        <v>0</v>
      </c>
      <c r="P44" s="74">
        <f t="shared" si="48"/>
        <v>0</v>
      </c>
      <c r="Q44" s="74">
        <f t="shared" si="48"/>
        <v>0</v>
      </c>
      <c r="R44" s="74">
        <f t="shared" si="48"/>
        <v>0</v>
      </c>
      <c r="S44" s="74">
        <f t="shared" si="48"/>
        <v>0</v>
      </c>
      <c r="T44" s="74">
        <f t="shared" si="48"/>
        <v>0</v>
      </c>
      <c r="U44" s="74">
        <f t="shared" si="48"/>
        <v>0</v>
      </c>
      <c r="V44" s="74">
        <f t="shared" si="48"/>
        <v>0</v>
      </c>
      <c r="W44" s="74">
        <f t="shared" si="48"/>
        <v>0</v>
      </c>
      <c r="X44" s="74">
        <f t="shared" si="48"/>
        <v>0</v>
      </c>
      <c r="Y44" s="74">
        <f t="shared" si="48"/>
        <v>0</v>
      </c>
      <c r="Z44" s="74">
        <f t="shared" si="48"/>
        <v>0</v>
      </c>
      <c r="AA44" s="74">
        <f t="shared" si="48"/>
        <v>0</v>
      </c>
      <c r="AB44" s="857">
        <f t="shared" si="48"/>
        <v>0</v>
      </c>
      <c r="AC44" s="878">
        <f t="shared" si="48"/>
        <v>0</v>
      </c>
      <c r="AD44" s="878">
        <f t="shared" si="48"/>
        <v>0</v>
      </c>
      <c r="AE44" s="878">
        <f t="shared" si="48"/>
        <v>0</v>
      </c>
      <c r="AF44" s="879">
        <f t="shared" si="48"/>
        <v>0</v>
      </c>
    </row>
    <row r="45" spans="1:32" x14ac:dyDescent="0.2">
      <c r="K45" s="850"/>
      <c r="L45" s="849"/>
      <c r="M45" s="849"/>
      <c r="N45" s="849"/>
      <c r="O45" s="849"/>
      <c r="P45" s="849"/>
      <c r="Q45" s="171"/>
      <c r="R45" s="171"/>
      <c r="S45" s="171"/>
      <c r="T45" s="171"/>
      <c r="U45" s="171"/>
      <c r="V45" s="171"/>
      <c r="W45" s="171"/>
      <c r="X45" s="171"/>
      <c r="Y45" s="171"/>
      <c r="Z45" s="171"/>
      <c r="AA45" s="171"/>
      <c r="AB45" s="851"/>
      <c r="AC45" s="880"/>
      <c r="AD45" s="880"/>
      <c r="AE45" s="880"/>
      <c r="AF45" s="881"/>
    </row>
    <row r="46" spans="1:32" x14ac:dyDescent="0.2">
      <c r="K46" s="848" t="s">
        <v>472</v>
      </c>
      <c r="L46" s="849"/>
      <c r="M46" s="849"/>
      <c r="N46" s="849">
        <f>ROUND('OTPP expense (excluding RCA)'!N19,0)</f>
        <v>29</v>
      </c>
      <c r="O46" s="849">
        <f>ROUND('OTPP expense (excluding RCA)'!O19,0)</f>
        <v>221</v>
      </c>
      <c r="P46" s="849">
        <f>ROUND('OTPP expense (excluding RCA)'!P19,0)</f>
        <v>241</v>
      </c>
      <c r="Q46" s="849">
        <f>ROUND('OTPP expense (excluding RCA)'!Q19,0)</f>
        <v>250</v>
      </c>
      <c r="R46" s="849">
        <f>ROUND('OTPP expense (excluding RCA)'!R19,0)</f>
        <v>305</v>
      </c>
      <c r="S46" s="849">
        <f>ROUND('OTPP expense (excluding RCA)'!S19,0)</f>
        <v>359</v>
      </c>
      <c r="T46" s="849">
        <f>ROUND('OTPP expense (excluding RCA)'!T19,0)</f>
        <v>354</v>
      </c>
      <c r="U46" s="849">
        <f>ROUND('OTPP expense (excluding RCA)'!U19,0)</f>
        <v>60</v>
      </c>
      <c r="V46" s="849">
        <f>ROUND('OTPP expense (excluding RCA)'!V19,0)</f>
        <v>266</v>
      </c>
      <c r="W46" s="849">
        <f>ROUND('OTPP expense (excluding RCA)'!W19,0)</f>
        <v>523</v>
      </c>
      <c r="X46" s="849">
        <f>ROUND('OTPP expense (excluding RCA)'!X19,0)</f>
        <v>519</v>
      </c>
      <c r="Y46" s="849">
        <f>ROUND('OTPP expense (excluding RCA)'!Y19,0)</f>
        <v>892</v>
      </c>
      <c r="Z46" s="849">
        <f>ROUND('OTPP expense (excluding RCA)'!Z19,0)</f>
        <v>875</v>
      </c>
      <c r="AA46" s="849">
        <f>ROUND('OTPP expense (excluding RCA)'!AA19,0)</f>
        <v>569</v>
      </c>
      <c r="AB46" s="857">
        <f>ROUND('OTPP expense (excluding RCA)'!AB19,0)</f>
        <v>118</v>
      </c>
      <c r="AC46" s="878">
        <f>ROUND('OTPP expense (excluding RCA)'!AC19,0)</f>
        <v>-459</v>
      </c>
      <c r="AD46" s="878">
        <f>ROUND('OTPP expense (excluding RCA)'!AD19,0)</f>
        <v>-826</v>
      </c>
      <c r="AE46" s="878">
        <f>ROUND('OTPP expense (excluding RCA)'!AE19,0)</f>
        <v>-1117</v>
      </c>
      <c r="AF46" s="879">
        <f>ROUND('OTPP expense (excluding RCA)'!AF19,0)</f>
        <v>-1358</v>
      </c>
    </row>
    <row r="47" spans="1:32" x14ac:dyDescent="0.2">
      <c r="K47" s="848" t="s">
        <v>475</v>
      </c>
      <c r="L47" s="849"/>
      <c r="M47" s="849"/>
      <c r="N47" s="38">
        <f>N43</f>
        <v>336</v>
      </c>
      <c r="O47" s="38">
        <f>O43-N43</f>
        <v>455</v>
      </c>
      <c r="P47" s="38">
        <f t="shared" ref="P47:AF47" si="49">P43-O43</f>
        <v>442</v>
      </c>
      <c r="Q47" s="38">
        <f t="shared" si="49"/>
        <v>458</v>
      </c>
      <c r="R47" s="38">
        <f t="shared" si="49"/>
        <v>435</v>
      </c>
      <c r="S47" s="38">
        <f t="shared" si="49"/>
        <v>436</v>
      </c>
      <c r="T47" s="38">
        <f t="shared" si="49"/>
        <v>454</v>
      </c>
      <c r="U47" s="38">
        <f t="shared" si="49"/>
        <v>1011</v>
      </c>
      <c r="V47" s="38">
        <f t="shared" si="49"/>
        <v>978</v>
      </c>
      <c r="W47" s="38">
        <f t="shared" si="49"/>
        <v>794</v>
      </c>
      <c r="X47" s="38">
        <f t="shared" si="49"/>
        <v>824</v>
      </c>
      <c r="Y47" s="38">
        <f t="shared" si="49"/>
        <v>501</v>
      </c>
      <c r="Z47" s="38">
        <f t="shared" si="49"/>
        <v>587</v>
      </c>
      <c r="AA47" s="38">
        <f t="shared" si="49"/>
        <v>956</v>
      </c>
      <c r="AB47" s="356">
        <f>AB43-AA43</f>
        <v>1480</v>
      </c>
      <c r="AC47" s="876">
        <f t="shared" si="49"/>
        <v>2124</v>
      </c>
      <c r="AD47" s="876">
        <f t="shared" si="49"/>
        <v>2558</v>
      </c>
      <c r="AE47" s="876">
        <f t="shared" si="49"/>
        <v>2911</v>
      </c>
      <c r="AF47" s="877">
        <f t="shared" si="49"/>
        <v>3216</v>
      </c>
    </row>
    <row r="48" spans="1:32" x14ac:dyDescent="0.2">
      <c r="K48" s="848" t="s">
        <v>476</v>
      </c>
      <c r="L48" s="849"/>
      <c r="M48" s="849"/>
      <c r="N48" s="74">
        <f>N46+N47</f>
        <v>365</v>
      </c>
      <c r="O48" s="74">
        <f t="shared" ref="O48:AF48" si="50">O46+O47</f>
        <v>676</v>
      </c>
      <c r="P48" s="74">
        <f t="shared" si="50"/>
        <v>683</v>
      </c>
      <c r="Q48" s="74">
        <f t="shared" si="50"/>
        <v>708</v>
      </c>
      <c r="R48" s="74">
        <f t="shared" si="50"/>
        <v>740</v>
      </c>
      <c r="S48" s="74">
        <f t="shared" si="50"/>
        <v>795</v>
      </c>
      <c r="T48" s="74">
        <f t="shared" si="50"/>
        <v>808</v>
      </c>
      <c r="U48" s="74">
        <f t="shared" si="50"/>
        <v>1071</v>
      </c>
      <c r="V48" s="74">
        <f t="shared" si="50"/>
        <v>1244</v>
      </c>
      <c r="W48" s="74">
        <f t="shared" si="50"/>
        <v>1317</v>
      </c>
      <c r="X48" s="74">
        <f t="shared" si="50"/>
        <v>1343</v>
      </c>
      <c r="Y48" s="74">
        <f t="shared" si="50"/>
        <v>1393</v>
      </c>
      <c r="Z48" s="74">
        <f t="shared" si="50"/>
        <v>1462</v>
      </c>
      <c r="AA48" s="74">
        <f t="shared" si="50"/>
        <v>1525</v>
      </c>
      <c r="AB48" s="857">
        <f t="shared" si="50"/>
        <v>1598</v>
      </c>
      <c r="AC48" s="878">
        <f t="shared" si="50"/>
        <v>1665</v>
      </c>
      <c r="AD48" s="878">
        <f t="shared" si="50"/>
        <v>1732</v>
      </c>
      <c r="AE48" s="878">
        <f t="shared" si="50"/>
        <v>1794</v>
      </c>
      <c r="AF48" s="879">
        <f t="shared" si="50"/>
        <v>1858</v>
      </c>
    </row>
    <row r="49" spans="11:32" x14ac:dyDescent="0.2">
      <c r="K49" s="850"/>
      <c r="L49" s="849"/>
      <c r="M49" s="849"/>
      <c r="N49" s="849"/>
      <c r="O49" s="849"/>
      <c r="P49" s="849"/>
      <c r="Q49" s="171"/>
      <c r="R49" s="171"/>
      <c r="S49" s="171"/>
      <c r="T49" s="171"/>
      <c r="U49" s="171"/>
      <c r="V49" s="171"/>
      <c r="W49" s="171"/>
      <c r="X49" s="171"/>
      <c r="Y49" s="171"/>
      <c r="Z49" s="171"/>
      <c r="AA49" s="171"/>
      <c r="AB49" s="851"/>
      <c r="AC49" s="880"/>
      <c r="AD49" s="880"/>
      <c r="AE49" s="880"/>
      <c r="AF49" s="881"/>
    </row>
    <row r="50" spans="11:32" x14ac:dyDescent="0.2">
      <c r="K50" s="848" t="s">
        <v>477</v>
      </c>
      <c r="L50" s="849"/>
      <c r="M50" s="849"/>
      <c r="N50" s="74">
        <f>-N23</f>
        <v>645.03436999999997</v>
      </c>
      <c r="O50" s="74">
        <f t="shared" ref="O50:AF50" si="51">-O23</f>
        <v>676.24282600000004</v>
      </c>
      <c r="P50" s="74">
        <f t="shared" si="51"/>
        <v>682.943175</v>
      </c>
      <c r="Q50" s="74">
        <f t="shared" si="51"/>
        <v>708.14363400000002</v>
      </c>
      <c r="R50" s="74">
        <f t="shared" si="51"/>
        <v>740.20953299999996</v>
      </c>
      <c r="S50" s="74">
        <f t="shared" si="51"/>
        <v>795.11688900000001</v>
      </c>
      <c r="T50" s="74">
        <f t="shared" si="51"/>
        <v>808.21466899999996</v>
      </c>
      <c r="U50" s="74">
        <f t="shared" si="51"/>
        <v>1070</v>
      </c>
      <c r="V50" s="74">
        <f t="shared" si="51"/>
        <v>1244.570158</v>
      </c>
      <c r="W50" s="74">
        <f t="shared" si="51"/>
        <v>1316.2618660000001</v>
      </c>
      <c r="X50" s="74">
        <f t="shared" si="51"/>
        <v>1343.8129570000001</v>
      </c>
      <c r="Y50" s="74">
        <f t="shared" si="51"/>
        <v>1393.0569660000001</v>
      </c>
      <c r="Z50" s="74">
        <f t="shared" si="51"/>
        <v>1460.7559490000001</v>
      </c>
      <c r="AA50" s="74">
        <f t="shared" si="51"/>
        <v>1525.800671</v>
      </c>
      <c r="AB50" s="857">
        <f>-AB23</f>
        <v>1598.2380873</v>
      </c>
      <c r="AC50" s="878">
        <f t="shared" si="51"/>
        <v>1664.1763250155739</v>
      </c>
      <c r="AD50" s="878">
        <f t="shared" si="51"/>
        <v>1732.632443033782</v>
      </c>
      <c r="AE50" s="878">
        <f t="shared" si="51"/>
        <v>1794.1547928826822</v>
      </c>
      <c r="AF50" s="879">
        <f t="shared" si="51"/>
        <v>1857.8091145237856</v>
      </c>
    </row>
    <row r="51" spans="11:32" ht="13.5" thickBot="1" x14ac:dyDescent="0.25">
      <c r="K51" s="852"/>
      <c r="L51" s="853"/>
      <c r="M51" s="853"/>
      <c r="N51" s="853"/>
      <c r="O51" s="853"/>
      <c r="P51" s="853"/>
      <c r="Q51" s="854"/>
      <c r="R51" s="854"/>
      <c r="S51" s="854"/>
      <c r="T51" s="854"/>
      <c r="U51" s="854"/>
      <c r="V51" s="854"/>
      <c r="W51" s="854"/>
      <c r="X51" s="854"/>
      <c r="Y51" s="854"/>
      <c r="Z51" s="854"/>
      <c r="AA51" s="854"/>
      <c r="AB51" s="855"/>
      <c r="AC51" s="882"/>
      <c r="AD51" s="883"/>
      <c r="AE51" s="883"/>
      <c r="AF51" s="884"/>
    </row>
  </sheetData>
  <phoneticPr fontId="0" type="noConversion"/>
  <pageMargins left="0.5" right="0.5" top="1" bottom="1" header="0.5" footer="0.5"/>
  <pageSetup paperSize="5" scale="41" orientation="landscape" r:id="rId1"/>
  <headerFooter alignWithMargins="0">
    <oddFooter>&amp;L&amp;"Arial,Bold"&amp;F&amp;C&amp;A
&amp;R&amp;D  &amp;T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AF34"/>
  <sheetViews>
    <sheetView zoomScaleNormal="100" workbookViewId="0">
      <pane xSplit="2" ySplit="5" topLeftCell="D6" activePane="bottomRight" state="frozen"/>
      <selection activeCell="AE23" sqref="AE23"/>
      <selection pane="topRight" activeCell="AE23" sqref="AE23"/>
      <selection pane="bottomLeft" activeCell="AE23" sqref="AE23"/>
      <selection pane="bottomRight" activeCell="AE23" sqref="AE23"/>
    </sheetView>
  </sheetViews>
  <sheetFormatPr defaultRowHeight="12.75" outlineLevelCol="1" x14ac:dyDescent="0.2"/>
  <cols>
    <col min="1" max="1" width="42.7109375" customWidth="1"/>
    <col min="2" max="2" width="20.7109375" customWidth="1"/>
    <col min="3" max="4" width="9.42578125" customWidth="1" outlineLevel="1"/>
    <col min="5" max="13" width="9.28515625" customWidth="1" outlineLevel="1"/>
    <col min="14" max="14" width="10.140625" customWidth="1" outlineLevel="1"/>
    <col min="15" max="15" width="12.28515625" customWidth="1" outlineLevel="1"/>
    <col min="16" max="16" width="13" customWidth="1" outlineLevel="1"/>
    <col min="17" max="17" width="13.140625" style="115" customWidth="1" outlineLevel="1"/>
    <col min="18" max="18" width="12" style="115" customWidth="1" outlineLevel="1"/>
    <col min="19" max="19" width="12.42578125" style="115" customWidth="1" outlineLevel="1"/>
    <col min="20" max="20" width="12.85546875" style="115" customWidth="1" outlineLevel="1"/>
    <col min="21" max="21" width="11.28515625" style="115" bestFit="1" customWidth="1"/>
    <col min="22" max="22" width="12.28515625" style="115" bestFit="1" customWidth="1"/>
    <col min="23" max="23" width="12.28515625" style="115" customWidth="1"/>
    <col min="24" max="27" width="12.28515625" style="115" bestFit="1" customWidth="1"/>
    <col min="28" max="28" width="12.28515625" style="338" bestFit="1" customWidth="1"/>
    <col min="29" max="31" width="9.140625" style="76" customWidth="1" outlineLevel="1"/>
    <col min="32" max="32" width="9.140625" style="238" customWidth="1" outlineLevel="1"/>
    <col min="33" max="16384" width="9.140625" style="115"/>
  </cols>
  <sheetData>
    <row r="1" spans="1:32" ht="15.75" x14ac:dyDescent="0.25">
      <c r="A1" s="18" t="s">
        <v>67</v>
      </c>
    </row>
    <row r="2" spans="1:32" x14ac:dyDescent="0.2">
      <c r="A2" s="2" t="s">
        <v>244</v>
      </c>
    </row>
    <row r="4" spans="1:32" ht="56.25" customHeight="1" x14ac:dyDescent="0.2">
      <c r="Z4" s="339" t="s">
        <v>178</v>
      </c>
      <c r="AA4" s="339" t="s">
        <v>294</v>
      </c>
      <c r="AB4" s="337" t="s">
        <v>309</v>
      </c>
      <c r="AC4" s="309" t="s">
        <v>315</v>
      </c>
      <c r="AD4" s="309" t="s">
        <v>316</v>
      </c>
      <c r="AE4" s="309" t="s">
        <v>317</v>
      </c>
      <c r="AF4" s="310" t="s">
        <v>318</v>
      </c>
    </row>
    <row r="5" spans="1:32" s="214" customFormat="1" ht="13.5" thickBot="1" x14ac:dyDescent="0.25">
      <c r="A5" s="19" t="s">
        <v>1</v>
      </c>
      <c r="B5" s="20" t="s">
        <v>26</v>
      </c>
      <c r="C5" s="20">
        <v>1990</v>
      </c>
      <c r="D5" s="20">
        <v>1991</v>
      </c>
      <c r="E5" s="20">
        <v>1992</v>
      </c>
      <c r="F5" s="20">
        <v>1993</v>
      </c>
      <c r="G5" s="20">
        <v>1994</v>
      </c>
      <c r="H5" s="20">
        <v>1995</v>
      </c>
      <c r="I5" s="20">
        <v>1996</v>
      </c>
      <c r="J5" s="20">
        <v>1997</v>
      </c>
      <c r="K5" s="20">
        <v>1998</v>
      </c>
      <c r="L5" s="20">
        <v>1999</v>
      </c>
      <c r="M5" s="20">
        <v>2000</v>
      </c>
      <c r="N5" s="20">
        <v>2001</v>
      </c>
      <c r="O5" s="20">
        <v>2002</v>
      </c>
      <c r="P5" s="20">
        <v>2003</v>
      </c>
      <c r="Q5" s="116">
        <v>2004</v>
      </c>
      <c r="R5" s="116">
        <v>2005</v>
      </c>
      <c r="S5" s="116">
        <v>2006</v>
      </c>
      <c r="T5" s="116">
        <v>2007</v>
      </c>
      <c r="U5" s="116">
        <v>2008</v>
      </c>
      <c r="V5" s="116">
        <v>2009</v>
      </c>
      <c r="W5" s="116">
        <v>2010</v>
      </c>
      <c r="X5" s="116">
        <v>2011</v>
      </c>
      <c r="Y5" s="116">
        <v>2012</v>
      </c>
      <c r="Z5" s="116">
        <v>2013</v>
      </c>
      <c r="AA5" s="116">
        <v>2014</v>
      </c>
      <c r="AB5" s="342">
        <v>2015</v>
      </c>
      <c r="AC5" s="77">
        <v>2016</v>
      </c>
      <c r="AD5" s="77">
        <v>2017</v>
      </c>
      <c r="AE5" s="77">
        <v>2018</v>
      </c>
      <c r="AF5" s="239">
        <v>2019</v>
      </c>
    </row>
    <row r="6" spans="1:32" s="121" customFormat="1" x14ac:dyDescent="0.2">
      <c r="A6" s="3"/>
      <c r="B6" s="3"/>
      <c r="C6" s="3"/>
      <c r="D6" s="3"/>
      <c r="E6" s="3"/>
      <c r="F6" s="3"/>
      <c r="G6" s="3"/>
      <c r="H6" s="3"/>
      <c r="I6" s="3"/>
      <c r="J6" s="3"/>
      <c r="K6" s="3"/>
      <c r="L6" s="3"/>
      <c r="M6" s="3"/>
      <c r="N6" s="3"/>
      <c r="O6" s="3"/>
      <c r="P6" s="3"/>
      <c r="AB6" s="345"/>
      <c r="AC6" s="79"/>
      <c r="AD6" s="79"/>
      <c r="AE6" s="79"/>
      <c r="AF6" s="240"/>
    </row>
    <row r="7" spans="1:32" s="121" customFormat="1" x14ac:dyDescent="0.2">
      <c r="A7" s="3"/>
      <c r="B7" s="3"/>
      <c r="C7" s="3"/>
      <c r="D7" s="3"/>
      <c r="E7" s="3"/>
      <c r="F7" s="3"/>
      <c r="G7" s="3"/>
      <c r="H7" s="3"/>
      <c r="I7" s="3"/>
      <c r="J7" s="3"/>
      <c r="K7" s="3"/>
      <c r="L7" s="3"/>
      <c r="M7" s="3"/>
      <c r="N7" s="3"/>
      <c r="O7" s="3"/>
      <c r="P7" s="3"/>
      <c r="AB7" s="345"/>
      <c r="AC7" s="79"/>
      <c r="AD7" s="79"/>
      <c r="AE7" s="79"/>
      <c r="AF7" s="240"/>
    </row>
    <row r="8" spans="1:32" s="121" customFormat="1" x14ac:dyDescent="0.2">
      <c r="A8" s="12" t="s">
        <v>245</v>
      </c>
      <c r="B8" s="3"/>
      <c r="C8" s="3"/>
      <c r="D8" s="3"/>
      <c r="E8" s="3"/>
      <c r="F8" s="3"/>
      <c r="G8" s="3"/>
      <c r="H8" s="3"/>
      <c r="I8" s="3"/>
      <c r="J8" s="3"/>
      <c r="K8" s="3"/>
      <c r="L8" s="3"/>
      <c r="M8" s="3"/>
      <c r="N8" s="3"/>
      <c r="O8" s="3"/>
      <c r="P8" s="3"/>
      <c r="AB8" s="345"/>
      <c r="AC8" s="79"/>
      <c r="AD8" s="79"/>
      <c r="AE8" s="79"/>
      <c r="AF8" s="240"/>
    </row>
    <row r="9" spans="1:32" s="121" customFormat="1" x14ac:dyDescent="0.2">
      <c r="A9" s="3"/>
      <c r="B9" s="3"/>
      <c r="C9" s="3"/>
      <c r="D9" s="3"/>
      <c r="E9" s="3"/>
      <c r="F9" s="3"/>
      <c r="G9" s="3"/>
      <c r="H9" s="3"/>
      <c r="I9" s="3"/>
      <c r="J9" s="3"/>
      <c r="K9" s="3"/>
      <c r="L9" s="3"/>
      <c r="M9" s="3"/>
      <c r="N9" s="3"/>
      <c r="O9" s="3"/>
      <c r="P9" s="3"/>
      <c r="AB9" s="345"/>
      <c r="AC9" s="79"/>
      <c r="AD9" s="79"/>
      <c r="AE9" s="79"/>
      <c r="AF9" s="240"/>
    </row>
    <row r="10" spans="1:32" s="121" customFormat="1" x14ac:dyDescent="0.2">
      <c r="A10" s="3" t="s">
        <v>218</v>
      </c>
      <c r="B10" s="3" t="s">
        <v>238</v>
      </c>
      <c r="C10" s="3">
        <f>C25/2</f>
        <v>465</v>
      </c>
      <c r="D10" s="3">
        <f>D25/2</f>
        <v>590</v>
      </c>
      <c r="E10" s="3">
        <f>E25/2</f>
        <v>594</v>
      </c>
      <c r="F10" s="3">
        <f>F25/2</f>
        <v>585</v>
      </c>
      <c r="G10" s="3">
        <f t="shared" ref="G10:N10" si="0">G25/2</f>
        <v>646</v>
      </c>
      <c r="H10" s="3">
        <f t="shared" si="0"/>
        <v>681.5</v>
      </c>
      <c r="I10" s="3">
        <f t="shared" si="0"/>
        <v>668.5</v>
      </c>
      <c r="J10" s="3">
        <f t="shared" si="0"/>
        <v>602</v>
      </c>
      <c r="K10" s="3">
        <f t="shared" si="0"/>
        <v>652.5</v>
      </c>
      <c r="L10" s="3">
        <f t="shared" si="0"/>
        <v>650.5</v>
      </c>
      <c r="M10" s="3">
        <f t="shared" si="0"/>
        <v>650</v>
      </c>
      <c r="N10" s="3">
        <f t="shared" si="0"/>
        <v>769.5</v>
      </c>
      <c r="O10" s="567">
        <f>O25/2</f>
        <v>847.5</v>
      </c>
      <c r="P10" s="3">
        <f t="shared" ref="P10:U10" si="1">P25/2</f>
        <v>867.5</v>
      </c>
      <c r="Q10" s="121">
        <f t="shared" si="1"/>
        <v>878</v>
      </c>
      <c r="R10" s="121">
        <f t="shared" si="1"/>
        <v>954.5</v>
      </c>
      <c r="S10" s="121">
        <f t="shared" si="1"/>
        <v>997.5</v>
      </c>
      <c r="T10" s="121">
        <f>T25/2</f>
        <v>1051</v>
      </c>
      <c r="U10" s="121">
        <f t="shared" si="1"/>
        <v>1118</v>
      </c>
      <c r="V10" s="121">
        <f t="shared" ref="V10:AA10" si="2">V25/2</f>
        <v>1174.5</v>
      </c>
      <c r="W10" s="121">
        <f t="shared" si="2"/>
        <v>1217</v>
      </c>
      <c r="X10" s="121">
        <f t="shared" si="2"/>
        <v>1282.5</v>
      </c>
      <c r="Y10" s="121">
        <f>Y25/2</f>
        <v>1395.5</v>
      </c>
      <c r="Z10" s="121">
        <f t="shared" si="2"/>
        <v>1327</v>
      </c>
      <c r="AA10" s="121">
        <f t="shared" si="2"/>
        <v>1462</v>
      </c>
      <c r="AB10" s="345">
        <f>AB25/2</f>
        <v>1451</v>
      </c>
      <c r="AC10" s="79">
        <f>AC25/2</f>
        <v>1511.796875</v>
      </c>
      <c r="AD10" s="79">
        <f>AD25/2</f>
        <v>1631.0513452148434</v>
      </c>
      <c r="AE10" s="79">
        <f>AE25/2</f>
        <v>1750.202044587707</v>
      </c>
      <c r="AF10" s="240">
        <f>AF25/2</f>
        <v>1878.0037412594415</v>
      </c>
    </row>
    <row r="11" spans="1:32" s="121" customFormat="1" x14ac:dyDescent="0.2">
      <c r="A11" s="3" t="s">
        <v>219</v>
      </c>
      <c r="B11" s="3" t="s">
        <v>238</v>
      </c>
      <c r="C11" s="23" t="s">
        <v>12</v>
      </c>
      <c r="D11" s="3">
        <f>+D27/2</f>
        <v>-55.5</v>
      </c>
      <c r="E11" s="3">
        <f>+E27/2</f>
        <v>-30.5</v>
      </c>
      <c r="F11" s="3">
        <f>+F27/2</f>
        <v>-128.5</v>
      </c>
      <c r="G11" s="3">
        <f t="shared" ref="G11:N11" si="3">+G27/2</f>
        <v>-74</v>
      </c>
      <c r="H11" s="3">
        <f t="shared" si="3"/>
        <v>-146.5</v>
      </c>
      <c r="I11" s="3">
        <f t="shared" si="3"/>
        <v>-190</v>
      </c>
      <c r="J11" s="3">
        <f t="shared" si="3"/>
        <v>-219.5</v>
      </c>
      <c r="K11" s="3">
        <f t="shared" si="3"/>
        <v>-325.5</v>
      </c>
      <c r="L11" s="3">
        <f t="shared" si="3"/>
        <v>-485</v>
      </c>
      <c r="M11" s="3">
        <f t="shared" si="3"/>
        <v>-567.5</v>
      </c>
      <c r="N11" s="3">
        <f t="shared" si="3"/>
        <v>-235</v>
      </c>
      <c r="O11" s="3">
        <f>+O27/2</f>
        <v>-246.5</v>
      </c>
      <c r="P11" s="3">
        <f t="shared" ref="P11:U11" si="4">+P27/2</f>
        <v>-222</v>
      </c>
      <c r="Q11" s="121">
        <f t="shared" si="4"/>
        <v>-233</v>
      </c>
      <c r="R11" s="121">
        <f t="shared" si="4"/>
        <v>-233.5</v>
      </c>
      <c r="S11" s="121">
        <f t="shared" si="4"/>
        <v>-235</v>
      </c>
      <c r="T11" s="121">
        <f>+T27/2</f>
        <v>-355</v>
      </c>
      <c r="U11" s="121">
        <f t="shared" si="4"/>
        <v>-556.5</v>
      </c>
      <c r="V11" s="121">
        <f t="shared" ref="V11:AA11" si="5">+V27/2</f>
        <v>-458</v>
      </c>
      <c r="W11" s="121">
        <f t="shared" si="5"/>
        <v>-293.5</v>
      </c>
      <c r="X11" s="121">
        <f t="shared" si="5"/>
        <v>-245</v>
      </c>
      <c r="Y11" s="121">
        <f>+Y27/2</f>
        <v>-90.5</v>
      </c>
      <c r="Z11" s="121">
        <f t="shared" si="5"/>
        <v>35</v>
      </c>
      <c r="AA11" s="121">
        <f t="shared" si="5"/>
        <v>-156</v>
      </c>
      <c r="AB11" s="345">
        <f>+AB27/2</f>
        <v>-361.5</v>
      </c>
      <c r="AC11" s="79">
        <f>+AC27/2</f>
        <v>-682</v>
      </c>
      <c r="AD11" s="79">
        <f>+AD27/2</f>
        <v>-879.5</v>
      </c>
      <c r="AE11" s="79">
        <f>+AE27/2</f>
        <v>-1035.5</v>
      </c>
      <c r="AF11" s="240">
        <f>+AF27/2</f>
        <v>-1176.5</v>
      </c>
    </row>
    <row r="12" spans="1:32" s="121" customFormat="1" x14ac:dyDescent="0.2">
      <c r="A12" s="3" t="s">
        <v>221</v>
      </c>
      <c r="B12" s="3" t="s">
        <v>238</v>
      </c>
      <c r="C12" s="3">
        <f>C28/2</f>
        <v>167.3175</v>
      </c>
      <c r="D12" s="3">
        <f>D28/2</f>
        <v>209.71499999999992</v>
      </c>
      <c r="E12" s="3">
        <f>E28/2</f>
        <v>115.49624999999992</v>
      </c>
      <c r="F12" s="3">
        <f>F28/2</f>
        <v>126.546875</v>
      </c>
      <c r="G12" s="3">
        <f t="shared" ref="G12:N12" si="6">G28/2</f>
        <v>108.89374999999995</v>
      </c>
      <c r="H12" s="3">
        <f t="shared" si="6"/>
        <v>148.19374999999991</v>
      </c>
      <c r="I12" s="3">
        <f t="shared" si="6"/>
        <v>71.337500000000091</v>
      </c>
      <c r="J12" s="3">
        <f t="shared" si="6"/>
        <v>17.744374999999991</v>
      </c>
      <c r="K12" s="3">
        <f t="shared" si="6"/>
        <v>-62.928750000000036</v>
      </c>
      <c r="L12" s="3">
        <f t="shared" si="6"/>
        <v>-188.3587500000001</v>
      </c>
      <c r="M12" s="3">
        <f t="shared" si="6"/>
        <v>-353.4224999999999</v>
      </c>
      <c r="N12" s="3">
        <f t="shared" si="6"/>
        <v>-374.36000000000013</v>
      </c>
      <c r="O12" s="567">
        <f>O28/2</f>
        <v>-249.63999999999987</v>
      </c>
      <c r="P12" s="3">
        <f t="shared" ref="P12:U12" si="7">P28/2</f>
        <v>-272.08000000000038</v>
      </c>
      <c r="Q12" s="121">
        <f t="shared" si="7"/>
        <v>-260.61250000000018</v>
      </c>
      <c r="R12" s="121">
        <f t="shared" si="7"/>
        <v>-280.72500000000036</v>
      </c>
      <c r="S12" s="121">
        <f t="shared" si="7"/>
        <v>-257.72499999999991</v>
      </c>
      <c r="T12" s="568">
        <f>T28/2</f>
        <v>-380.67437500000005</v>
      </c>
      <c r="U12" s="121">
        <f t="shared" si="7"/>
        <v>-536.41249999999991</v>
      </c>
      <c r="V12" s="121">
        <f t="shared" ref="V12:AA12" si="8">V28/2</f>
        <v>-481.15723149999974</v>
      </c>
      <c r="W12" s="121">
        <f t="shared" si="8"/>
        <v>-396.97303771428619</v>
      </c>
      <c r="X12" s="121">
        <f t="shared" si="8"/>
        <v>-494.84393299999982</v>
      </c>
      <c r="Y12" s="121">
        <f>Y28/2</f>
        <v>-387.45359291741045</v>
      </c>
      <c r="Z12" s="121">
        <f t="shared" si="8"/>
        <v>-457.49710000000005</v>
      </c>
      <c r="AA12" s="121">
        <f t="shared" si="8"/>
        <v>-706.66712350000023</v>
      </c>
      <c r="AB12" s="345">
        <f>AB28/2</f>
        <v>-938.66125000000056</v>
      </c>
      <c r="AC12" s="79">
        <f>AC28/2</f>
        <v>-1254.1508000255046</v>
      </c>
      <c r="AD12" s="79">
        <f>AD28/2</f>
        <v>-1542.6691548070423</v>
      </c>
      <c r="AE12" s="79">
        <f>AE28/2</f>
        <v>-1795.3553739037395</v>
      </c>
      <c r="AF12" s="240">
        <f>AF28/2</f>
        <v>-2023.2121335291383</v>
      </c>
    </row>
    <row r="13" spans="1:32" s="121" customFormat="1" x14ac:dyDescent="0.2">
      <c r="A13" s="3" t="s">
        <v>222</v>
      </c>
      <c r="B13" s="3" t="s">
        <v>238</v>
      </c>
      <c r="C13" s="3">
        <f t="shared" ref="C13:F14" si="9">+C29/2</f>
        <v>0</v>
      </c>
      <c r="D13" s="3">
        <f t="shared" si="9"/>
        <v>0</v>
      </c>
      <c r="E13" s="3">
        <f t="shared" si="9"/>
        <v>0</v>
      </c>
      <c r="F13" s="3">
        <f t="shared" si="9"/>
        <v>0</v>
      </c>
      <c r="G13" s="3">
        <f t="shared" ref="G13:N13" si="10">+G29/2</f>
        <v>0</v>
      </c>
      <c r="H13" s="3">
        <f t="shared" si="10"/>
        <v>0</v>
      </c>
      <c r="I13" s="3">
        <f t="shared" si="10"/>
        <v>129</v>
      </c>
      <c r="J13" s="3">
        <f t="shared" si="10"/>
        <v>1006.5</v>
      </c>
      <c r="K13" s="3">
        <f t="shared" si="10"/>
        <v>0</v>
      </c>
      <c r="L13" s="3">
        <f t="shared" si="10"/>
        <v>0</v>
      </c>
      <c r="M13" s="3">
        <f t="shared" si="10"/>
        <v>0</v>
      </c>
      <c r="N13" s="3">
        <f t="shared" si="10"/>
        <v>2259.5</v>
      </c>
      <c r="O13" s="3">
        <f t="shared" ref="O13:P15" si="11">+O29/2</f>
        <v>0</v>
      </c>
      <c r="P13" s="3">
        <f t="shared" si="11"/>
        <v>0</v>
      </c>
      <c r="Q13" s="121">
        <f t="shared" ref="Q13:U14" si="12">+Q29/2</f>
        <v>0</v>
      </c>
      <c r="R13" s="121">
        <f t="shared" si="12"/>
        <v>0</v>
      </c>
      <c r="S13" s="121">
        <f t="shared" si="12"/>
        <v>0</v>
      </c>
      <c r="T13" s="121">
        <f t="shared" si="12"/>
        <v>0</v>
      </c>
      <c r="U13" s="121">
        <f t="shared" si="12"/>
        <v>0</v>
      </c>
      <c r="V13" s="121">
        <f t="shared" ref="V13:X15" si="13">+V29/2</f>
        <v>0</v>
      </c>
      <c r="W13" s="121">
        <f t="shared" si="13"/>
        <v>0</v>
      </c>
      <c r="X13" s="121">
        <f t="shared" si="13"/>
        <v>0</v>
      </c>
      <c r="Y13" s="121">
        <f>+Y29/2</f>
        <v>0</v>
      </c>
      <c r="Z13" s="121">
        <f t="shared" ref="Y13:Z15" si="14">+Z29/2</f>
        <v>0</v>
      </c>
      <c r="AA13" s="121">
        <f t="shared" ref="AA13:AB15" si="15">+AA29/2</f>
        <v>0</v>
      </c>
      <c r="AB13" s="345">
        <f t="shared" si="15"/>
        <v>0</v>
      </c>
      <c r="AC13" s="79">
        <f t="shared" ref="AC13:AD15" si="16">+AC29/2</f>
        <v>0</v>
      </c>
      <c r="AD13" s="79">
        <f t="shared" si="16"/>
        <v>0</v>
      </c>
      <c r="AE13" s="79">
        <f t="shared" ref="AE13:AF13" si="17">+AE29/2</f>
        <v>0</v>
      </c>
      <c r="AF13" s="240">
        <f t="shared" si="17"/>
        <v>0</v>
      </c>
    </row>
    <row r="14" spans="1:32" s="121" customFormat="1" x14ac:dyDescent="0.2">
      <c r="A14" s="3" t="s">
        <v>206</v>
      </c>
      <c r="B14" s="3" t="s">
        <v>238</v>
      </c>
      <c r="C14" s="3">
        <f t="shared" si="9"/>
        <v>0</v>
      </c>
      <c r="D14" s="3">
        <f t="shared" si="9"/>
        <v>0</v>
      </c>
      <c r="E14" s="3">
        <f t="shared" si="9"/>
        <v>0</v>
      </c>
      <c r="F14" s="3">
        <f t="shared" si="9"/>
        <v>0</v>
      </c>
      <c r="G14" s="3">
        <f t="shared" ref="G14:N14" si="18">+G30/2</f>
        <v>0</v>
      </c>
      <c r="H14" s="3">
        <f t="shared" si="18"/>
        <v>0</v>
      </c>
      <c r="I14" s="3">
        <f t="shared" si="18"/>
        <v>250</v>
      </c>
      <c r="J14" s="3">
        <f t="shared" si="18"/>
        <v>-250</v>
      </c>
      <c r="K14" s="3">
        <f t="shared" si="18"/>
        <v>0</v>
      </c>
      <c r="L14" s="3">
        <f t="shared" si="18"/>
        <v>0</v>
      </c>
      <c r="M14" s="3">
        <f t="shared" si="18"/>
        <v>0</v>
      </c>
      <c r="N14" s="3">
        <f t="shared" si="18"/>
        <v>0</v>
      </c>
      <c r="O14" s="3">
        <f t="shared" si="11"/>
        <v>0</v>
      </c>
      <c r="P14" s="3">
        <f t="shared" si="11"/>
        <v>0</v>
      </c>
      <c r="Q14" s="121">
        <f t="shared" si="12"/>
        <v>0</v>
      </c>
      <c r="R14" s="121">
        <f t="shared" si="12"/>
        <v>0</v>
      </c>
      <c r="S14" s="121">
        <f t="shared" si="12"/>
        <v>0</v>
      </c>
      <c r="T14" s="121">
        <f t="shared" si="12"/>
        <v>0</v>
      </c>
      <c r="U14" s="121">
        <f t="shared" si="12"/>
        <v>0</v>
      </c>
      <c r="V14" s="121">
        <f t="shared" si="13"/>
        <v>0</v>
      </c>
      <c r="W14" s="121">
        <f t="shared" si="13"/>
        <v>0</v>
      </c>
      <c r="X14" s="121">
        <f t="shared" si="13"/>
        <v>0</v>
      </c>
      <c r="Y14" s="121">
        <f t="shared" si="14"/>
        <v>0</v>
      </c>
      <c r="Z14" s="121">
        <f t="shared" si="14"/>
        <v>0</v>
      </c>
      <c r="AA14" s="121">
        <f t="shared" si="15"/>
        <v>0</v>
      </c>
      <c r="AB14" s="345">
        <f t="shared" si="15"/>
        <v>0</v>
      </c>
      <c r="AC14" s="79">
        <f t="shared" si="16"/>
        <v>0</v>
      </c>
      <c r="AD14" s="79">
        <f t="shared" si="16"/>
        <v>0</v>
      </c>
      <c r="AE14" s="79">
        <f t="shared" ref="AE14:AF14" si="19">+AE30/2</f>
        <v>0</v>
      </c>
      <c r="AF14" s="240">
        <f t="shared" si="19"/>
        <v>0</v>
      </c>
    </row>
    <row r="15" spans="1:32" s="121" customFormat="1" x14ac:dyDescent="0.2">
      <c r="A15" s="3" t="s">
        <v>247</v>
      </c>
      <c r="B15" s="3" t="s">
        <v>238</v>
      </c>
      <c r="C15" s="3">
        <f>+C31/2</f>
        <v>0</v>
      </c>
      <c r="D15" s="3">
        <f>+D31/2</f>
        <v>0</v>
      </c>
      <c r="E15" s="3">
        <f>+E31/2</f>
        <v>0</v>
      </c>
      <c r="F15" s="3">
        <f>+F31/2</f>
        <v>0</v>
      </c>
      <c r="G15" s="3">
        <f t="shared" ref="G15:N15" si="20">+G31/2</f>
        <v>0</v>
      </c>
      <c r="H15" s="3">
        <f t="shared" si="20"/>
        <v>0</v>
      </c>
      <c r="I15" s="3">
        <f t="shared" si="20"/>
        <v>-379</v>
      </c>
      <c r="J15" s="3">
        <f t="shared" si="20"/>
        <v>-756.5</v>
      </c>
      <c r="K15" s="3">
        <f t="shared" si="20"/>
        <v>0</v>
      </c>
      <c r="L15" s="3">
        <f t="shared" si="20"/>
        <v>0</v>
      </c>
      <c r="M15" s="3">
        <f t="shared" si="20"/>
        <v>0</v>
      </c>
      <c r="N15" s="3">
        <f t="shared" si="20"/>
        <v>-2259.5</v>
      </c>
      <c r="O15" s="3">
        <f t="shared" si="11"/>
        <v>0</v>
      </c>
      <c r="P15" s="3">
        <f t="shared" si="11"/>
        <v>0</v>
      </c>
      <c r="Q15" s="121">
        <f>+Q31/2</f>
        <v>0</v>
      </c>
      <c r="R15" s="121">
        <f>+R31/2</f>
        <v>0</v>
      </c>
      <c r="S15" s="121">
        <f>+S31/2</f>
        <v>0</v>
      </c>
      <c r="T15" s="121">
        <f>+T31/2</f>
        <v>0</v>
      </c>
      <c r="U15" s="121">
        <f>+U31/2</f>
        <v>0</v>
      </c>
      <c r="V15" s="121">
        <f t="shared" si="13"/>
        <v>0</v>
      </c>
      <c r="W15" s="121">
        <f t="shared" si="13"/>
        <v>0</v>
      </c>
      <c r="X15" s="121">
        <f t="shared" si="13"/>
        <v>0</v>
      </c>
      <c r="Y15" s="121">
        <f t="shared" si="14"/>
        <v>0</v>
      </c>
      <c r="Z15" s="121">
        <f t="shared" si="14"/>
        <v>0</v>
      </c>
      <c r="AA15" s="121">
        <f t="shared" si="15"/>
        <v>0</v>
      </c>
      <c r="AB15" s="345">
        <f t="shared" si="15"/>
        <v>0</v>
      </c>
      <c r="AC15" s="79">
        <f t="shared" si="16"/>
        <v>0</v>
      </c>
      <c r="AD15" s="79">
        <f t="shared" si="16"/>
        <v>0</v>
      </c>
      <c r="AE15" s="79">
        <f t="shared" ref="AE15:AF15" si="21">+AE31/2</f>
        <v>0</v>
      </c>
      <c r="AF15" s="240">
        <f t="shared" si="21"/>
        <v>0</v>
      </c>
    </row>
    <row r="16" spans="1:32" s="121" customFormat="1" x14ac:dyDescent="0.2">
      <c r="A16" s="3" t="s">
        <v>246</v>
      </c>
      <c r="B16" s="3" t="s">
        <v>239</v>
      </c>
      <c r="C16" s="3">
        <f>'initial ufl'!C10*-1</f>
        <v>0</v>
      </c>
      <c r="D16" s="3">
        <f>'initial ufl'!D10*-1</f>
        <v>0</v>
      </c>
      <c r="E16" s="3">
        <f>'initial ufl'!E10*-1</f>
        <v>0</v>
      </c>
      <c r="F16" s="3">
        <f>'initial ufl'!F10*-1</f>
        <v>-174</v>
      </c>
      <c r="G16" s="3">
        <f>'initial ufl'!G10*-1</f>
        <v>-174</v>
      </c>
      <c r="H16" s="3">
        <f>'initial ufl'!H10*-1</f>
        <v>-174</v>
      </c>
      <c r="I16" s="3">
        <f>'initial ufl'!I10*-1</f>
        <v>-174</v>
      </c>
      <c r="J16" s="3">
        <f>'initial ufl'!J10*-1</f>
        <v>-174</v>
      </c>
      <c r="K16" s="3">
        <f>'initial ufl'!K10*-1</f>
        <v>-174</v>
      </c>
      <c r="L16" s="3">
        <f>'initial ufl'!L10*-1</f>
        <v>-174</v>
      </c>
      <c r="M16" s="3">
        <f>'initial ufl'!M10*-1</f>
        <v>-174</v>
      </c>
      <c r="N16" s="3">
        <f>'initial ufl'!N10*-1</f>
        <v>-174</v>
      </c>
      <c r="O16" s="3">
        <f>'initial ufl'!O10*-1</f>
        <v>-174</v>
      </c>
      <c r="P16" s="3">
        <f>'initial ufl'!P10*-1</f>
        <v>-174</v>
      </c>
      <c r="Q16" s="121">
        <f>'initial ufl'!Q10*-1</f>
        <v>-174</v>
      </c>
      <c r="R16" s="121">
        <f>'initial ufl'!R10*-1</f>
        <v>-174</v>
      </c>
      <c r="S16" s="121">
        <f>'initial ufl'!S10*-1</f>
        <v>-176</v>
      </c>
      <c r="T16" s="121">
        <f>'initial ufl'!T10*-1</f>
        <v>0</v>
      </c>
      <c r="U16" s="121">
        <f>'initial ufl'!U10*-1</f>
        <v>0</v>
      </c>
      <c r="V16" s="121">
        <f>'initial ufl'!V10*-1</f>
        <v>0</v>
      </c>
      <c r="W16" s="121">
        <f>'initial ufl'!W10*-1</f>
        <v>0</v>
      </c>
      <c r="X16" s="121">
        <f>'initial ufl'!X10*-1</f>
        <v>0</v>
      </c>
      <c r="Y16" s="121">
        <f>'initial ufl'!Y10*-1</f>
        <v>0</v>
      </c>
      <c r="Z16" s="121">
        <f>'initial ufl'!Z10*-1</f>
        <v>0</v>
      </c>
      <c r="AA16" s="121">
        <f>'initial ufl'!AA10*-1</f>
        <v>0</v>
      </c>
      <c r="AB16" s="345">
        <f>'initial ufl'!AB10*-1</f>
        <v>0</v>
      </c>
      <c r="AC16" s="79">
        <f>'initial ufl'!AC10*-1</f>
        <v>0</v>
      </c>
      <c r="AD16" s="79">
        <f>'initial ufl'!AD10*-1</f>
        <v>0</v>
      </c>
      <c r="AE16" s="79">
        <f>'initial ufl'!AE10*-1</f>
        <v>0</v>
      </c>
      <c r="AF16" s="240">
        <f>'initial ufl'!AF10*-1</f>
        <v>0</v>
      </c>
    </row>
    <row r="17" spans="1:32" s="121" customFormat="1" x14ac:dyDescent="0.2">
      <c r="A17" s="157" t="s">
        <v>342</v>
      </c>
      <c r="B17" s="157" t="s">
        <v>238</v>
      </c>
      <c r="C17" s="157"/>
      <c r="D17" s="157"/>
      <c r="E17" s="157"/>
      <c r="F17" s="157"/>
      <c r="G17" s="157"/>
      <c r="H17" s="157"/>
      <c r="I17" s="157"/>
      <c r="J17" s="157"/>
      <c r="K17" s="157"/>
      <c r="L17" s="157"/>
      <c r="M17" s="157"/>
      <c r="N17" s="157"/>
      <c r="O17" s="157"/>
      <c r="P17" s="157"/>
      <c r="Q17" s="157"/>
      <c r="R17" s="157"/>
      <c r="S17" s="157">
        <f t="shared" ref="S17:X17" si="22">S33/2</f>
        <v>-5.5147058823529411</v>
      </c>
      <c r="T17" s="121">
        <f t="shared" si="22"/>
        <v>-5.5147058823529411</v>
      </c>
      <c r="U17" s="121">
        <f t="shared" si="22"/>
        <v>-5.5147058823529411</v>
      </c>
      <c r="V17" s="121">
        <f t="shared" si="22"/>
        <v>-5.5147058823529411</v>
      </c>
      <c r="W17" s="121">
        <f t="shared" si="22"/>
        <v>-5.5147058823529411</v>
      </c>
      <c r="X17" s="121">
        <f t="shared" si="22"/>
        <v>-5.5147058823529411</v>
      </c>
      <c r="Y17" s="121">
        <f t="shared" ref="Y17:AD17" si="23">Y33/2</f>
        <v>-5.5147058823529411</v>
      </c>
      <c r="Z17" s="121">
        <f t="shared" si="23"/>
        <v>-5.5147058823529411</v>
      </c>
      <c r="AA17" s="121">
        <f t="shared" si="23"/>
        <v>-5.5147058823529411</v>
      </c>
      <c r="AB17" s="345">
        <f t="shared" si="23"/>
        <v>-5.5147058823529411</v>
      </c>
      <c r="AC17" s="79">
        <f t="shared" si="23"/>
        <v>-5.0147058823529411</v>
      </c>
      <c r="AD17" s="79">
        <f t="shared" si="23"/>
        <v>-5.0147058823529411</v>
      </c>
      <c r="AE17" s="79">
        <f t="shared" ref="AE17:AF17" si="24">AE33/2</f>
        <v>-5.0147058823529411</v>
      </c>
      <c r="AF17" s="240">
        <f t="shared" si="24"/>
        <v>-5.0147058823529411</v>
      </c>
    </row>
    <row r="18" spans="1:32" s="121" customFormat="1" x14ac:dyDescent="0.2">
      <c r="A18" s="3" t="s">
        <v>237</v>
      </c>
      <c r="B18" s="3" t="s">
        <v>240</v>
      </c>
      <c r="C18" s="24" t="s">
        <v>12</v>
      </c>
      <c r="D18" s="24" t="s">
        <v>12</v>
      </c>
      <c r="E18" s="24" t="s">
        <v>12</v>
      </c>
      <c r="F18" s="6">
        <f>contributions!C47</f>
        <v>-10</v>
      </c>
      <c r="G18" s="6">
        <f>contributions!D47</f>
        <v>-16</v>
      </c>
      <c r="H18" s="6">
        <f>contributions!E47</f>
        <v>-13</v>
      </c>
      <c r="I18" s="6">
        <f>contributions!F47</f>
        <v>-1</v>
      </c>
      <c r="J18" s="6">
        <f>contributions!G47</f>
        <v>18</v>
      </c>
      <c r="K18" s="6">
        <f>contributions!H47</f>
        <v>36</v>
      </c>
      <c r="L18" s="6">
        <f>contributions!I47</f>
        <v>39</v>
      </c>
      <c r="M18" s="6">
        <f>contributions!J47</f>
        <v>40</v>
      </c>
      <c r="N18" s="6">
        <f>contributions!K47</f>
        <v>43</v>
      </c>
      <c r="O18" s="6">
        <f>contributions!L47</f>
        <v>44</v>
      </c>
      <c r="P18" s="6">
        <f>contributions!M47</f>
        <v>42</v>
      </c>
      <c r="Q18" s="125">
        <f>contributions!N47</f>
        <v>40</v>
      </c>
      <c r="R18" s="125">
        <f>contributions!O47</f>
        <v>39</v>
      </c>
      <c r="S18" s="125">
        <f>contributions!P47</f>
        <v>36</v>
      </c>
      <c r="T18" s="125">
        <f>contributions!Q47</f>
        <v>44</v>
      </c>
      <c r="U18" s="125">
        <f>contributions!R47</f>
        <v>40</v>
      </c>
      <c r="V18" s="125">
        <f>contributions!S47</f>
        <v>36</v>
      </c>
      <c r="W18" s="125">
        <f>contributions!T47</f>
        <v>2</v>
      </c>
      <c r="X18" s="125">
        <f>contributions!U47</f>
        <v>-18</v>
      </c>
      <c r="Y18" s="125">
        <f>contributions!V47</f>
        <v>-20</v>
      </c>
      <c r="Z18" s="125">
        <f>contributions!W47</f>
        <v>-24</v>
      </c>
      <c r="AA18" s="125">
        <f>contributions!X47</f>
        <v>-25</v>
      </c>
      <c r="AB18" s="346">
        <f>contributions!Y47</f>
        <v>-27</v>
      </c>
      <c r="AC18" s="81">
        <f>contributions!Z47</f>
        <v>-30</v>
      </c>
      <c r="AD18" s="81">
        <f>contributions!AA47</f>
        <v>-29.526283531938638</v>
      </c>
      <c r="AE18" s="81">
        <f>contributions!AB47</f>
        <v>-31.073229998744214</v>
      </c>
      <c r="AF18" s="241">
        <f>contributions!AC47</f>
        <v>-31.638746497631519</v>
      </c>
    </row>
    <row r="19" spans="1:32" s="215" customFormat="1" ht="16.5" thickBot="1" x14ac:dyDescent="0.3">
      <c r="A19" s="52" t="s">
        <v>306</v>
      </c>
      <c r="B19" s="9" t="s">
        <v>241</v>
      </c>
      <c r="C19" s="54">
        <f>SUM(C10:C18)</f>
        <v>632.3175</v>
      </c>
      <c r="D19" s="54">
        <f>SUM(D10:D18)</f>
        <v>744.21499999999992</v>
      </c>
      <c r="E19" s="54">
        <f>SUM(E10:E18)</f>
        <v>678.99624999999992</v>
      </c>
      <c r="F19" s="54">
        <f>SUM(F10:F18)</f>
        <v>399.046875</v>
      </c>
      <c r="G19" s="54">
        <f t="shared" ref="G19:N19" si="25">SUM(G10:G18)</f>
        <v>490.89374999999995</v>
      </c>
      <c r="H19" s="54">
        <f t="shared" si="25"/>
        <v>496.19374999999991</v>
      </c>
      <c r="I19" s="54">
        <f t="shared" si="25"/>
        <v>374.83750000000009</v>
      </c>
      <c r="J19" s="54">
        <f t="shared" si="25"/>
        <v>244.24437499999999</v>
      </c>
      <c r="K19" s="54">
        <f t="shared" si="25"/>
        <v>126.07124999999996</v>
      </c>
      <c r="L19" s="54">
        <f t="shared" si="25"/>
        <v>-157.8587500000001</v>
      </c>
      <c r="M19" s="54">
        <f t="shared" si="25"/>
        <v>-404.9224999999999</v>
      </c>
      <c r="N19" s="54">
        <f t="shared" si="25"/>
        <v>29.139999999999873</v>
      </c>
      <c r="O19" s="54">
        <f t="shared" ref="O19:AD19" si="26">SUM(O10:O18)</f>
        <v>221.36000000000013</v>
      </c>
      <c r="P19" s="54">
        <f t="shared" si="26"/>
        <v>241.41999999999962</v>
      </c>
      <c r="Q19" s="126">
        <f t="shared" si="26"/>
        <v>250.38749999999982</v>
      </c>
      <c r="R19" s="126">
        <f t="shared" si="26"/>
        <v>305.27499999999964</v>
      </c>
      <c r="S19" s="126">
        <f t="shared" si="26"/>
        <v>359.26029411764716</v>
      </c>
      <c r="T19" s="126">
        <f t="shared" si="26"/>
        <v>353.81091911764702</v>
      </c>
      <c r="U19" s="126">
        <f t="shared" si="26"/>
        <v>59.572794117647149</v>
      </c>
      <c r="V19" s="126">
        <f t="shared" si="26"/>
        <v>265.82806261764733</v>
      </c>
      <c r="W19" s="126">
        <f t="shared" si="26"/>
        <v>523.01225640336088</v>
      </c>
      <c r="X19" s="126">
        <f t="shared" si="26"/>
        <v>519.14136111764719</v>
      </c>
      <c r="Y19" s="126">
        <f t="shared" si="26"/>
        <v>892.03170120023663</v>
      </c>
      <c r="Z19" s="126">
        <f t="shared" si="26"/>
        <v>874.98819411764703</v>
      </c>
      <c r="AA19" s="126">
        <f t="shared" si="26"/>
        <v>568.81817061764684</v>
      </c>
      <c r="AB19" s="366">
        <f t="shared" si="26"/>
        <v>118.32404411764651</v>
      </c>
      <c r="AC19" s="99">
        <f t="shared" si="26"/>
        <v>-459.36863090785755</v>
      </c>
      <c r="AD19" s="99">
        <f t="shared" si="26"/>
        <v>-825.65879900649043</v>
      </c>
      <c r="AE19" s="99">
        <f t="shared" ref="AE19:AF19" si="27">SUM(AE10:AE18)</f>
        <v>-1116.7412651971297</v>
      </c>
      <c r="AF19" s="270">
        <f t="shared" si="27"/>
        <v>-1358.3618446496812</v>
      </c>
    </row>
    <row r="20" spans="1:32" s="121" customFormat="1" ht="13.5" thickTop="1" x14ac:dyDescent="0.2">
      <c r="A20" s="3"/>
      <c r="B20" s="3"/>
      <c r="C20" s="3"/>
      <c r="D20" s="3"/>
      <c r="E20" s="3"/>
      <c r="F20" s="3"/>
      <c r="G20" s="3"/>
      <c r="H20" s="3"/>
      <c r="I20" s="3"/>
      <c r="J20" s="3"/>
      <c r="K20" s="3"/>
      <c r="L20" s="3"/>
      <c r="M20" s="3"/>
      <c r="N20" s="3"/>
      <c r="O20" s="3"/>
      <c r="P20" s="3"/>
      <c r="AB20" s="345"/>
      <c r="AC20" s="79"/>
      <c r="AD20" s="79"/>
      <c r="AE20" s="79"/>
      <c r="AF20" s="240"/>
    </row>
    <row r="21" spans="1:32" s="121" customFormat="1" x14ac:dyDescent="0.2">
      <c r="A21" s="3"/>
      <c r="B21" s="3"/>
      <c r="C21" s="3"/>
      <c r="D21" s="3"/>
      <c r="E21" s="3"/>
      <c r="F21" s="3"/>
      <c r="G21" s="3"/>
      <c r="H21" s="3"/>
      <c r="I21" s="3"/>
      <c r="J21" s="3"/>
      <c r="K21" s="3"/>
      <c r="L21" s="3"/>
      <c r="M21" s="3"/>
      <c r="N21" s="3" t="s">
        <v>307</v>
      </c>
      <c r="O21" s="3">
        <f t="shared" ref="O21:AB21" si="28">O19*1000000</f>
        <v>221360000.00000012</v>
      </c>
      <c r="P21" s="3">
        <f t="shared" si="28"/>
        <v>241419999.99999961</v>
      </c>
      <c r="Q21" s="3">
        <f t="shared" si="28"/>
        <v>250387499.99999982</v>
      </c>
      <c r="R21" s="3">
        <f t="shared" si="28"/>
        <v>305274999.99999964</v>
      </c>
      <c r="S21" s="3">
        <f t="shared" si="28"/>
        <v>359260294.11764717</v>
      </c>
      <c r="T21" s="3">
        <f t="shared" si="28"/>
        <v>353810919.11764699</v>
      </c>
      <c r="U21" s="121">
        <f t="shared" si="28"/>
        <v>59572794.117647149</v>
      </c>
      <c r="V21" s="121">
        <f t="shared" si="28"/>
        <v>265828062.61764732</v>
      </c>
      <c r="W21" s="121">
        <f t="shared" si="28"/>
        <v>523012256.4033609</v>
      </c>
      <c r="X21" s="121">
        <f t="shared" si="28"/>
        <v>519141361.11764717</v>
      </c>
      <c r="Y21" s="121">
        <f t="shared" si="28"/>
        <v>892031701.20023668</v>
      </c>
      <c r="Z21" s="121">
        <f t="shared" si="28"/>
        <v>874988194.11764705</v>
      </c>
      <c r="AA21" s="121">
        <f t="shared" si="28"/>
        <v>568818170.61764681</v>
      </c>
      <c r="AB21" s="492">
        <f t="shared" si="28"/>
        <v>118324044.11764652</v>
      </c>
      <c r="AC21" s="79"/>
      <c r="AD21" s="79"/>
      <c r="AE21" s="79"/>
      <c r="AF21" s="240"/>
    </row>
    <row r="22" spans="1:32" s="121" customFormat="1" x14ac:dyDescent="0.2">
      <c r="A22" s="3"/>
      <c r="B22" s="3"/>
      <c r="C22" s="3"/>
      <c r="D22" s="3"/>
      <c r="E22" s="3"/>
      <c r="F22" s="3"/>
      <c r="G22" s="3"/>
      <c r="H22" s="3"/>
      <c r="I22" s="3"/>
      <c r="J22" s="3"/>
      <c r="K22" s="3"/>
      <c r="L22" s="3"/>
      <c r="M22" s="3"/>
      <c r="N22" s="3"/>
      <c r="O22" s="3"/>
      <c r="P22" s="3"/>
      <c r="AB22" s="345"/>
      <c r="AC22" s="79"/>
      <c r="AD22" s="79"/>
      <c r="AE22" s="79"/>
      <c r="AF22" s="240"/>
    </row>
    <row r="23" spans="1:32" s="121" customFormat="1" x14ac:dyDescent="0.2">
      <c r="A23" s="53" t="s">
        <v>242</v>
      </c>
      <c r="B23" s="3"/>
      <c r="C23" s="3"/>
      <c r="D23" s="3"/>
      <c r="E23" s="3"/>
      <c r="F23" s="3"/>
      <c r="G23" s="3"/>
      <c r="H23" s="3"/>
      <c r="I23" s="3"/>
      <c r="J23" s="3"/>
      <c r="K23" s="3"/>
      <c r="L23" s="3"/>
      <c r="M23" s="3"/>
      <c r="N23" s="3"/>
      <c r="O23" s="3"/>
      <c r="P23" s="3"/>
      <c r="AB23" s="345"/>
      <c r="AC23" s="79"/>
      <c r="AD23" s="79"/>
      <c r="AE23" s="79"/>
      <c r="AF23" s="240"/>
    </row>
    <row r="24" spans="1:32" s="121" customFormat="1" x14ac:dyDescent="0.2">
      <c r="A24" s="3"/>
      <c r="B24" s="3"/>
      <c r="C24" s="3"/>
      <c r="D24" s="3"/>
      <c r="E24" s="3"/>
      <c r="F24" s="3"/>
      <c r="G24" s="3"/>
      <c r="H24" s="3"/>
      <c r="I24" s="3"/>
      <c r="J24" s="3"/>
      <c r="K24" s="3"/>
      <c r="L24" s="3"/>
      <c r="M24" s="3"/>
      <c r="N24" s="3"/>
      <c r="O24" s="3"/>
      <c r="P24" s="3"/>
      <c r="AB24" s="345"/>
      <c r="AC24" s="79"/>
      <c r="AD24" s="79"/>
      <c r="AE24" s="79"/>
      <c r="AF24" s="240"/>
    </row>
    <row r="25" spans="1:32" s="121" customFormat="1" x14ac:dyDescent="0.2">
      <c r="A25" s="3" t="s">
        <v>218</v>
      </c>
      <c r="B25" s="3" t="s">
        <v>201</v>
      </c>
      <c r="C25" s="45">
        <f>'Data Input'!D14</f>
        <v>930</v>
      </c>
      <c r="D25" s="45">
        <f>'Data Input'!E14</f>
        <v>1180</v>
      </c>
      <c r="E25" s="45">
        <f>'Data Input'!F14</f>
        <v>1188</v>
      </c>
      <c r="F25" s="45">
        <f>'Data Input'!G14</f>
        <v>1170</v>
      </c>
      <c r="G25" s="45">
        <f>'Data Input'!H14</f>
        <v>1292</v>
      </c>
      <c r="H25" s="45">
        <f>'Data Input'!I14</f>
        <v>1363</v>
      </c>
      <c r="I25" s="45">
        <f>'Data Input'!J14</f>
        <v>1337</v>
      </c>
      <c r="J25" s="45">
        <f>'Data Input'!K14</f>
        <v>1204</v>
      </c>
      <c r="K25" s="45">
        <f>'Data Input'!L14</f>
        <v>1305</v>
      </c>
      <c r="L25" s="45">
        <f>'Data Input'!M14</f>
        <v>1301</v>
      </c>
      <c r="M25" s="45">
        <f>'Data Input'!N14</f>
        <v>1300</v>
      </c>
      <c r="N25" s="45">
        <f>'Data Input'!O14</f>
        <v>1539</v>
      </c>
      <c r="O25" s="45">
        <f>'Data Input'!P14</f>
        <v>1695</v>
      </c>
      <c r="P25" s="45">
        <f>'Data Input'!Q14</f>
        <v>1735</v>
      </c>
      <c r="Q25" s="127">
        <f>'Data Input'!R14</f>
        <v>1756</v>
      </c>
      <c r="R25" s="127">
        <f>'Data Input'!S14</f>
        <v>1909</v>
      </c>
      <c r="S25" s="127">
        <f>'Data Input'!T14</f>
        <v>1995</v>
      </c>
      <c r="T25" s="127">
        <f>'Data Input'!U14</f>
        <v>2102</v>
      </c>
      <c r="U25" s="127">
        <f>'Data Input'!V14</f>
        <v>2236</v>
      </c>
      <c r="V25" s="127">
        <f>'Data Input'!W14</f>
        <v>2349</v>
      </c>
      <c r="W25" s="127">
        <f>'Data Input'!X14</f>
        <v>2434</v>
      </c>
      <c r="X25" s="127">
        <f>'Data Input'!Y14</f>
        <v>2565</v>
      </c>
      <c r="Y25" s="127">
        <f>'Data Input'!Z14</f>
        <v>2791</v>
      </c>
      <c r="Z25" s="127">
        <f>'Data Input'!AA14</f>
        <v>2654</v>
      </c>
      <c r="AA25" s="127">
        <f>'Data Input'!AB14</f>
        <v>2924</v>
      </c>
      <c r="AB25" s="367">
        <f>'Data Input'!AC14</f>
        <v>2902</v>
      </c>
      <c r="AC25" s="100">
        <f>'Data Input'!AD14</f>
        <v>3023.59375</v>
      </c>
      <c r="AD25" s="100">
        <f>'Data Input'!AE14</f>
        <v>3262.1026904296868</v>
      </c>
      <c r="AE25" s="100">
        <f>'Data Input'!AF14</f>
        <v>3500.4040891754139</v>
      </c>
      <c r="AF25" s="271">
        <f>'Data Input'!AG14</f>
        <v>3756.0074825188831</v>
      </c>
    </row>
    <row r="26" spans="1:32" s="121" customFormat="1" x14ac:dyDescent="0.2">
      <c r="A26" s="3" t="s">
        <v>225</v>
      </c>
      <c r="B26" s="3" t="s">
        <v>201</v>
      </c>
      <c r="C26" s="3">
        <f>('Data Input'!D32+'Data Input'!D33)*-1</f>
        <v>-534</v>
      </c>
      <c r="D26" s="3">
        <f>('Data Input'!E32+'Data Input'!E33)*-1</f>
        <v>-606</v>
      </c>
      <c r="E26" s="3">
        <f>('Data Input'!F32+'Data Input'!F33)*-1</f>
        <v>-720</v>
      </c>
      <c r="F26" s="3">
        <f>('Data Input'!G32+'Data Input'!G33)*-1</f>
        <v>-698</v>
      </c>
      <c r="G26" s="3">
        <f>('Data Input'!H32+'Data Input'!H33)*-1</f>
        <v>-719</v>
      </c>
      <c r="H26" s="3">
        <f>('Data Input'!I32+'Data Input'!I33)*-1</f>
        <v>-626</v>
      </c>
      <c r="I26" s="3">
        <f>('Data Input'!J32+'Data Input'!J33)*-1</f>
        <v>-619</v>
      </c>
      <c r="J26" s="3">
        <f>('Data Input'!K32+'Data Input'!K33)*-1</f>
        <v>-590</v>
      </c>
      <c r="K26" s="3">
        <f>('Data Input'!L32+'Data Input'!L33)*-1</f>
        <v>-621</v>
      </c>
      <c r="L26" s="3">
        <f>('Data Input'!M32+'Data Input'!M33)*-1</f>
        <v>-629</v>
      </c>
      <c r="M26" s="3">
        <f>('Data Input'!N32+'Data Input'!N33)*-1</f>
        <v>-624</v>
      </c>
      <c r="N26" s="3">
        <f>('Data Input'!O32+'Data Input'!O33)*-1</f>
        <v>-638</v>
      </c>
      <c r="O26" s="3">
        <f>('Data Input'!P32+'Data Input'!P33)*-1</f>
        <v>-675</v>
      </c>
      <c r="P26" s="3">
        <f>('Data Input'!Q32+'Data Input'!Q33)*-1</f>
        <v>-705</v>
      </c>
      <c r="Q26" s="121">
        <f>('Data Input'!R32+'Data Input'!R33)*-1</f>
        <v>-737</v>
      </c>
      <c r="R26" s="121">
        <f>('Data Input'!S32+'Data Input'!S33)*-1</f>
        <v>-784</v>
      </c>
      <c r="S26" s="121">
        <f>('Data Input'!T32+'Data Input'!T33)*-1</f>
        <v>-809</v>
      </c>
      <c r="T26" s="121">
        <f>('Data Input'!U32+'Data Input'!U33)*-1</f>
        <v>-1059</v>
      </c>
      <c r="U26" s="121">
        <f>('Data Input'!V32+'Data Input'!V33)*-1</f>
        <v>-1138</v>
      </c>
      <c r="V26" s="121">
        <f>('Data Input'!W32+'Data Input'!W33)*-1</f>
        <v>-1302</v>
      </c>
      <c r="W26" s="121">
        <f>('Data Input'!X32+'Data Input'!X33)*-1</f>
        <v>-1338.1948571428572</v>
      </c>
      <c r="X26" s="121">
        <f>('Data Input'!Y32+'Data Input'!Y33)*-1</f>
        <v>-1403</v>
      </c>
      <c r="Y26" s="121">
        <f>('Data Input'!Z32+'Data Input'!Z33)*-1</f>
        <v>-1473.7162321428571</v>
      </c>
      <c r="Z26" s="121">
        <f>('Data Input'!AA32+'Data Input'!AA33)*-1</f>
        <v>-1540</v>
      </c>
      <c r="AA26" s="121">
        <f>('Data Input'!AB32+'Data Input'!AB33)*-1</f>
        <v>-1610</v>
      </c>
      <c r="AB26" s="345">
        <f>('Data Input'!AC32+'Data Input'!AC33)*-1</f>
        <v>-1648</v>
      </c>
      <c r="AC26" s="79">
        <f>('Data Input'!AD32+'Data Input'!AD33)*-1</f>
        <v>-1710.8806010928961</v>
      </c>
      <c r="AD26" s="79">
        <f>('Data Input'!AE32+'Data Input'!AE33)*-1</f>
        <v>-1779.9690049180326</v>
      </c>
      <c r="AE26" s="79">
        <f>('Data Input'!AF32+'Data Input'!AF33)*-1</f>
        <v>-1842.0595977486337</v>
      </c>
      <c r="AF26" s="240">
        <f>('Data Input'!AG32+'Data Input'!AG33)*-1</f>
        <v>-1906.3018540446444</v>
      </c>
    </row>
    <row r="27" spans="1:32" s="121" customFormat="1" x14ac:dyDescent="0.2">
      <c r="A27" s="3" t="s">
        <v>219</v>
      </c>
      <c r="B27" s="3" t="s">
        <v>108</v>
      </c>
      <c r="C27" s="23" t="s">
        <v>12</v>
      </c>
      <c r="D27" s="3">
        <f>'experience g(l)'!C87*-1</f>
        <v>-111</v>
      </c>
      <c r="E27" s="3">
        <f>'experience g(l)'!D87*-1</f>
        <v>-61</v>
      </c>
      <c r="F27" s="3">
        <f>'experience g(l)'!E87*-1</f>
        <v>-257</v>
      </c>
      <c r="G27" s="3">
        <f>'experience g(l)'!F87*-1</f>
        <v>-148</v>
      </c>
      <c r="H27" s="3">
        <f>'experience g(l)'!G87*-1</f>
        <v>-293</v>
      </c>
      <c r="I27" s="3">
        <f>'experience g(l)'!H87*-1</f>
        <v>-380</v>
      </c>
      <c r="J27" s="3">
        <f>'experience g(l)'!I87*-1</f>
        <v>-439</v>
      </c>
      <c r="K27" s="3">
        <f>'experience g(l)'!J87*-1</f>
        <v>-651</v>
      </c>
      <c r="L27" s="3">
        <f>'experience g(l)'!K87*-1</f>
        <v>-970</v>
      </c>
      <c r="M27" s="3">
        <f>'experience g(l)'!L87*-1</f>
        <v>-1135</v>
      </c>
      <c r="N27" s="3">
        <f>'experience g(l)'!M87*-1</f>
        <v>-470</v>
      </c>
      <c r="O27" s="3">
        <f>'experience g(l)'!N87*-1</f>
        <v>-493</v>
      </c>
      <c r="P27" s="3">
        <f>'experience g(l)'!O87*-1</f>
        <v>-444</v>
      </c>
      <c r="Q27" s="121">
        <f>'experience g(l)'!P87*-1</f>
        <v>-466</v>
      </c>
      <c r="R27" s="121">
        <f>'experience g(l)'!Q87*-1</f>
        <v>-467</v>
      </c>
      <c r="S27" s="121">
        <f>'experience g(l)'!R87*-1</f>
        <v>-470</v>
      </c>
      <c r="T27" s="121">
        <f>'experience g(l)'!S87*-1</f>
        <v>-710</v>
      </c>
      <c r="U27" s="121">
        <f>'experience g(l)'!T87*-1</f>
        <v>-1113</v>
      </c>
      <c r="V27" s="121">
        <f>'experience g(l)'!U87*-1</f>
        <v>-916</v>
      </c>
      <c r="W27" s="121">
        <f>'experience g(l)'!V87*-1</f>
        <v>-587</v>
      </c>
      <c r="X27" s="121">
        <f>'experience g(l)'!W87*-1</f>
        <v>-490</v>
      </c>
      <c r="Y27" s="121">
        <f>'experience g(l)'!X87*-1</f>
        <v>-181</v>
      </c>
      <c r="Z27" s="121">
        <f>'experience g(l)'!Y87*-1</f>
        <v>70</v>
      </c>
      <c r="AA27" s="121">
        <f>'experience g(l)'!Z87*-1</f>
        <v>-312</v>
      </c>
      <c r="AB27" s="345">
        <f>'experience g(l)'!AA87*-1</f>
        <v>-723</v>
      </c>
      <c r="AC27" s="79">
        <f>'experience g(l)'!AB87*-1</f>
        <v>-1364</v>
      </c>
      <c r="AD27" s="79">
        <f>'experience g(l)'!AC87*-1</f>
        <v>-1759</v>
      </c>
      <c r="AE27" s="79">
        <f>'experience g(l)'!AD87*-1</f>
        <v>-2071</v>
      </c>
      <c r="AF27" s="240">
        <f>'experience g(l)'!AE87*-1</f>
        <v>-2353</v>
      </c>
    </row>
    <row r="28" spans="1:32" s="121" customFormat="1" x14ac:dyDescent="0.2">
      <c r="A28" s="3" t="s">
        <v>221</v>
      </c>
      <c r="B28" s="3" t="s">
        <v>224</v>
      </c>
      <c r="C28" s="3">
        <f>Interest!C29</f>
        <v>334.63499999999999</v>
      </c>
      <c r="D28" s="3">
        <f>Interest!D29</f>
        <v>419.42999999999984</v>
      </c>
      <c r="E28" s="3">
        <f>Interest!E29</f>
        <v>230.99249999999984</v>
      </c>
      <c r="F28" s="3">
        <f>Interest!F29</f>
        <v>253.09375</v>
      </c>
      <c r="G28" s="3">
        <f>Interest!G29</f>
        <v>217.78749999999991</v>
      </c>
      <c r="H28" s="3">
        <f>Interest!H29</f>
        <v>296.38749999999982</v>
      </c>
      <c r="I28" s="3">
        <f>Interest!I29</f>
        <v>142.67500000000018</v>
      </c>
      <c r="J28" s="3">
        <f>Interest!J29</f>
        <v>35.488749999999982</v>
      </c>
      <c r="K28" s="3">
        <f>Interest!K29</f>
        <v>-125.85750000000007</v>
      </c>
      <c r="L28" s="3">
        <f>Interest!L29</f>
        <v>-376.7175000000002</v>
      </c>
      <c r="M28" s="3">
        <f>Interest!M29</f>
        <v>-706.8449999999998</v>
      </c>
      <c r="N28" s="3">
        <f>Interest!N29</f>
        <v>-748.72000000000025</v>
      </c>
      <c r="O28" s="3">
        <f>Interest!O29</f>
        <v>-499.27999999999975</v>
      </c>
      <c r="P28" s="3">
        <f>Interest!P29</f>
        <v>-544.16000000000076</v>
      </c>
      <c r="Q28" s="121">
        <f>Interest!Q29</f>
        <v>-521.22500000000036</v>
      </c>
      <c r="R28" s="121">
        <f>Interest!R29</f>
        <v>-561.45000000000073</v>
      </c>
      <c r="S28" s="121">
        <f>Interest!S29</f>
        <v>-515.44999999999982</v>
      </c>
      <c r="T28" s="121">
        <f>Interest!T29</f>
        <v>-761.34875000000011</v>
      </c>
      <c r="U28" s="121">
        <f>Interest!U29</f>
        <v>-1072.8249999999998</v>
      </c>
      <c r="V28" s="121">
        <f>Interest!V29</f>
        <v>-962.31446299999948</v>
      </c>
      <c r="W28" s="121">
        <f>Interest!W29</f>
        <v>-793.94607542857239</v>
      </c>
      <c r="X28" s="121">
        <f>Interest!X29</f>
        <v>-989.68786599999964</v>
      </c>
      <c r="Y28" s="121">
        <f>Interest!Y29</f>
        <v>-774.90718583482089</v>
      </c>
      <c r="Z28" s="121">
        <f>Interest!Z29</f>
        <v>-914.99420000000009</v>
      </c>
      <c r="AA28" s="121">
        <f>Interest!AA29</f>
        <v>-1413.3342470000005</v>
      </c>
      <c r="AB28" s="345">
        <f>Interest!AB29</f>
        <v>-1877.3225000000011</v>
      </c>
      <c r="AC28" s="79">
        <f>Interest!AC29</f>
        <v>-2508.3016000510092</v>
      </c>
      <c r="AD28" s="79">
        <f>Interest!AD29</f>
        <v>-3085.3383096140847</v>
      </c>
      <c r="AE28" s="79">
        <f>Interest!AE29</f>
        <v>-3590.710747807479</v>
      </c>
      <c r="AF28" s="240">
        <f>Interest!AF29</f>
        <v>-4046.4242670582767</v>
      </c>
    </row>
    <row r="29" spans="1:32" s="121" customFormat="1" x14ac:dyDescent="0.2">
      <c r="A29" s="3" t="s">
        <v>222</v>
      </c>
      <c r="B29" s="3" t="s">
        <v>201</v>
      </c>
      <c r="C29" s="3">
        <f>'Data Input'!D16</f>
        <v>0</v>
      </c>
      <c r="D29" s="3">
        <f>'Data Input'!E16</f>
        <v>0</v>
      </c>
      <c r="E29" s="3">
        <f>'Data Input'!F16</f>
        <v>0</v>
      </c>
      <c r="F29" s="3">
        <f>'Data Input'!G16</f>
        <v>0</v>
      </c>
      <c r="G29" s="3">
        <f>'Data Input'!H16</f>
        <v>0</v>
      </c>
      <c r="H29" s="3">
        <f>'Data Input'!I16</f>
        <v>0</v>
      </c>
      <c r="I29" s="3">
        <f>'Data Input'!J16</f>
        <v>258</v>
      </c>
      <c r="J29" s="3">
        <f>'Data Input'!K16</f>
        <v>2013</v>
      </c>
      <c r="K29" s="3">
        <f>'Data Input'!L16</f>
        <v>0</v>
      </c>
      <c r="L29" s="3">
        <f>'Data Input'!M16</f>
        <v>0</v>
      </c>
      <c r="M29" s="3">
        <f>'Data Input'!N16</f>
        <v>0</v>
      </c>
      <c r="N29" s="3">
        <f>'Data Input'!O16</f>
        <v>4519</v>
      </c>
      <c r="O29" s="3">
        <f>'Data Input'!P16</f>
        <v>0</v>
      </c>
      <c r="P29" s="3">
        <f>'Data Input'!Q16</f>
        <v>0</v>
      </c>
      <c r="Q29" s="121">
        <f>'Data Input'!R16</f>
        <v>0</v>
      </c>
      <c r="R29" s="121">
        <f>'Data Input'!S16</f>
        <v>0</v>
      </c>
      <c r="S29" s="121">
        <f>'Data Input'!T16</f>
        <v>0</v>
      </c>
      <c r="T29" s="121">
        <f>'Data Input'!U16</f>
        <v>0</v>
      </c>
      <c r="U29" s="121">
        <f>'Data Input'!V16</f>
        <v>0</v>
      </c>
      <c r="V29" s="121">
        <f>'Data Input'!W16</f>
        <v>0</v>
      </c>
      <c r="W29" s="121">
        <f>'Data Input'!X16</f>
        <v>0</v>
      </c>
      <c r="X29" s="121">
        <f>'Data Input'!Y16</f>
        <v>0</v>
      </c>
      <c r="Y29" s="121">
        <f>'Data Input'!Z16</f>
        <v>0</v>
      </c>
      <c r="Z29" s="121">
        <f>'Data Input'!AA16</f>
        <v>0</v>
      </c>
      <c r="AA29" s="121">
        <f>'Data Input'!AB16</f>
        <v>0</v>
      </c>
      <c r="AB29" s="345">
        <f>'Data Input'!AC16</f>
        <v>0</v>
      </c>
      <c r="AC29" s="79">
        <f>'Data Input'!AD16</f>
        <v>0</v>
      </c>
      <c r="AD29" s="79">
        <f>'Data Input'!AE16</f>
        <v>0</v>
      </c>
      <c r="AE29" s="79">
        <f>'Data Input'!AF16</f>
        <v>0</v>
      </c>
      <c r="AF29" s="240">
        <f>'Data Input'!AG16</f>
        <v>0</v>
      </c>
    </row>
    <row r="30" spans="1:32" s="121" customFormat="1" x14ac:dyDescent="0.2">
      <c r="A30" s="3" t="s">
        <v>206</v>
      </c>
      <c r="B30" s="3"/>
      <c r="C30" s="3"/>
      <c r="D30" s="3"/>
      <c r="E30" s="3"/>
      <c r="F30" s="3"/>
      <c r="G30" s="3"/>
      <c r="H30" s="3"/>
      <c r="I30" s="3">
        <v>500</v>
      </c>
      <c r="J30" s="3">
        <v>-500</v>
      </c>
      <c r="K30" s="3"/>
      <c r="L30" s="3"/>
      <c r="M30" s="3"/>
      <c r="N30" s="3"/>
      <c r="O30" s="3"/>
      <c r="P30" s="3"/>
      <c r="AB30" s="345"/>
      <c r="AC30" s="79"/>
      <c r="AD30" s="79"/>
      <c r="AE30" s="79"/>
      <c r="AF30" s="240"/>
    </row>
    <row r="31" spans="1:32" s="121" customFormat="1" x14ac:dyDescent="0.2">
      <c r="A31" s="3" t="s">
        <v>223</v>
      </c>
      <c r="B31" s="3" t="s">
        <v>108</v>
      </c>
      <c r="C31" s="6">
        <f>'experience g(l)'!B71*-1</f>
        <v>0</v>
      </c>
      <c r="D31" s="6">
        <f>'experience g(l)'!C71*-1</f>
        <v>0</v>
      </c>
      <c r="E31" s="6">
        <f>'experience g(l)'!D71*-1</f>
        <v>0</v>
      </c>
      <c r="F31" s="6">
        <f>'experience g(l)'!E71*-1</f>
        <v>0</v>
      </c>
      <c r="G31" s="6">
        <f>'experience g(l)'!F71*-1</f>
        <v>0</v>
      </c>
      <c r="H31" s="6">
        <f>'experience g(l)'!G71*-1</f>
        <v>0</v>
      </c>
      <c r="I31" s="6">
        <f>'experience g(l)'!H71*-1</f>
        <v>-758</v>
      </c>
      <c r="J31" s="6">
        <f>'experience g(l)'!I71*-1</f>
        <v>-1513</v>
      </c>
      <c r="K31" s="6">
        <f>'experience g(l)'!J71*-1</f>
        <v>0</v>
      </c>
      <c r="L31" s="6">
        <f>'experience g(l)'!K71*-1</f>
        <v>0</v>
      </c>
      <c r="M31" s="6">
        <f>'experience g(l)'!L71*-1</f>
        <v>0</v>
      </c>
      <c r="N31" s="6">
        <f>'experience g(l)'!M71*-1</f>
        <v>-4519</v>
      </c>
      <c r="O31" s="6">
        <f>'experience g(l)'!N71*-1</f>
        <v>0</v>
      </c>
      <c r="P31" s="6">
        <f>'experience g(l)'!O71*-1</f>
        <v>0</v>
      </c>
      <c r="Q31" s="125">
        <f>'experience g(l)'!P71*-1</f>
        <v>0</v>
      </c>
      <c r="R31" s="125">
        <f>'experience g(l)'!Q71*-1</f>
        <v>0</v>
      </c>
      <c r="S31" s="125">
        <f>'experience g(l)'!R71*-1</f>
        <v>0</v>
      </c>
      <c r="T31" s="125">
        <f>'experience g(l)'!S71*-1</f>
        <v>0</v>
      </c>
      <c r="U31" s="125">
        <f>'experience g(l)'!T71*-1</f>
        <v>0</v>
      </c>
      <c r="V31" s="125">
        <f>'experience g(l)'!U71*-1</f>
        <v>0</v>
      </c>
      <c r="W31" s="125">
        <f>'experience g(l)'!V71*-1</f>
        <v>0</v>
      </c>
      <c r="X31" s="125">
        <f>'experience g(l)'!W71*-1</f>
        <v>0</v>
      </c>
      <c r="Y31" s="125">
        <f>'experience g(l)'!X71*-1</f>
        <v>0</v>
      </c>
      <c r="Z31" s="125">
        <f>'experience g(l)'!Y71*-1</f>
        <v>0</v>
      </c>
      <c r="AA31" s="125">
        <f>'experience g(l)'!Z71*-1</f>
        <v>0</v>
      </c>
      <c r="AB31" s="346">
        <f>'experience g(l)'!AA71*-1</f>
        <v>0</v>
      </c>
      <c r="AC31" s="81">
        <f>'experience g(l)'!AB71*-1</f>
        <v>0</v>
      </c>
      <c r="AD31" s="81">
        <f>'experience g(l)'!AC71*-1</f>
        <v>0</v>
      </c>
      <c r="AE31" s="81">
        <f>'experience g(l)'!AD71*-1</f>
        <v>0</v>
      </c>
      <c r="AF31" s="241">
        <f>'experience g(l)'!AE71*-1</f>
        <v>0</v>
      </c>
    </row>
    <row r="32" spans="1:32" s="146" customFormat="1" x14ac:dyDescent="0.2">
      <c r="A32" s="9" t="s">
        <v>346</v>
      </c>
      <c r="B32" s="9" t="s">
        <v>31</v>
      </c>
      <c r="C32" s="9">
        <f t="shared" ref="C32:AD32" si="29">SUM(C25:C31)</f>
        <v>730.63499999999999</v>
      </c>
      <c r="D32" s="9">
        <f t="shared" si="29"/>
        <v>882.42999999999984</v>
      </c>
      <c r="E32" s="9">
        <f t="shared" si="29"/>
        <v>637.99249999999984</v>
      </c>
      <c r="F32" s="9">
        <f t="shared" si="29"/>
        <v>468.09375</v>
      </c>
      <c r="G32" s="9">
        <f t="shared" si="29"/>
        <v>642.78749999999991</v>
      </c>
      <c r="H32" s="9">
        <f t="shared" si="29"/>
        <v>740.38749999999982</v>
      </c>
      <c r="I32" s="9">
        <f t="shared" si="29"/>
        <v>480.67500000000018</v>
      </c>
      <c r="J32" s="9">
        <f t="shared" si="29"/>
        <v>210.48874999999998</v>
      </c>
      <c r="K32" s="9">
        <f t="shared" si="29"/>
        <v>-92.857500000000073</v>
      </c>
      <c r="L32" s="9">
        <f t="shared" si="29"/>
        <v>-674.7175000000002</v>
      </c>
      <c r="M32" s="9">
        <f t="shared" si="29"/>
        <v>-1165.8449999999998</v>
      </c>
      <c r="N32" s="9">
        <f t="shared" si="29"/>
        <v>-317.72000000000025</v>
      </c>
      <c r="O32" s="9">
        <f t="shared" si="29"/>
        <v>27.720000000000255</v>
      </c>
      <c r="P32" s="9">
        <f t="shared" si="29"/>
        <v>41.839999999999236</v>
      </c>
      <c r="Q32" s="146">
        <f t="shared" si="29"/>
        <v>31.774999999999636</v>
      </c>
      <c r="R32" s="146">
        <f t="shared" si="29"/>
        <v>96.549999999999272</v>
      </c>
      <c r="S32" s="146">
        <f t="shared" si="29"/>
        <v>200.55000000000018</v>
      </c>
      <c r="T32" s="146">
        <f>SUM(T25:T31)</f>
        <v>-428.34875000000011</v>
      </c>
      <c r="U32" s="146">
        <f t="shared" si="29"/>
        <v>-1087.8249999999998</v>
      </c>
      <c r="V32" s="146">
        <f t="shared" si="29"/>
        <v>-831.31446299999948</v>
      </c>
      <c r="W32" s="146">
        <f t="shared" si="29"/>
        <v>-285.14093257142963</v>
      </c>
      <c r="X32" s="146">
        <f t="shared" si="29"/>
        <v>-317.68786599999964</v>
      </c>
      <c r="Y32" s="146">
        <f t="shared" si="29"/>
        <v>361.37658202232205</v>
      </c>
      <c r="Z32" s="146">
        <f t="shared" si="29"/>
        <v>269.00579999999991</v>
      </c>
      <c r="AA32" s="146">
        <f t="shared" si="29"/>
        <v>-411.33424700000046</v>
      </c>
      <c r="AB32" s="344">
        <f t="shared" si="29"/>
        <v>-1346.3225000000011</v>
      </c>
      <c r="AC32" s="103">
        <f t="shared" si="29"/>
        <v>-2559.5884511439053</v>
      </c>
      <c r="AD32" s="103">
        <f t="shared" si="29"/>
        <v>-3362.2046241024304</v>
      </c>
      <c r="AE32" s="103">
        <f t="shared" ref="AE32:AF32" si="30">SUM(AE25:AE31)</f>
        <v>-4003.3662563806988</v>
      </c>
      <c r="AF32" s="266">
        <f t="shared" si="30"/>
        <v>-4549.7186385840378</v>
      </c>
    </row>
    <row r="33" spans="1:32" x14ac:dyDescent="0.2">
      <c r="A33" s="157" t="s">
        <v>342</v>
      </c>
      <c r="B33" s="157" t="s">
        <v>204</v>
      </c>
      <c r="C33" s="161"/>
      <c r="D33" s="161"/>
      <c r="E33" s="161"/>
      <c r="F33" s="161"/>
      <c r="G33" s="161"/>
      <c r="H33" s="161"/>
      <c r="I33" s="161"/>
      <c r="J33" s="161"/>
      <c r="K33" s="161"/>
      <c r="L33" s="161"/>
      <c r="M33" s="161"/>
      <c r="N33" s="161"/>
      <c r="O33" s="161"/>
      <c r="P33" s="161"/>
      <c r="Q33" s="161"/>
      <c r="R33" s="161"/>
      <c r="S33" s="162">
        <f>'year end'!S27</f>
        <v>-11.029411764705882</v>
      </c>
      <c r="T33" s="169">
        <f>'year end'!T27</f>
        <v>-11.029411764705882</v>
      </c>
      <c r="U33" s="169">
        <f>'year end'!U27</f>
        <v>-11.029411764705882</v>
      </c>
      <c r="V33" s="169">
        <f>'year end'!V27</f>
        <v>-11.029411764705882</v>
      </c>
      <c r="W33" s="169">
        <f>'year end'!W27</f>
        <v>-11.029411764705882</v>
      </c>
      <c r="X33" s="137">
        <f>'year end'!X27</f>
        <v>-11.029411764705882</v>
      </c>
      <c r="Y33" s="169">
        <f>'year end'!Y27</f>
        <v>-11.029411764705882</v>
      </c>
      <c r="Z33" s="169">
        <f>'year end'!Z27</f>
        <v>-11.029411764705882</v>
      </c>
      <c r="AA33" s="169">
        <f>'year end'!AA27</f>
        <v>-11.029411764705882</v>
      </c>
      <c r="AB33" s="368">
        <f>'year end'!AB27</f>
        <v>-11.029411764705882</v>
      </c>
      <c r="AC33" s="297">
        <f>'year end'!AC27</f>
        <v>-10.029411764705882</v>
      </c>
      <c r="AD33" s="297">
        <f>'year end'!AD27</f>
        <v>-10.029411764705882</v>
      </c>
      <c r="AE33" s="297">
        <f>'year end'!AE27</f>
        <v>-10.029411764705882</v>
      </c>
      <c r="AF33" s="272">
        <f>'year end'!AF27</f>
        <v>-10.029411764705882</v>
      </c>
    </row>
    <row r="34" spans="1:32" s="217" customFormat="1" x14ac:dyDescent="0.2">
      <c r="A34" s="8" t="s">
        <v>243</v>
      </c>
      <c r="B34" s="9" t="s">
        <v>241</v>
      </c>
      <c r="C34" s="14"/>
      <c r="D34" s="14"/>
      <c r="E34" s="14"/>
      <c r="F34" s="14"/>
      <c r="G34" s="124">
        <f t="shared" ref="G34:R34" si="31">SUM(G32:G33)</f>
        <v>642.78749999999991</v>
      </c>
      <c r="H34" s="124">
        <f t="shared" si="31"/>
        <v>740.38749999999982</v>
      </c>
      <c r="I34" s="124">
        <f t="shared" si="31"/>
        <v>480.67500000000018</v>
      </c>
      <c r="J34" s="124">
        <f t="shared" si="31"/>
        <v>210.48874999999998</v>
      </c>
      <c r="K34" s="124">
        <f t="shared" si="31"/>
        <v>-92.857500000000073</v>
      </c>
      <c r="L34" s="124">
        <f t="shared" si="31"/>
        <v>-674.7175000000002</v>
      </c>
      <c r="M34" s="124">
        <f t="shared" si="31"/>
        <v>-1165.8449999999998</v>
      </c>
      <c r="N34" s="124">
        <f t="shared" si="31"/>
        <v>-317.72000000000025</v>
      </c>
      <c r="O34" s="124">
        <f t="shared" si="31"/>
        <v>27.720000000000255</v>
      </c>
      <c r="P34" s="124">
        <f t="shared" si="31"/>
        <v>41.839999999999236</v>
      </c>
      <c r="Q34" s="124">
        <f t="shared" si="31"/>
        <v>31.774999999999636</v>
      </c>
      <c r="R34" s="124">
        <f t="shared" si="31"/>
        <v>96.549999999999272</v>
      </c>
      <c r="S34" s="124">
        <f t="shared" ref="S34:AD34" si="32">SUM(S32:S33)</f>
        <v>189.5205882352943</v>
      </c>
      <c r="T34" s="124">
        <f t="shared" si="32"/>
        <v>-439.37816176470596</v>
      </c>
      <c r="U34" s="124">
        <f t="shared" si="32"/>
        <v>-1098.8544117647057</v>
      </c>
      <c r="V34" s="124">
        <f t="shared" si="32"/>
        <v>-842.34387476470533</v>
      </c>
      <c r="W34" s="124">
        <f t="shared" si="32"/>
        <v>-296.17034433613549</v>
      </c>
      <c r="X34" s="124">
        <f t="shared" si="32"/>
        <v>-328.7172777647055</v>
      </c>
      <c r="Y34" s="124">
        <f t="shared" si="32"/>
        <v>350.3471702576162</v>
      </c>
      <c r="Z34" s="124">
        <f t="shared" si="32"/>
        <v>257.97638823529405</v>
      </c>
      <c r="AA34" s="124">
        <f t="shared" si="32"/>
        <v>-422.36365876470632</v>
      </c>
      <c r="AB34" s="369">
        <f t="shared" si="32"/>
        <v>-1357.351911764707</v>
      </c>
      <c r="AC34" s="80">
        <f t="shared" si="32"/>
        <v>-2569.6178629086112</v>
      </c>
      <c r="AD34" s="80">
        <f t="shared" si="32"/>
        <v>-3372.2340358671363</v>
      </c>
      <c r="AE34" s="80">
        <f t="shared" ref="AE34:AF34" si="33">SUM(AE32:AE33)</f>
        <v>-4013.3956681454047</v>
      </c>
      <c r="AF34" s="273">
        <f t="shared" si="33"/>
        <v>-4559.7480503487441</v>
      </c>
    </row>
  </sheetData>
  <phoneticPr fontId="0" type="noConversion"/>
  <pageMargins left="0.51181102362204722" right="0.51181102362204722" top="0.98425196850393704" bottom="0.98425196850393704" header="0.51181102362204722" footer="0.51181102362204722"/>
  <pageSetup paperSize="5" scale="42" orientation="landscape" r:id="rId1"/>
  <headerFooter alignWithMargins="0">
    <oddFooter>&amp;L&amp;"Arial,Bold"&amp;F&amp;C&amp;A&amp;R&amp;D  &amp;T</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36"/>
  <sheetViews>
    <sheetView workbookViewId="0">
      <pane xSplit="2" ySplit="5" topLeftCell="O6" activePane="bottomRight" state="frozen"/>
      <selection activeCell="Q42" sqref="Q42"/>
      <selection pane="topRight" activeCell="Q42" sqref="Q42"/>
      <selection pane="bottomLeft" activeCell="Q42" sqref="Q42"/>
      <selection pane="bottomRight" activeCell="Q42" sqref="Q42"/>
    </sheetView>
  </sheetViews>
  <sheetFormatPr defaultRowHeight="12.75" outlineLevelCol="1" x14ac:dyDescent="0.2"/>
  <cols>
    <col min="1" max="1" width="42.7109375" customWidth="1"/>
    <col min="2" max="2" width="20.7109375" customWidth="1"/>
    <col min="3" max="7" width="9.28515625" hidden="1" customWidth="1" outlineLevel="1"/>
    <col min="8" max="8" width="10" hidden="1" customWidth="1" outlineLevel="1"/>
    <col min="9" max="9" width="11.28515625" hidden="1" customWidth="1" outlineLevel="1"/>
    <col min="10" max="10" width="12.5703125" hidden="1" customWidth="1" outlineLevel="1"/>
    <col min="11" max="11" width="12.42578125" style="115" hidden="1" customWidth="1" outlineLevel="1"/>
    <col min="12" max="12" width="13" style="115" hidden="1" customWidth="1" outlineLevel="1"/>
    <col min="13" max="13" width="12.42578125" style="115" hidden="1" customWidth="1" outlineLevel="1"/>
    <col min="14" max="14" width="12" style="115" hidden="1" customWidth="1" outlineLevel="1"/>
    <col min="15" max="15" width="10.85546875" style="115" bestFit="1" customWidth="1" collapsed="1"/>
    <col min="16" max="16" width="11.85546875" style="115" bestFit="1" customWidth="1"/>
    <col min="17" max="17" width="12" style="115" customWidth="1"/>
    <col min="18" max="18" width="10.28515625" style="115" bestFit="1" customWidth="1"/>
    <col min="19" max="20" width="10.28515625" style="115" customWidth="1"/>
    <col min="21" max="21" width="10.85546875" style="115" bestFit="1" customWidth="1"/>
    <col min="22" max="22" width="10.85546875" style="338" bestFit="1" customWidth="1"/>
    <col min="23" max="25" width="11.28515625" style="76" customWidth="1" outlineLevel="1"/>
    <col min="26" max="26" width="11.28515625" style="238" customWidth="1" outlineLevel="1"/>
  </cols>
  <sheetData>
    <row r="1" spans="1:26" ht="15.75" x14ac:dyDescent="0.25">
      <c r="A1" s="18" t="s">
        <v>258</v>
      </c>
    </row>
    <row r="2" spans="1:26" ht="15.75" x14ac:dyDescent="0.25">
      <c r="A2" s="18" t="s">
        <v>304</v>
      </c>
    </row>
    <row r="5" spans="1:26" s="2" customFormat="1" ht="13.5" thickBot="1" x14ac:dyDescent="0.25">
      <c r="A5" s="19" t="s">
        <v>156</v>
      </c>
      <c r="B5" s="20" t="s">
        <v>26</v>
      </c>
      <c r="C5" s="62" t="s">
        <v>39</v>
      </c>
      <c r="D5" s="62" t="s">
        <v>40</v>
      </c>
      <c r="E5" s="62" t="s">
        <v>41</v>
      </c>
      <c r="F5" s="62" t="s">
        <v>295</v>
      </c>
      <c r="G5" s="62" t="s">
        <v>43</v>
      </c>
      <c r="H5" s="62" t="s">
        <v>44</v>
      </c>
      <c r="I5" s="62" t="s">
        <v>45</v>
      </c>
      <c r="J5" s="62" t="s">
        <v>168</v>
      </c>
      <c r="K5" s="150" t="s">
        <v>169</v>
      </c>
      <c r="L5" s="150" t="s">
        <v>170</v>
      </c>
      <c r="M5" s="150" t="s">
        <v>171</v>
      </c>
      <c r="N5" s="150" t="s">
        <v>172</v>
      </c>
      <c r="O5" s="150" t="s">
        <v>173</v>
      </c>
      <c r="P5" s="150" t="s">
        <v>174</v>
      </c>
      <c r="Q5" s="150" t="s">
        <v>175</v>
      </c>
      <c r="R5" s="150" t="s">
        <v>176</v>
      </c>
      <c r="S5" s="150" t="s">
        <v>177</v>
      </c>
      <c r="T5" s="150" t="s">
        <v>178</v>
      </c>
      <c r="U5" s="150" t="s">
        <v>294</v>
      </c>
      <c r="V5" s="370" t="s">
        <v>309</v>
      </c>
      <c r="W5" s="108" t="s">
        <v>315</v>
      </c>
      <c r="X5" s="108" t="s">
        <v>316</v>
      </c>
      <c r="Y5" s="108" t="s">
        <v>317</v>
      </c>
      <c r="Z5" s="274" t="s">
        <v>318</v>
      </c>
    </row>
    <row r="6" spans="1:26" s="3" customFormat="1" x14ac:dyDescent="0.2">
      <c r="K6" s="121"/>
      <c r="L6" s="121"/>
      <c r="M6" s="121"/>
      <c r="N6" s="121"/>
      <c r="O6" s="121"/>
      <c r="P6" s="121"/>
      <c r="Q6" s="121"/>
      <c r="R6" s="121"/>
      <c r="S6" s="121"/>
      <c r="T6" s="121"/>
      <c r="U6" s="121"/>
      <c r="V6" s="345"/>
      <c r="W6" s="79"/>
      <c r="X6" s="79"/>
      <c r="Y6" s="79"/>
      <c r="Z6" s="240"/>
    </row>
    <row r="7" spans="1:26" s="3" customFormat="1" x14ac:dyDescent="0.2">
      <c r="K7" s="121"/>
      <c r="L7" s="121"/>
      <c r="M7" s="121"/>
      <c r="N7" s="121"/>
      <c r="O7" s="121"/>
      <c r="P7" s="121"/>
      <c r="Q7" s="121"/>
      <c r="R7" s="121"/>
      <c r="S7" s="121"/>
      <c r="T7" s="121"/>
      <c r="U7" s="121"/>
      <c r="V7" s="345"/>
      <c r="W7" s="79"/>
      <c r="X7" s="79"/>
      <c r="Y7" s="79"/>
      <c r="Z7" s="240"/>
    </row>
    <row r="8" spans="1:26" s="3" customFormat="1" x14ac:dyDescent="0.2">
      <c r="A8" s="12" t="s">
        <v>245</v>
      </c>
      <c r="K8" s="121"/>
      <c r="L8" s="121"/>
      <c r="M8" s="121"/>
      <c r="N8" s="121"/>
      <c r="O8" s="121"/>
      <c r="P8" s="121"/>
      <c r="Q8" s="121"/>
      <c r="R8" s="121"/>
      <c r="S8" s="121"/>
      <c r="T8" s="121"/>
      <c r="U8" s="121"/>
      <c r="V8" s="345"/>
      <c r="W8" s="79"/>
      <c r="X8" s="79"/>
      <c r="Y8" s="79"/>
      <c r="Z8" s="240"/>
    </row>
    <row r="9" spans="1:26" s="3" customFormat="1" x14ac:dyDescent="0.2">
      <c r="K9" s="121"/>
      <c r="L9" s="121"/>
      <c r="M9" s="121"/>
      <c r="N9" s="121"/>
      <c r="O9" s="121"/>
      <c r="P9" s="121"/>
      <c r="Q9" s="121"/>
      <c r="R9" s="121"/>
      <c r="S9" s="121"/>
      <c r="T9" s="121"/>
      <c r="U9" s="121"/>
      <c r="V9" s="345"/>
      <c r="W9" s="79"/>
      <c r="X9" s="79"/>
      <c r="Y9" s="79"/>
      <c r="Z9" s="240"/>
    </row>
    <row r="10" spans="1:26" s="3" customFormat="1" x14ac:dyDescent="0.2">
      <c r="A10" s="3" t="s">
        <v>218</v>
      </c>
      <c r="B10" s="3" t="s">
        <v>238</v>
      </c>
      <c r="C10" s="3">
        <f t="shared" ref="C10:H10" si="0">C21/2</f>
        <v>15.5</v>
      </c>
      <c r="D10" s="3">
        <f t="shared" si="0"/>
        <v>10.5</v>
      </c>
      <c r="E10" s="3">
        <f t="shared" si="0"/>
        <v>12.5</v>
      </c>
      <c r="F10" s="3">
        <f t="shared" si="0"/>
        <v>11</v>
      </c>
      <c r="G10" s="3">
        <f t="shared" si="0"/>
        <v>9</v>
      </c>
      <c r="H10" s="3">
        <f t="shared" si="0"/>
        <v>16</v>
      </c>
      <c r="I10" s="3">
        <f t="shared" ref="I10:O10" si="1">I21/2</f>
        <v>16.324000000000002</v>
      </c>
      <c r="J10" s="3">
        <f t="shared" si="1"/>
        <v>4.5380000000000003</v>
      </c>
      <c r="K10" s="121">
        <f t="shared" si="1"/>
        <v>5.1684999999999999</v>
      </c>
      <c r="L10" s="121">
        <f t="shared" si="1"/>
        <v>5.7975000000000003</v>
      </c>
      <c r="M10" s="121">
        <f t="shared" si="1"/>
        <v>3.665</v>
      </c>
      <c r="N10" s="121">
        <f t="shared" si="1"/>
        <v>4.6524999999999999</v>
      </c>
      <c r="O10" s="121">
        <f t="shared" si="1"/>
        <v>5.4195000000000002</v>
      </c>
      <c r="P10" s="121">
        <f t="shared" ref="P10:U10" si="2">P21/2</f>
        <v>4.9725000000000001</v>
      </c>
      <c r="Q10" s="121">
        <f t="shared" si="2"/>
        <v>6.4095000000000004</v>
      </c>
      <c r="R10" s="121">
        <f t="shared" si="2"/>
        <v>7.5060000000000002</v>
      </c>
      <c r="S10" s="121">
        <f t="shared" si="2"/>
        <v>7.2874999999999996</v>
      </c>
      <c r="T10" s="121">
        <f t="shared" si="2"/>
        <v>6.7255000000000003</v>
      </c>
      <c r="U10" s="121">
        <f t="shared" si="2"/>
        <v>3.2679999999999998</v>
      </c>
      <c r="V10" s="345">
        <f>V21/2</f>
        <v>4.1120000000000001</v>
      </c>
      <c r="W10" s="79">
        <f>W21/2</f>
        <v>4.2147999999999994</v>
      </c>
      <c r="X10" s="79">
        <f>X21/2</f>
        <v>4.3201699999999992</v>
      </c>
      <c r="Y10" s="79">
        <f>Y21/2</f>
        <v>4.4281742499999988</v>
      </c>
      <c r="Z10" s="240">
        <f>Z21/2</f>
        <v>4.5388786062499982</v>
      </c>
    </row>
    <row r="11" spans="1:26" s="3" customFormat="1" x14ac:dyDescent="0.2">
      <c r="A11" s="3" t="s">
        <v>219</v>
      </c>
      <c r="B11" s="3" t="s">
        <v>238</v>
      </c>
      <c r="C11" s="3">
        <f t="shared" ref="C11:H11" si="3">+C23/2</f>
        <v>-3</v>
      </c>
      <c r="D11" s="3">
        <f t="shared" si="3"/>
        <v>-7</v>
      </c>
      <c r="E11" s="3">
        <f t="shared" si="3"/>
        <v>-8</v>
      </c>
      <c r="F11" s="3">
        <f t="shared" si="3"/>
        <v>-11</v>
      </c>
      <c r="G11" s="3">
        <f t="shared" si="3"/>
        <v>-9.5</v>
      </c>
      <c r="H11" s="3">
        <f t="shared" si="3"/>
        <v>-8</v>
      </c>
      <c r="I11" s="3">
        <f t="shared" ref="I11:O11" si="4">+I23/2</f>
        <v>-5</v>
      </c>
      <c r="J11" s="3">
        <f t="shared" si="4"/>
        <v>-18</v>
      </c>
      <c r="K11" s="121">
        <f t="shared" si="4"/>
        <v>-18</v>
      </c>
      <c r="L11" s="121">
        <f t="shared" si="4"/>
        <v>-18.5</v>
      </c>
      <c r="M11" s="121">
        <f t="shared" si="4"/>
        <v>-19.5</v>
      </c>
      <c r="N11" s="121">
        <f t="shared" si="4"/>
        <v>-19</v>
      </c>
      <c r="O11" s="121">
        <f t="shared" si="4"/>
        <v>-17.5</v>
      </c>
      <c r="P11" s="121">
        <f t="shared" ref="P11:U11" si="5">+P23/2</f>
        <v>-18</v>
      </c>
      <c r="Q11" s="121">
        <f t="shared" si="5"/>
        <v>-11</v>
      </c>
      <c r="R11" s="121">
        <f t="shared" si="5"/>
        <v>-8</v>
      </c>
      <c r="S11" s="121">
        <f t="shared" si="5"/>
        <v>-8</v>
      </c>
      <c r="T11" s="121">
        <f t="shared" si="5"/>
        <v>-7</v>
      </c>
      <c r="U11" s="121">
        <f t="shared" si="5"/>
        <v>-8</v>
      </c>
      <c r="V11" s="345">
        <f>+V23/2</f>
        <v>-12</v>
      </c>
      <c r="W11" s="79">
        <f>+W23/2</f>
        <v>0</v>
      </c>
      <c r="X11" s="79">
        <f>+X23/2</f>
        <v>-1</v>
      </c>
      <c r="Y11" s="79">
        <f>+Y23/2</f>
        <v>-0.5</v>
      </c>
      <c r="Z11" s="240">
        <f>+Z23/2</f>
        <v>0.5</v>
      </c>
    </row>
    <row r="12" spans="1:26" s="3" customFormat="1" x14ac:dyDescent="0.2">
      <c r="A12" s="3" t="s">
        <v>221</v>
      </c>
      <c r="B12" s="3" t="s">
        <v>238</v>
      </c>
      <c r="C12" s="3">
        <f t="shared" ref="C12:H12" si="6">C24/2</f>
        <v>8.1571875000000009</v>
      </c>
      <c r="D12" s="3">
        <f t="shared" si="6"/>
        <v>6.9265625000000002</v>
      </c>
      <c r="E12" s="3">
        <f t="shared" si="6"/>
        <v>5.8181249999999993</v>
      </c>
      <c r="F12" s="3">
        <f t="shared" si="6"/>
        <v>5.0118750000000007</v>
      </c>
      <c r="G12" s="3">
        <f t="shared" si="6"/>
        <v>3.875</v>
      </c>
      <c r="H12" s="3">
        <f t="shared" si="6"/>
        <v>5.3707500000000001</v>
      </c>
      <c r="I12" s="3">
        <f t="shared" ref="I12:O12" si="7">I24/2</f>
        <v>5.5563987499999996</v>
      </c>
      <c r="J12" s="3">
        <f t="shared" si="7"/>
        <v>6.8163948750000003</v>
      </c>
      <c r="K12" s="121">
        <f t="shared" si="7"/>
        <v>2.1683215625000001</v>
      </c>
      <c r="L12" s="121">
        <f t="shared" si="7"/>
        <v>2.2204085000000005</v>
      </c>
      <c r="M12" s="121">
        <f t="shared" si="7"/>
        <v>1.9964894999999998</v>
      </c>
      <c r="N12" s="121">
        <f t="shared" si="7"/>
        <v>2.449352625</v>
      </c>
      <c r="O12" s="121">
        <f t="shared" si="7"/>
        <v>2.4896450000000003</v>
      </c>
      <c r="P12" s="121">
        <f t="shared" ref="P12:U12" si="8">P24/2</f>
        <v>2.3005400000000003</v>
      </c>
      <c r="Q12" s="121">
        <f t="shared" si="8"/>
        <v>3.4499597500000001</v>
      </c>
      <c r="R12" s="121">
        <f t="shared" si="8"/>
        <v>3.9298111874999995</v>
      </c>
      <c r="S12" s="121">
        <f t="shared" si="8"/>
        <v>3.3667862500000005</v>
      </c>
      <c r="T12" s="121">
        <f t="shared" si="8"/>
        <v>3.2599625000000003</v>
      </c>
      <c r="U12" s="121">
        <f t="shared" si="8"/>
        <v>3.6026182499999999</v>
      </c>
      <c r="V12" s="345">
        <f>V24/2</f>
        <v>2.7467487500000005</v>
      </c>
      <c r="W12" s="79">
        <f>W24/2</f>
        <v>2.4956649250000003</v>
      </c>
      <c r="X12" s="79">
        <f>X24/2</f>
        <v>2.5038672295000004</v>
      </c>
      <c r="Y12" s="79">
        <f>Y24/2</f>
        <v>2.5124054391495316</v>
      </c>
      <c r="Z12" s="240">
        <f>Z24/2</f>
        <v>2.5213052492092798</v>
      </c>
    </row>
    <row r="13" spans="1:26" s="3" customFormat="1" x14ac:dyDescent="0.2">
      <c r="A13" s="3" t="s">
        <v>222</v>
      </c>
      <c r="B13" s="3" t="s">
        <v>238</v>
      </c>
      <c r="C13" s="3">
        <f t="shared" ref="C13:H14" si="9">+C25/2</f>
        <v>0</v>
      </c>
      <c r="D13" s="3">
        <f t="shared" si="9"/>
        <v>0</v>
      </c>
      <c r="E13" s="3">
        <f t="shared" si="9"/>
        <v>0</v>
      </c>
      <c r="F13" s="3">
        <f t="shared" si="9"/>
        <v>0</v>
      </c>
      <c r="G13" s="3">
        <f t="shared" si="9"/>
        <v>0</v>
      </c>
      <c r="H13" s="3">
        <f t="shared" si="9"/>
        <v>19.5</v>
      </c>
      <c r="I13" s="3">
        <f t="shared" ref="I13:O14" si="10">+I25/2</f>
        <v>0</v>
      </c>
      <c r="J13" s="3">
        <f t="shared" si="10"/>
        <v>0</v>
      </c>
      <c r="K13" s="121">
        <f t="shared" si="10"/>
        <v>0</v>
      </c>
      <c r="L13" s="121">
        <f t="shared" si="10"/>
        <v>0</v>
      </c>
      <c r="M13" s="121">
        <f t="shared" si="10"/>
        <v>0</v>
      </c>
      <c r="N13" s="121">
        <f t="shared" si="10"/>
        <v>0</v>
      </c>
      <c r="O13" s="121">
        <f t="shared" si="10"/>
        <v>0</v>
      </c>
      <c r="P13" s="121">
        <f t="shared" ref="P13:R14" si="11">+P25/2</f>
        <v>0</v>
      </c>
      <c r="Q13" s="121">
        <f t="shared" si="11"/>
        <v>0</v>
      </c>
      <c r="R13" s="121">
        <f t="shared" si="11"/>
        <v>0</v>
      </c>
      <c r="S13" s="121">
        <f t="shared" ref="S13:U14" si="12">+S25/2</f>
        <v>0</v>
      </c>
      <c r="T13" s="121">
        <f t="shared" si="12"/>
        <v>0</v>
      </c>
      <c r="U13" s="121">
        <f t="shared" si="12"/>
        <v>0</v>
      </c>
      <c r="V13" s="345">
        <f t="shared" ref="V13:X14" si="13">+V25/2</f>
        <v>0</v>
      </c>
      <c r="W13" s="79">
        <f t="shared" si="13"/>
        <v>0</v>
      </c>
      <c r="X13" s="79">
        <f t="shared" si="13"/>
        <v>0</v>
      </c>
      <c r="Y13" s="79">
        <f t="shared" ref="Y13:Z13" si="14">+Y25/2</f>
        <v>0</v>
      </c>
      <c r="Z13" s="240">
        <f t="shared" si="14"/>
        <v>0</v>
      </c>
    </row>
    <row r="14" spans="1:26" s="3" customFormat="1" x14ac:dyDescent="0.2">
      <c r="A14" s="3" t="s">
        <v>247</v>
      </c>
      <c r="B14" s="3" t="s">
        <v>238</v>
      </c>
      <c r="C14" s="3">
        <f t="shared" si="9"/>
        <v>0</v>
      </c>
      <c r="D14" s="3">
        <f t="shared" si="9"/>
        <v>0</v>
      </c>
      <c r="E14" s="3">
        <f t="shared" si="9"/>
        <v>0</v>
      </c>
      <c r="F14" s="3">
        <f t="shared" si="9"/>
        <v>0</v>
      </c>
      <c r="G14" s="3">
        <f t="shared" si="9"/>
        <v>0</v>
      </c>
      <c r="H14" s="3">
        <f t="shared" si="9"/>
        <v>-19.5</v>
      </c>
      <c r="I14" s="3">
        <f t="shared" si="10"/>
        <v>0</v>
      </c>
      <c r="J14" s="3">
        <f t="shared" si="10"/>
        <v>0</v>
      </c>
      <c r="K14" s="121">
        <f t="shared" si="10"/>
        <v>0</v>
      </c>
      <c r="L14" s="121">
        <f t="shared" si="10"/>
        <v>0</v>
      </c>
      <c r="M14" s="121">
        <f t="shared" si="10"/>
        <v>0</v>
      </c>
      <c r="N14" s="121">
        <f t="shared" si="10"/>
        <v>0</v>
      </c>
      <c r="O14" s="121">
        <f t="shared" si="10"/>
        <v>0</v>
      </c>
      <c r="P14" s="121">
        <f t="shared" si="11"/>
        <v>0</v>
      </c>
      <c r="Q14" s="121">
        <f t="shared" si="11"/>
        <v>0</v>
      </c>
      <c r="R14" s="121">
        <f t="shared" si="11"/>
        <v>0</v>
      </c>
      <c r="S14" s="121">
        <f t="shared" si="12"/>
        <v>0</v>
      </c>
      <c r="T14" s="121">
        <f t="shared" si="12"/>
        <v>0</v>
      </c>
      <c r="U14" s="121">
        <f t="shared" si="12"/>
        <v>0</v>
      </c>
      <c r="V14" s="345">
        <f t="shared" si="13"/>
        <v>0</v>
      </c>
      <c r="W14" s="79">
        <f t="shared" si="13"/>
        <v>0</v>
      </c>
      <c r="X14" s="79">
        <f t="shared" si="13"/>
        <v>0</v>
      </c>
      <c r="Y14" s="79">
        <f t="shared" ref="Y14:Z14" si="15">+Y26/2</f>
        <v>0</v>
      </c>
      <c r="Z14" s="240">
        <f t="shared" si="15"/>
        <v>0</v>
      </c>
    </row>
    <row r="15" spans="1:26" s="49" customFormat="1" ht="16.5" thickBot="1" x14ac:dyDescent="0.3">
      <c r="A15" s="52" t="s">
        <v>220</v>
      </c>
      <c r="B15" s="9" t="s">
        <v>241</v>
      </c>
      <c r="C15" s="54">
        <f t="shared" ref="C15:J15" si="16">SUM(C10:C14)</f>
        <v>20.657187499999999</v>
      </c>
      <c r="D15" s="54">
        <f t="shared" si="16"/>
        <v>10.426562499999999</v>
      </c>
      <c r="E15" s="54">
        <f t="shared" si="16"/>
        <v>10.318124999999998</v>
      </c>
      <c r="F15" s="54">
        <f t="shared" si="16"/>
        <v>5.0118750000000007</v>
      </c>
      <c r="G15" s="54">
        <f t="shared" si="16"/>
        <v>3.375</v>
      </c>
      <c r="H15" s="54">
        <f t="shared" si="16"/>
        <v>13.370750000000001</v>
      </c>
      <c r="I15" s="54">
        <f t="shared" si="16"/>
        <v>16.880398750000001</v>
      </c>
      <c r="J15" s="54">
        <f t="shared" si="16"/>
        <v>-6.6456051249999994</v>
      </c>
      <c r="K15" s="126">
        <f t="shared" ref="K15:X15" si="17">SUM(K10:K14)</f>
        <v>-10.663178437500001</v>
      </c>
      <c r="L15" s="126">
        <f t="shared" si="17"/>
        <v>-10.482091499999999</v>
      </c>
      <c r="M15" s="126">
        <f t="shared" si="17"/>
        <v>-13.838510500000002</v>
      </c>
      <c r="N15" s="126">
        <f t="shared" si="17"/>
        <v>-11.898147375000001</v>
      </c>
      <c r="O15" s="126">
        <f t="shared" si="17"/>
        <v>-9.5908550000000012</v>
      </c>
      <c r="P15" s="126">
        <f t="shared" si="17"/>
        <v>-10.72696</v>
      </c>
      <c r="Q15" s="126">
        <f t="shared" si="17"/>
        <v>-1.1405402499999995</v>
      </c>
      <c r="R15" s="126">
        <f t="shared" si="17"/>
        <v>3.4358111874999997</v>
      </c>
      <c r="S15" s="126">
        <f t="shared" si="17"/>
        <v>2.6542862500000002</v>
      </c>
      <c r="T15" s="126">
        <f t="shared" si="17"/>
        <v>2.9854625000000006</v>
      </c>
      <c r="U15" s="126">
        <f t="shared" si="17"/>
        <v>-1.1293817500000003</v>
      </c>
      <c r="V15" s="366">
        <f t="shared" si="17"/>
        <v>-5.1412512499999998</v>
      </c>
      <c r="W15" s="99">
        <f t="shared" si="17"/>
        <v>6.7104649250000001</v>
      </c>
      <c r="X15" s="99">
        <f t="shared" si="17"/>
        <v>5.8240372295</v>
      </c>
      <c r="Y15" s="99">
        <f t="shared" ref="Y15:Z15" si="18">SUM(Y10:Y14)</f>
        <v>6.4405796891495299</v>
      </c>
      <c r="Z15" s="270">
        <f t="shared" si="18"/>
        <v>7.560183855459278</v>
      </c>
    </row>
    <row r="16" spans="1:26" s="3" customFormat="1" ht="13.5" thickTop="1" x14ac:dyDescent="0.2">
      <c r="K16" s="121"/>
      <c r="L16" s="121"/>
      <c r="M16" s="121"/>
      <c r="N16" s="121"/>
      <c r="O16" s="121"/>
      <c r="P16" s="121"/>
      <c r="Q16" s="121"/>
      <c r="R16" s="121"/>
      <c r="S16" s="121"/>
      <c r="T16" s="121"/>
      <c r="U16" s="121"/>
      <c r="V16" s="345"/>
      <c r="W16" s="79"/>
      <c r="X16" s="79"/>
      <c r="Y16" s="79"/>
      <c r="Z16" s="240"/>
    </row>
    <row r="17" spans="1:26" s="3" customFormat="1" x14ac:dyDescent="0.2">
      <c r="H17" s="3" t="s">
        <v>307</v>
      </c>
      <c r="I17" s="3">
        <f t="shared" ref="I17:X17" si="19">I15*1000000</f>
        <v>16880398.75</v>
      </c>
      <c r="J17" s="3">
        <f t="shared" si="19"/>
        <v>-6645605.1249999991</v>
      </c>
      <c r="K17" s="3">
        <f t="shared" si="19"/>
        <v>-10663178.437500002</v>
      </c>
      <c r="L17" s="3">
        <f t="shared" si="19"/>
        <v>-10482091.5</v>
      </c>
      <c r="M17" s="3">
        <f t="shared" si="19"/>
        <v>-13838510.500000002</v>
      </c>
      <c r="N17" s="3">
        <f t="shared" si="19"/>
        <v>-11898147.375</v>
      </c>
      <c r="O17" s="121">
        <f t="shared" si="19"/>
        <v>-9590855.0000000019</v>
      </c>
      <c r="P17" s="121">
        <f t="shared" si="19"/>
        <v>-10726960</v>
      </c>
      <c r="Q17" s="121">
        <f t="shared" si="19"/>
        <v>-1140540.2499999995</v>
      </c>
      <c r="R17" s="121">
        <f t="shared" si="19"/>
        <v>3435811.1874999995</v>
      </c>
      <c r="S17" s="121">
        <f t="shared" si="19"/>
        <v>2654286.25</v>
      </c>
      <c r="T17" s="121">
        <f t="shared" si="19"/>
        <v>2985462.5000000005</v>
      </c>
      <c r="U17" s="121">
        <f t="shared" si="19"/>
        <v>-1129381.7500000002</v>
      </c>
      <c r="V17" s="345">
        <f t="shared" si="19"/>
        <v>-5141251.25</v>
      </c>
      <c r="W17" s="79">
        <f t="shared" si="19"/>
        <v>6710464.9249999998</v>
      </c>
      <c r="X17" s="79">
        <f t="shared" si="19"/>
        <v>5824037.2295000004</v>
      </c>
      <c r="Y17" s="79">
        <f t="shared" ref="Y17:Z17" si="20">Y15*1000000</f>
        <v>6440579.6891495297</v>
      </c>
      <c r="Z17" s="240">
        <f t="shared" si="20"/>
        <v>7560183.8554592775</v>
      </c>
    </row>
    <row r="18" spans="1:26" s="3" customFormat="1" x14ac:dyDescent="0.2">
      <c r="K18" s="121"/>
      <c r="L18" s="121"/>
      <c r="M18" s="121"/>
      <c r="N18" s="121"/>
      <c r="O18" s="121"/>
      <c r="P18" s="121" t="s">
        <v>366</v>
      </c>
      <c r="Q18" s="125">
        <f>-'RCA liab'!Q32</f>
        <v>0</v>
      </c>
      <c r="R18" s="121"/>
      <c r="S18" s="121"/>
      <c r="T18" s="121"/>
      <c r="U18" s="121"/>
      <c r="V18" s="345"/>
      <c r="W18" s="79"/>
      <c r="X18" s="79"/>
      <c r="Y18" s="79"/>
      <c r="Z18" s="240"/>
    </row>
    <row r="19" spans="1:26" s="3" customFormat="1" x14ac:dyDescent="0.2">
      <c r="A19" s="53" t="s">
        <v>242</v>
      </c>
      <c r="K19" s="121"/>
      <c r="L19" s="121"/>
      <c r="M19" s="121"/>
      <c r="N19" s="121"/>
      <c r="O19" s="121"/>
      <c r="P19" s="121" t="s">
        <v>367</v>
      </c>
      <c r="Q19" s="121">
        <f>SUM(Q17:Q18)</f>
        <v>-1140540.2499999995</v>
      </c>
      <c r="R19" s="121"/>
      <c r="S19" s="121"/>
      <c r="T19" s="121"/>
      <c r="U19" s="121"/>
      <c r="V19" s="345"/>
      <c r="W19" s="79"/>
      <c r="X19" s="79"/>
      <c r="Y19" s="79"/>
      <c r="Z19" s="240"/>
    </row>
    <row r="20" spans="1:26" s="3" customFormat="1" x14ac:dyDescent="0.2">
      <c r="K20" s="121"/>
      <c r="L20" s="121"/>
      <c r="M20" s="121"/>
      <c r="N20" s="121"/>
      <c r="O20" s="121"/>
      <c r="P20" s="121"/>
      <c r="Q20" s="121"/>
      <c r="R20" s="121"/>
      <c r="S20" s="121"/>
      <c r="T20" s="121"/>
      <c r="U20" s="121"/>
      <c r="V20" s="345"/>
      <c r="W20" s="79"/>
      <c r="X20" s="79"/>
      <c r="Y20" s="79"/>
      <c r="Z20" s="240"/>
    </row>
    <row r="21" spans="1:26" s="3" customFormat="1" x14ac:dyDescent="0.2">
      <c r="A21" s="3" t="s">
        <v>218</v>
      </c>
      <c r="B21" s="3" t="s">
        <v>259</v>
      </c>
      <c r="C21" s="45">
        <f>'RCA data'!D13</f>
        <v>31</v>
      </c>
      <c r="D21" s="45">
        <f>'RCA data'!E13</f>
        <v>21</v>
      </c>
      <c r="E21" s="45">
        <f>'RCA data'!F13</f>
        <v>25</v>
      </c>
      <c r="F21" s="45">
        <f>'RCA data'!G13</f>
        <v>22</v>
      </c>
      <c r="G21" s="45">
        <f>'RCA data'!H13</f>
        <v>18</v>
      </c>
      <c r="H21" s="45">
        <f>'RCA data'!I13</f>
        <v>32</v>
      </c>
      <c r="I21" s="45">
        <f>'RCA data'!J13</f>
        <v>32.648000000000003</v>
      </c>
      <c r="J21" s="45">
        <f>'RCA data'!K13</f>
        <v>9.0760000000000005</v>
      </c>
      <c r="K21" s="127">
        <f>'RCA data'!L13</f>
        <v>10.337</v>
      </c>
      <c r="L21" s="127">
        <f>'RCA data'!M13</f>
        <v>11.595000000000001</v>
      </c>
      <c r="M21" s="127">
        <f>'RCA data'!N13</f>
        <v>7.33</v>
      </c>
      <c r="N21" s="127">
        <f>'RCA data'!O13</f>
        <v>9.3049999999999997</v>
      </c>
      <c r="O21" s="127">
        <f>'RCA data'!P13</f>
        <v>10.839</v>
      </c>
      <c r="P21" s="127">
        <f>'RCA data'!Q13</f>
        <v>9.9450000000000003</v>
      </c>
      <c r="Q21" s="127">
        <f>'RCA data'!R13</f>
        <v>12.819000000000001</v>
      </c>
      <c r="R21" s="127">
        <f>'RCA data'!S13</f>
        <v>15.012</v>
      </c>
      <c r="S21" s="127">
        <f>'RCA data'!T13</f>
        <v>14.574999999999999</v>
      </c>
      <c r="T21" s="127">
        <f>'RCA data'!U13</f>
        <v>13.451000000000001</v>
      </c>
      <c r="U21" s="127">
        <f>'RCA data'!V13</f>
        <v>6.5359999999999996</v>
      </c>
      <c r="V21" s="367">
        <f>'RCA data'!W13</f>
        <v>8.2240000000000002</v>
      </c>
      <c r="W21" s="100">
        <f>'RCA data'!X13</f>
        <v>8.4295999999999989</v>
      </c>
      <c r="X21" s="100">
        <f>'RCA data'!Y13</f>
        <v>8.6403399999999984</v>
      </c>
      <c r="Y21" s="100">
        <f>'RCA data'!Z13</f>
        <v>8.8563484999999975</v>
      </c>
      <c r="Z21" s="271">
        <f>'RCA data'!AA13</f>
        <v>9.0777572124999963</v>
      </c>
    </row>
    <row r="22" spans="1:26" s="3" customFormat="1" x14ac:dyDescent="0.2">
      <c r="A22" s="3" t="s">
        <v>225</v>
      </c>
      <c r="B22" s="3" t="s">
        <v>259</v>
      </c>
      <c r="C22" s="3">
        <f>('RCA data'!D26+'RCA data'!D27)*-1</f>
        <v>0</v>
      </c>
      <c r="D22" s="3">
        <f>('RCA data'!E26+'RCA data'!E27)*-1</f>
        <v>0</v>
      </c>
      <c r="E22" s="3">
        <f>('RCA data'!F26+'RCA data'!F27)*-1</f>
        <v>0</v>
      </c>
      <c r="F22" s="3">
        <f>('RCA data'!G26+'RCA data'!G27)*-1</f>
        <v>0</v>
      </c>
      <c r="G22" s="3">
        <f>('RCA data'!H26+'RCA data'!H27)*-1</f>
        <v>-0.8</v>
      </c>
      <c r="H22" s="3">
        <f>('RCA data'!I26+'RCA data'!I27)*-1</f>
        <v>-1.1000000000000001</v>
      </c>
      <c r="I22" s="3">
        <f>('RCA data'!J26+'RCA data'!J27)*-1</f>
        <v>-0.91</v>
      </c>
      <c r="J22" s="3">
        <f>('RCA data'!K26+'RCA data'!K27)*-1</f>
        <v>-2.9640000000000004</v>
      </c>
      <c r="K22" s="121">
        <f>('RCA data'!L26+'RCA data'!L27)*-1</f>
        <v>-2.944</v>
      </c>
      <c r="L22" s="121">
        <f>('RCA data'!M26+'RCA data'!M27)*-1</f>
        <v>-3.5700000000000003</v>
      </c>
      <c r="M22" s="121">
        <f>('RCA data'!N26+'RCA data'!N27)*-1</f>
        <v>-2.258</v>
      </c>
      <c r="N22" s="121">
        <f>('RCA data'!O26+'RCA data'!O27)*-1</f>
        <v>-2.1822599999999999</v>
      </c>
      <c r="O22" s="121">
        <f>('RCA data'!P26+'RCA data'!P27)*-1</f>
        <v>-4.2814879999999995</v>
      </c>
      <c r="P22" s="121">
        <f>('RCA data'!Q26+'RCA data'!Q27)*-1</f>
        <v>-2.9619999999999997</v>
      </c>
      <c r="Q22" s="121">
        <f>('RCA data'!R26+'RCA data'!R27)*-1</f>
        <v>-5.4570000000000007</v>
      </c>
      <c r="R22" s="121">
        <f>('RCA data'!S26+'RCA data'!S27)*-1</f>
        <v>-5.2569999999999997</v>
      </c>
      <c r="S22" s="121">
        <f>('RCA data'!T26+'RCA data'!T27)*-1</f>
        <v>-5.0270000000000001</v>
      </c>
      <c r="T22" s="121">
        <f>('RCA data'!U26+'RCA data'!U27)*-1</f>
        <v>-8.4870000000000001</v>
      </c>
      <c r="U22" s="121">
        <f>('RCA data'!V26+'RCA data'!V27)*-1</f>
        <v>-6.2170000000000005</v>
      </c>
      <c r="V22" s="345">
        <f>('RCA data'!W26+'RCA data'!W27)*-1</f>
        <v>-7.9420000000000002</v>
      </c>
      <c r="W22" s="79">
        <f>('RCA data'!X26+'RCA data'!X27)*-1</f>
        <v>-8.1405499999999993</v>
      </c>
      <c r="X22" s="79">
        <f>('RCA data'!Y26+'RCA data'!Y27)*-1</f>
        <v>-8.3440637499999983</v>
      </c>
      <c r="Y22" s="79">
        <f>('RCA data'!Z26+'RCA data'!Z27)*-1</f>
        <v>-8.5526653437499967</v>
      </c>
      <c r="Z22" s="240">
        <f>('RCA data'!AA26+'RCA data'!AA27)*-1</f>
        <v>-8.7664819773437479</v>
      </c>
    </row>
    <row r="23" spans="1:26" s="3" customFormat="1" x14ac:dyDescent="0.2">
      <c r="A23" s="3" t="s">
        <v>219</v>
      </c>
      <c r="B23" s="3" t="s">
        <v>265</v>
      </c>
      <c r="C23" s="3">
        <f>'RCA exp g(l)'!C56*-1</f>
        <v>-6</v>
      </c>
      <c r="D23" s="3">
        <f>'RCA exp g(l)'!D56*-1</f>
        <v>-14</v>
      </c>
      <c r="E23" s="3">
        <f>'RCA exp g(l)'!E56*-1</f>
        <v>-16</v>
      </c>
      <c r="F23" s="3">
        <f>'RCA exp g(l)'!F56*-1</f>
        <v>-22</v>
      </c>
      <c r="G23" s="3">
        <f>'RCA exp g(l)'!G56*-1</f>
        <v>-19</v>
      </c>
      <c r="H23" s="3">
        <f>'RCA exp g(l)'!H56*-1</f>
        <v>-16</v>
      </c>
      <c r="I23" s="69">
        <f>'RCA exp g(l)'!I56*-1</f>
        <v>-10</v>
      </c>
      <c r="J23" s="69">
        <f>'RCA exp g(l)'!J56*-1</f>
        <v>-36</v>
      </c>
      <c r="K23" s="151">
        <f>'RCA exp g(l)'!K56*-1</f>
        <v>-36</v>
      </c>
      <c r="L23" s="151">
        <f>'RCA exp g(l)'!L56*-1</f>
        <v>-37</v>
      </c>
      <c r="M23" s="151">
        <f>'RCA exp g(l)'!M56*-1</f>
        <v>-39</v>
      </c>
      <c r="N23" s="151">
        <f>'RCA exp g(l)'!N56*-1</f>
        <v>-38</v>
      </c>
      <c r="O23" s="151">
        <f>'RCA exp g(l)'!O56*-1</f>
        <v>-35</v>
      </c>
      <c r="P23" s="151">
        <f>'RCA exp g(l)'!P56*-1</f>
        <v>-36</v>
      </c>
      <c r="Q23" s="151">
        <f>'RCA exp g(l)'!Q56*-1</f>
        <v>-22</v>
      </c>
      <c r="R23" s="151">
        <f>'RCA exp g(l)'!R56*-1</f>
        <v>-16</v>
      </c>
      <c r="S23" s="151">
        <f>'RCA exp g(l)'!S56*-1</f>
        <v>-16</v>
      </c>
      <c r="T23" s="151">
        <f>'RCA exp g(l)'!T56*-1</f>
        <v>-14</v>
      </c>
      <c r="U23" s="151">
        <f>'RCA exp g(l)'!U56*-1</f>
        <v>-16</v>
      </c>
      <c r="V23" s="371">
        <f>'RCA exp g(l)'!V56*-1</f>
        <v>-24</v>
      </c>
      <c r="W23" s="109">
        <f>'RCA exp g(l)'!W56*-1</f>
        <v>0</v>
      </c>
      <c r="X23" s="109">
        <f>'RCA exp g(l)'!X56*-1</f>
        <v>-2</v>
      </c>
      <c r="Y23" s="109">
        <f>'RCA exp g(l)'!Y56*-1</f>
        <v>-1</v>
      </c>
      <c r="Z23" s="275">
        <f>'RCA exp g(l)'!Z56*-1</f>
        <v>1</v>
      </c>
    </row>
    <row r="24" spans="1:26" s="3" customFormat="1" x14ac:dyDescent="0.2">
      <c r="A24" s="3" t="s">
        <v>221</v>
      </c>
      <c r="B24" s="3" t="s">
        <v>276</v>
      </c>
      <c r="C24" s="3">
        <f>'RCA interest'!C14</f>
        <v>16.314375000000002</v>
      </c>
      <c r="D24" s="3">
        <f>'RCA interest'!D14</f>
        <v>13.853125</v>
      </c>
      <c r="E24" s="3">
        <f>'RCA interest'!E14</f>
        <v>11.636249999999999</v>
      </c>
      <c r="F24" s="3">
        <f>'RCA interest'!F14</f>
        <v>10.023750000000001</v>
      </c>
      <c r="G24" s="3">
        <f>'RCA interest'!G14</f>
        <v>7.75</v>
      </c>
      <c r="H24" s="3">
        <f>'RCA interest'!H14</f>
        <v>10.7415</v>
      </c>
      <c r="I24" s="3">
        <f>'RCA interest'!I14</f>
        <v>11.112797499999999</v>
      </c>
      <c r="J24" s="3">
        <f>'RCA interest'!J14</f>
        <v>13.632789750000001</v>
      </c>
      <c r="K24" s="121">
        <f>'RCA interest'!K14</f>
        <v>4.3366431250000002</v>
      </c>
      <c r="L24" s="121">
        <f>'RCA interest'!L14</f>
        <v>4.4408170000000009</v>
      </c>
      <c r="M24" s="121">
        <f>'RCA interest'!M14</f>
        <v>3.9929789999999996</v>
      </c>
      <c r="N24" s="121">
        <f>'RCA interest'!N14</f>
        <v>4.8987052499999999</v>
      </c>
      <c r="O24" s="121">
        <f>'RCA interest'!O14</f>
        <v>4.9792900000000007</v>
      </c>
      <c r="P24" s="121">
        <f>'RCA interest'!P14</f>
        <v>4.6010800000000005</v>
      </c>
      <c r="Q24" s="121">
        <f>'RCA interest'!Q14</f>
        <v>6.8999195000000002</v>
      </c>
      <c r="R24" s="121">
        <f>'RCA interest'!R14</f>
        <v>7.8596223749999989</v>
      </c>
      <c r="S24" s="121">
        <f>'RCA interest'!S14</f>
        <v>6.7335725000000011</v>
      </c>
      <c r="T24" s="121">
        <f>'RCA interest'!T14</f>
        <v>6.5199250000000006</v>
      </c>
      <c r="U24" s="121">
        <f>'RCA interest'!U14</f>
        <v>7.2052364999999998</v>
      </c>
      <c r="V24" s="345">
        <f>'RCA interest'!V14</f>
        <v>5.493497500000001</v>
      </c>
      <c r="W24" s="79">
        <f>'RCA interest'!W14</f>
        <v>4.9913298500000005</v>
      </c>
      <c r="X24" s="79">
        <f>'RCA interest'!X14</f>
        <v>5.0077344590000008</v>
      </c>
      <c r="Y24" s="79">
        <f>'RCA interest'!Y14</f>
        <v>5.0248108782990633</v>
      </c>
      <c r="Z24" s="240">
        <f>'RCA interest'!Z14</f>
        <v>5.0426104984185596</v>
      </c>
    </row>
    <row r="25" spans="1:26" s="3" customFormat="1" x14ac:dyDescent="0.2">
      <c r="A25" s="3" t="s">
        <v>222</v>
      </c>
      <c r="B25" s="3" t="s">
        <v>259</v>
      </c>
      <c r="C25" s="3">
        <f>'RCA data'!D14</f>
        <v>0</v>
      </c>
      <c r="D25" s="3">
        <f>'RCA data'!E14</f>
        <v>0</v>
      </c>
      <c r="E25" s="3">
        <f>'RCA data'!F14</f>
        <v>0</v>
      </c>
      <c r="F25" s="3">
        <f>'RCA data'!G14</f>
        <v>0</v>
      </c>
      <c r="G25" s="3">
        <f>'RCA data'!H14</f>
        <v>0</v>
      </c>
      <c r="H25" s="3">
        <f>'RCA data'!I14</f>
        <v>39</v>
      </c>
      <c r="I25" s="3">
        <f>'RCA data'!J14</f>
        <v>0</v>
      </c>
      <c r="J25" s="3">
        <f>'RCA data'!K14</f>
        <v>0</v>
      </c>
      <c r="K25" s="121">
        <f>'RCA data'!L14</f>
        <v>0</v>
      </c>
      <c r="L25" s="121">
        <f>'RCA data'!M14</f>
        <v>0</v>
      </c>
      <c r="M25" s="121">
        <f>'RCA data'!N14</f>
        <v>0</v>
      </c>
      <c r="N25" s="121">
        <f>'RCA data'!O14</f>
        <v>0</v>
      </c>
      <c r="O25" s="121">
        <f>'RCA data'!P14</f>
        <v>0</v>
      </c>
      <c r="P25" s="121">
        <f>'RCA data'!Q14</f>
        <v>0</v>
      </c>
      <c r="Q25" s="121">
        <f>'RCA data'!R14</f>
        <v>0</v>
      </c>
      <c r="R25" s="121">
        <f>'RCA data'!S14</f>
        <v>0</v>
      </c>
      <c r="S25" s="121">
        <f>'RCA data'!T14</f>
        <v>0</v>
      </c>
      <c r="T25" s="121">
        <f>'RCA data'!U14</f>
        <v>0</v>
      </c>
      <c r="U25" s="121">
        <f>'RCA data'!V14</f>
        <v>0</v>
      </c>
      <c r="V25" s="345">
        <f>'RCA data'!W14</f>
        <v>0</v>
      </c>
      <c r="W25" s="79">
        <f>'RCA data'!X14</f>
        <v>0</v>
      </c>
      <c r="X25" s="79">
        <f>'RCA data'!Y14</f>
        <v>0</v>
      </c>
      <c r="Y25" s="79">
        <f>'RCA data'!Z14</f>
        <v>0</v>
      </c>
      <c r="Z25" s="240">
        <f>'RCA data'!AA14</f>
        <v>0</v>
      </c>
    </row>
    <row r="26" spans="1:26" s="3" customFormat="1" x14ac:dyDescent="0.2">
      <c r="A26" s="3" t="s">
        <v>223</v>
      </c>
      <c r="B26" s="3" t="s">
        <v>265</v>
      </c>
      <c r="C26" s="6">
        <f>'RCA exp g(l)'!C46*-1</f>
        <v>0</v>
      </c>
      <c r="D26" s="6">
        <f>'RCA exp g(l)'!D46*-1</f>
        <v>0</v>
      </c>
      <c r="E26" s="6">
        <f>'RCA exp g(l)'!E46*-1</f>
        <v>0</v>
      </c>
      <c r="F26" s="6">
        <f>'RCA exp g(l)'!F46*-1</f>
        <v>0</v>
      </c>
      <c r="G26" s="6">
        <f>'RCA exp g(l)'!G46*-1</f>
        <v>0</v>
      </c>
      <c r="H26" s="6">
        <f>'RCA exp g(l)'!H46*-1</f>
        <v>-39</v>
      </c>
      <c r="I26" s="6">
        <f>'RCA exp g(l)'!I46*-1</f>
        <v>0</v>
      </c>
      <c r="J26" s="6">
        <f>'RCA exp g(l)'!J46*-1</f>
        <v>0</v>
      </c>
      <c r="K26" s="125">
        <f>'RCA exp g(l)'!K46*-1</f>
        <v>0</v>
      </c>
      <c r="L26" s="125">
        <f>'RCA exp g(l)'!L46*-1</f>
        <v>0</v>
      </c>
      <c r="M26" s="125">
        <f>'RCA exp g(l)'!M46*-1</f>
        <v>0</v>
      </c>
      <c r="N26" s="125">
        <f>'RCA exp g(l)'!N46*-1</f>
        <v>0</v>
      </c>
      <c r="O26" s="125">
        <f>'RCA exp g(l)'!O46*-1</f>
        <v>0</v>
      </c>
      <c r="P26" s="125">
        <f>'RCA exp g(l)'!P46*-1</f>
        <v>0</v>
      </c>
      <c r="Q26" s="125">
        <f>'RCA exp g(l)'!Q46*-1</f>
        <v>0</v>
      </c>
      <c r="R26" s="125">
        <f>'RCA exp g(l)'!R46*-1</f>
        <v>0</v>
      </c>
      <c r="S26" s="125">
        <f>'RCA exp g(l)'!S46*-1</f>
        <v>0</v>
      </c>
      <c r="T26" s="125">
        <f>'RCA exp g(l)'!T46*-1</f>
        <v>0</v>
      </c>
      <c r="U26" s="125">
        <f>'RCA exp g(l)'!U46*-1</f>
        <v>0</v>
      </c>
      <c r="V26" s="346">
        <f>'RCA exp g(l)'!V46*-1</f>
        <v>0</v>
      </c>
      <c r="W26" s="81">
        <f>'RCA exp g(l)'!W46*-1</f>
        <v>0</v>
      </c>
      <c r="X26" s="81">
        <f>'RCA exp g(l)'!X46*-1</f>
        <v>0</v>
      </c>
      <c r="Y26" s="81">
        <f>'RCA exp g(l)'!Y46*-1</f>
        <v>0</v>
      </c>
      <c r="Z26" s="241">
        <f>'RCA exp g(l)'!Z46*-1</f>
        <v>0</v>
      </c>
    </row>
    <row r="27" spans="1:26" s="8" customFormat="1" x14ac:dyDescent="0.2">
      <c r="A27" s="8" t="s">
        <v>243</v>
      </c>
      <c r="B27" s="8" t="s">
        <v>31</v>
      </c>
      <c r="C27" s="8">
        <f t="shared" ref="C27:J27" si="21">SUM(C21:C26)</f>
        <v>41.314374999999998</v>
      </c>
      <c r="D27" s="8">
        <f t="shared" si="21"/>
        <v>20.853124999999999</v>
      </c>
      <c r="E27" s="8">
        <f t="shared" si="21"/>
        <v>20.636249999999997</v>
      </c>
      <c r="F27" s="8">
        <f t="shared" si="21"/>
        <v>10.023750000000001</v>
      </c>
      <c r="G27" s="8">
        <f t="shared" si="21"/>
        <v>5.9499999999999993</v>
      </c>
      <c r="H27" s="8">
        <f t="shared" si="21"/>
        <v>25.641500000000008</v>
      </c>
      <c r="I27" s="8">
        <f t="shared" si="21"/>
        <v>32.850797499999999</v>
      </c>
      <c r="J27" s="8">
        <f t="shared" si="21"/>
        <v>-16.255210249999998</v>
      </c>
      <c r="K27" s="119">
        <f t="shared" ref="K27:X27" si="22">SUM(K21:K26)</f>
        <v>-24.270356874999997</v>
      </c>
      <c r="L27" s="119">
        <f t="shared" si="22"/>
        <v>-24.534182999999999</v>
      </c>
      <c r="M27" s="119">
        <f t="shared" si="22"/>
        <v>-29.935020999999999</v>
      </c>
      <c r="N27" s="119">
        <f t="shared" si="22"/>
        <v>-25.978554750000001</v>
      </c>
      <c r="O27" s="119">
        <f t="shared" si="22"/>
        <v>-23.463197999999998</v>
      </c>
      <c r="P27" s="119">
        <f t="shared" si="22"/>
        <v>-24.41592</v>
      </c>
      <c r="Q27" s="119">
        <f t="shared" si="22"/>
        <v>-7.7380804999999997</v>
      </c>
      <c r="R27" s="298">
        <f t="shared" si="22"/>
        <v>1.6146223749999997</v>
      </c>
      <c r="S27" s="119">
        <f t="shared" si="22"/>
        <v>0.28157249999999934</v>
      </c>
      <c r="T27" s="119">
        <f t="shared" si="22"/>
        <v>-2.516074999999999</v>
      </c>
      <c r="U27" s="119">
        <f t="shared" si="22"/>
        <v>-8.4757635000000011</v>
      </c>
      <c r="V27" s="343">
        <f t="shared" si="22"/>
        <v>-18.2245025</v>
      </c>
      <c r="W27" s="78">
        <f t="shared" si="22"/>
        <v>5.2803798500000001</v>
      </c>
      <c r="X27" s="78">
        <f t="shared" si="22"/>
        <v>3.3040107090000008</v>
      </c>
      <c r="Y27" s="78">
        <f t="shared" ref="Y27:Z27" si="23">SUM(Y21:Y26)</f>
        <v>4.3284940345490641</v>
      </c>
      <c r="Z27" s="242">
        <f t="shared" si="23"/>
        <v>6.353885733574808</v>
      </c>
    </row>
    <row r="28" spans="1:26" x14ac:dyDescent="0.2">
      <c r="A28" s="3"/>
      <c r="U28" s="520"/>
      <c r="V28" s="372"/>
      <c r="W28" s="213"/>
      <c r="X28" s="213"/>
      <c r="Y28" s="213"/>
      <c r="Z28" s="276"/>
    </row>
    <row r="30" spans="1:26" x14ac:dyDescent="0.2">
      <c r="P30" s="303" t="s">
        <v>410</v>
      </c>
    </row>
    <row r="31" spans="1:26" x14ac:dyDescent="0.2">
      <c r="P31" s="303"/>
    </row>
    <row r="32" spans="1:26" x14ac:dyDescent="0.2">
      <c r="P32" s="303" t="s">
        <v>411</v>
      </c>
    </row>
    <row r="33" spans="16:22" x14ac:dyDescent="0.2">
      <c r="P33" s="195" t="s">
        <v>415</v>
      </c>
      <c r="T33" s="115">
        <v>-5</v>
      </c>
      <c r="U33" s="115">
        <v>-3</v>
      </c>
      <c r="V33" s="338">
        <v>-3</v>
      </c>
    </row>
    <row r="34" spans="16:22" x14ac:dyDescent="0.2">
      <c r="P34" s="195"/>
      <c r="Q34" s="195" t="s">
        <v>416</v>
      </c>
    </row>
    <row r="35" spans="16:22" ht="15.75" thickBot="1" x14ac:dyDescent="0.3">
      <c r="R35" s="303" t="s">
        <v>412</v>
      </c>
      <c r="T35" s="373">
        <f>T15+T33</f>
        <v>-2.0145374999999994</v>
      </c>
      <c r="U35" s="373">
        <f>U15+U33</f>
        <v>-4.1293817500000003</v>
      </c>
      <c r="V35" s="373">
        <f>V15+V33</f>
        <v>-8.1412512499999998</v>
      </c>
    </row>
    <row r="36" spans="16:22" ht="13.5" thickTop="1" x14ac:dyDescent="0.2"/>
  </sheetData>
  <phoneticPr fontId="0" type="noConversion"/>
  <pageMargins left="0.74803149606299213" right="0.74803149606299213" top="0.98425196850393704" bottom="0.98425196850393704" header="0.51181102362204722" footer="0.51181102362204722"/>
  <pageSetup paperSize="5" scale="83" orientation="landscape" cellComments="asDisplayed" r:id="rId1"/>
  <headerFooter alignWithMargins="0">
    <oddFooter>&amp;L&amp;"Arial,Bold"&amp;F&amp;C&amp;A&amp;R&amp;D  &amp;T</odd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2"/>
  <sheetViews>
    <sheetView workbookViewId="0">
      <pane xSplit="2" ySplit="4" topLeftCell="P5" activePane="bottomRight" state="frozen"/>
      <selection activeCell="W18" sqref="W18"/>
      <selection pane="topRight" activeCell="W18" sqref="W18"/>
      <selection pane="bottomLeft" activeCell="W18" sqref="W18"/>
      <selection pane="bottomRight" activeCell="W18" sqref="W18"/>
    </sheetView>
  </sheetViews>
  <sheetFormatPr defaultRowHeight="12.75" outlineLevelCol="1" x14ac:dyDescent="0.2"/>
  <cols>
    <col min="1" max="1" width="41.140625" customWidth="1"/>
    <col min="2" max="2" width="20.28515625" customWidth="1"/>
    <col min="3" max="8" width="11.5703125" hidden="1" customWidth="1" outlineLevel="1"/>
    <col min="9" max="9" width="11" hidden="1" customWidth="1" outlineLevel="1"/>
    <col min="10" max="10" width="11.85546875" hidden="1" customWidth="1" outlineLevel="1"/>
    <col min="11" max="11" width="11.5703125" hidden="1" customWidth="1" outlineLevel="1"/>
    <col min="12" max="12" width="11.5703125" style="115" hidden="1" customWidth="1" outlineLevel="1"/>
    <col min="13" max="13" width="11.7109375" style="115" hidden="1" customWidth="1" outlineLevel="1"/>
    <col min="14" max="14" width="12.140625" style="115" hidden="1" customWidth="1" outlineLevel="1"/>
    <col min="15" max="15" width="12.85546875" style="115" hidden="1" customWidth="1" outlineLevel="1"/>
    <col min="16" max="16" width="11.140625" style="115" bestFit="1" customWidth="1" collapsed="1"/>
    <col min="17" max="17" width="16.42578125" style="115" customWidth="1"/>
    <col min="18" max="19" width="11.140625" style="115" bestFit="1" customWidth="1"/>
    <col min="20" max="20" width="13.5703125" style="115" customWidth="1"/>
    <col min="21" max="22" width="12.28515625" style="115" bestFit="1" customWidth="1"/>
    <col min="23" max="23" width="12.140625" style="338" customWidth="1"/>
    <col min="24" max="26" width="9.140625" style="76" hidden="1" customWidth="1" outlineLevel="1"/>
    <col min="27" max="27" width="9.140625" style="238" hidden="1" customWidth="1" outlineLevel="1"/>
    <col min="28" max="28" width="9.140625" collapsed="1"/>
  </cols>
  <sheetData>
    <row r="1" spans="1:27" ht="15.75" x14ac:dyDescent="0.25">
      <c r="A1" s="18" t="s">
        <v>258</v>
      </c>
    </row>
    <row r="2" spans="1:27" x14ac:dyDescent="0.2">
      <c r="A2" s="2" t="s">
        <v>195</v>
      </c>
    </row>
    <row r="4" spans="1:27" s="2" customFormat="1" ht="13.5" thickBot="1" x14ac:dyDescent="0.25">
      <c r="A4" s="19" t="s">
        <v>156</v>
      </c>
      <c r="B4" s="20" t="s">
        <v>26</v>
      </c>
      <c r="C4" s="62" t="s">
        <v>38</v>
      </c>
      <c r="D4" s="62" t="s">
        <v>39</v>
      </c>
      <c r="E4" s="62" t="s">
        <v>40</v>
      </c>
      <c r="F4" s="62" t="s">
        <v>41</v>
      </c>
      <c r="G4" s="62" t="s">
        <v>295</v>
      </c>
      <c r="H4" s="62" t="s">
        <v>43</v>
      </c>
      <c r="I4" s="62" t="s">
        <v>44</v>
      </c>
      <c r="J4" s="62" t="s">
        <v>45</v>
      </c>
      <c r="K4" s="62" t="s">
        <v>168</v>
      </c>
      <c r="L4" s="150" t="s">
        <v>169</v>
      </c>
      <c r="M4" s="150" t="s">
        <v>170</v>
      </c>
      <c r="N4" s="150" t="s">
        <v>171</v>
      </c>
      <c r="O4" s="150" t="s">
        <v>172</v>
      </c>
      <c r="P4" s="150" t="s">
        <v>173</v>
      </c>
      <c r="Q4" s="150" t="s">
        <v>174</v>
      </c>
      <c r="R4" s="150" t="s">
        <v>175</v>
      </c>
      <c r="S4" s="150" t="s">
        <v>176</v>
      </c>
      <c r="T4" s="150" t="s">
        <v>177</v>
      </c>
      <c r="U4" s="150" t="s">
        <v>178</v>
      </c>
      <c r="V4" s="150" t="s">
        <v>294</v>
      </c>
      <c r="W4" s="370" t="s">
        <v>309</v>
      </c>
      <c r="X4" s="108" t="s">
        <v>315</v>
      </c>
      <c r="Y4" s="108" t="s">
        <v>316</v>
      </c>
      <c r="Z4" s="108" t="s">
        <v>317</v>
      </c>
      <c r="AA4" s="274" t="s">
        <v>318</v>
      </c>
    </row>
    <row r="6" spans="1:27" s="3" customFormat="1" x14ac:dyDescent="0.2">
      <c r="A6" s="12" t="s">
        <v>236</v>
      </c>
      <c r="L6" s="121"/>
      <c r="M6" s="121"/>
      <c r="N6" s="121"/>
      <c r="O6" s="121"/>
      <c r="P6" s="121"/>
      <c r="Q6" s="121"/>
      <c r="R6" s="121"/>
      <c r="S6" s="121"/>
      <c r="T6" s="121"/>
      <c r="U6" s="121"/>
      <c r="V6" s="121"/>
      <c r="W6" s="345"/>
      <c r="X6" s="79"/>
      <c r="Y6" s="79"/>
      <c r="Z6" s="79"/>
      <c r="AA6" s="240"/>
    </row>
    <row r="7" spans="1:27" s="3" customFormat="1" x14ac:dyDescent="0.2">
      <c r="L7" s="121"/>
      <c r="M7" s="121"/>
      <c r="N7" s="121"/>
      <c r="O7" s="121"/>
      <c r="P7" s="121"/>
      <c r="Q7" s="121"/>
      <c r="R7" s="121"/>
      <c r="S7" s="121"/>
      <c r="T7" s="121"/>
      <c r="U7" s="121"/>
      <c r="V7" s="121"/>
      <c r="W7" s="345"/>
      <c r="X7" s="79"/>
      <c r="Y7" s="79"/>
      <c r="Z7" s="79"/>
      <c r="AA7" s="240"/>
    </row>
    <row r="8" spans="1:27" s="3" customFormat="1" x14ac:dyDescent="0.2">
      <c r="A8" s="3" t="s">
        <v>197</v>
      </c>
      <c r="B8" s="3" t="s">
        <v>238</v>
      </c>
      <c r="C8" s="3">
        <f t="shared" ref="C8:I8" si="0">C24/2</f>
        <v>190</v>
      </c>
      <c r="D8" s="3">
        <f t="shared" si="0"/>
        <v>173.5</v>
      </c>
      <c r="E8" s="3">
        <f t="shared" si="0"/>
        <v>136.5</v>
      </c>
      <c r="F8" s="3">
        <f t="shared" si="0"/>
        <v>143</v>
      </c>
      <c r="G8" s="3">
        <f t="shared" si="0"/>
        <v>119.5</v>
      </c>
      <c r="H8" s="3">
        <f t="shared" si="0"/>
        <v>153</v>
      </c>
      <c r="I8" s="3">
        <f t="shared" si="0"/>
        <v>180.5</v>
      </c>
      <c r="J8" s="3">
        <f t="shared" ref="J8:P9" si="1">J24/2</f>
        <v>237.5</v>
      </c>
      <c r="K8" s="3">
        <f t="shared" si="1"/>
        <v>79</v>
      </c>
      <c r="L8" s="121">
        <f t="shared" si="1"/>
        <v>94.5</v>
      </c>
      <c r="M8" s="121">
        <f t="shared" si="1"/>
        <v>84</v>
      </c>
      <c r="N8" s="121">
        <f t="shared" si="1"/>
        <v>104</v>
      </c>
      <c r="O8" s="121">
        <f t="shared" si="1"/>
        <v>122.5</v>
      </c>
      <c r="P8" s="121">
        <f t="shared" si="1"/>
        <v>113.5</v>
      </c>
      <c r="Q8" s="226">
        <f t="shared" ref="Q8:S9" si="2">Q24/2</f>
        <v>148</v>
      </c>
      <c r="R8" s="121">
        <f t="shared" si="2"/>
        <v>192</v>
      </c>
      <c r="S8" s="121">
        <f t="shared" si="2"/>
        <v>196</v>
      </c>
      <c r="T8" s="121">
        <f t="shared" ref="T8:V9" si="3">T24/2</f>
        <v>190</v>
      </c>
      <c r="U8" s="121">
        <f t="shared" si="3"/>
        <v>172</v>
      </c>
      <c r="V8" s="121">
        <f t="shared" si="3"/>
        <v>165</v>
      </c>
      <c r="W8" s="345">
        <f t="shared" ref="W8:Y9" si="4">W24/2</f>
        <v>154.5</v>
      </c>
      <c r="X8" s="79">
        <f t="shared" si="4"/>
        <v>155</v>
      </c>
      <c r="Y8" s="79">
        <f t="shared" si="4"/>
        <v>155.5</v>
      </c>
      <c r="Z8" s="79">
        <f t="shared" ref="Z8:AA8" si="5">Z24/2</f>
        <v>156</v>
      </c>
      <c r="AA8" s="240">
        <f t="shared" si="5"/>
        <v>156.5</v>
      </c>
    </row>
    <row r="9" spans="1:27" s="3" customFormat="1" x14ac:dyDescent="0.2">
      <c r="A9" s="3" t="s">
        <v>198</v>
      </c>
      <c r="B9" s="3" t="s">
        <v>238</v>
      </c>
      <c r="C9" s="3">
        <f t="shared" ref="C9:I9" si="6">C25/2</f>
        <v>0</v>
      </c>
      <c r="D9" s="3">
        <f t="shared" si="6"/>
        <v>-0.5</v>
      </c>
      <c r="E9" s="3">
        <f t="shared" si="6"/>
        <v>-0.5</v>
      </c>
      <c r="F9" s="3">
        <f t="shared" si="6"/>
        <v>-0.5</v>
      </c>
      <c r="G9" s="3">
        <f t="shared" si="6"/>
        <v>-0.5</v>
      </c>
      <c r="H9" s="3">
        <f t="shared" si="6"/>
        <v>-1</v>
      </c>
      <c r="I9" s="3">
        <f t="shared" si="6"/>
        <v>-1</v>
      </c>
      <c r="J9" s="3">
        <f t="shared" si="1"/>
        <v>-1.0745</v>
      </c>
      <c r="K9" s="3">
        <f t="shared" si="1"/>
        <v>-2.6114999999999999</v>
      </c>
      <c r="L9" s="121">
        <f t="shared" si="1"/>
        <v>-3.964</v>
      </c>
      <c r="M9" s="121">
        <f t="shared" si="1"/>
        <v>-4.7930000000000001</v>
      </c>
      <c r="N9" s="121">
        <f t="shared" si="1"/>
        <v>-5.2430000000000003</v>
      </c>
      <c r="O9" s="121">
        <f t="shared" si="1"/>
        <v>-5.2885</v>
      </c>
      <c r="P9" s="121">
        <f t="shared" si="1"/>
        <v>-6.86</v>
      </c>
      <c r="Q9" s="226">
        <f t="shared" si="2"/>
        <v>-6.8624999999999998</v>
      </c>
      <c r="R9" s="121">
        <f t="shared" si="2"/>
        <v>-7.6844999999999999</v>
      </c>
      <c r="S9" s="121">
        <f t="shared" si="2"/>
        <v>-7.7785000000000002</v>
      </c>
      <c r="T9" s="121">
        <f t="shared" si="3"/>
        <v>-8.5839999999999996</v>
      </c>
      <c r="U9" s="121">
        <f t="shared" si="3"/>
        <v>-12.182499999999999</v>
      </c>
      <c r="V9" s="121">
        <f t="shared" si="3"/>
        <v>-13.051</v>
      </c>
      <c r="W9" s="345">
        <f t="shared" si="4"/>
        <v>-12.563000000000001</v>
      </c>
      <c r="X9" s="79">
        <f t="shared" si="4"/>
        <v>-12.305246250000003</v>
      </c>
      <c r="Y9" s="79">
        <f t="shared" si="4"/>
        <v>-12.094036839062507</v>
      </c>
      <c r="Z9" s="79">
        <f t="shared" ref="Z9:AA9" si="7">Z25/2</f>
        <v>-11.932330639634774</v>
      </c>
      <c r="AA9" s="240">
        <f t="shared" si="7"/>
        <v>-11.823203682104779</v>
      </c>
    </row>
    <row r="10" spans="1:27" s="3" customFormat="1" x14ac:dyDescent="0.2">
      <c r="A10" s="3" t="s">
        <v>196</v>
      </c>
      <c r="B10" s="3" t="s">
        <v>238</v>
      </c>
      <c r="C10" s="3">
        <f t="shared" ref="C10:I10" si="8">C27/2</f>
        <v>0</v>
      </c>
      <c r="D10" s="3">
        <f t="shared" si="8"/>
        <v>37.157187499999992</v>
      </c>
      <c r="E10" s="3">
        <f t="shared" si="8"/>
        <v>84.583749999999981</v>
      </c>
      <c r="F10" s="3">
        <f t="shared" si="8"/>
        <v>88.40187499999999</v>
      </c>
      <c r="G10" s="3">
        <f t="shared" si="8"/>
        <v>116.91374999999999</v>
      </c>
      <c r="H10" s="68">
        <f>(H27/2)</f>
        <v>87.5</v>
      </c>
      <c r="I10" s="3">
        <f t="shared" si="8"/>
        <v>73.15949999999998</v>
      </c>
      <c r="J10" s="190">
        <f t="shared" ref="J10:P10" si="9">J27/2+0.61439875</f>
        <v>33.114398749999999</v>
      </c>
      <c r="K10" s="68">
        <f t="shared" si="9"/>
        <v>184.11439874999999</v>
      </c>
      <c r="L10" s="153">
        <f t="shared" si="9"/>
        <v>157.11439874999999</v>
      </c>
      <c r="M10" s="153">
        <f t="shared" si="9"/>
        <v>155.61439874999999</v>
      </c>
      <c r="N10" s="153">
        <f t="shared" si="9"/>
        <v>120.61439875000001</v>
      </c>
      <c r="O10" s="153">
        <f t="shared" si="9"/>
        <v>88.114398750000007</v>
      </c>
      <c r="P10" s="153">
        <f t="shared" si="9"/>
        <v>85.614398750000007</v>
      </c>
      <c r="Q10" s="226">
        <f t="shared" ref="Q10:V10" si="10">Q27/2+0.61439875</f>
        <v>38.614398749999999</v>
      </c>
      <c r="R10" s="153">
        <f t="shared" si="10"/>
        <v>-8.8856012500000006</v>
      </c>
      <c r="S10" s="153">
        <f>S27/2+0.61439875</f>
        <v>-12.385601250000001</v>
      </c>
      <c r="T10" s="121">
        <f t="shared" si="10"/>
        <v>-6.8856012499999997</v>
      </c>
      <c r="U10" s="121">
        <f t="shared" si="10"/>
        <v>10.614398749999999</v>
      </c>
      <c r="V10" s="153">
        <f t="shared" si="10"/>
        <v>12.114398749999999</v>
      </c>
      <c r="W10" s="378">
        <f>W27/2+0.61439875</f>
        <v>11.114398749999999</v>
      </c>
      <c r="X10" s="110">
        <f>X27/2+0.61439875</f>
        <v>11.114398749999999</v>
      </c>
      <c r="Y10" s="110">
        <f>Y27/2+0.61439875</f>
        <v>10.114398749999999</v>
      </c>
      <c r="Z10" s="110">
        <f>Z27/2+0.61439875</f>
        <v>9.6143987499999994</v>
      </c>
      <c r="AA10" s="281">
        <f>AA27/2+0.61439875</f>
        <v>10.114398749999999</v>
      </c>
    </row>
    <row r="11" spans="1:27" s="49" customFormat="1" ht="15.75" x14ac:dyDescent="0.25">
      <c r="A11" s="52" t="s">
        <v>205</v>
      </c>
      <c r="B11" s="9" t="s">
        <v>241</v>
      </c>
      <c r="C11" s="56">
        <f t="shared" ref="C11:I11" si="11">SUM(C8:C10)</f>
        <v>190</v>
      </c>
      <c r="D11" s="56">
        <f t="shared" si="11"/>
        <v>210.15718749999999</v>
      </c>
      <c r="E11" s="56">
        <f t="shared" si="11"/>
        <v>220.58374999999998</v>
      </c>
      <c r="F11" s="56">
        <f t="shared" si="11"/>
        <v>230.90187499999999</v>
      </c>
      <c r="G11" s="56">
        <f t="shared" si="11"/>
        <v>235.91374999999999</v>
      </c>
      <c r="H11" s="56">
        <f t="shared" si="11"/>
        <v>239.5</v>
      </c>
      <c r="I11" s="56">
        <f t="shared" si="11"/>
        <v>252.65949999999998</v>
      </c>
      <c r="J11" s="56">
        <f t="shared" ref="J11:Y11" si="12">SUM(J8:J10)</f>
        <v>269.53989875000002</v>
      </c>
      <c r="K11" s="56">
        <f t="shared" si="12"/>
        <v>260.50289874999999</v>
      </c>
      <c r="L11" s="145">
        <f t="shared" si="12"/>
        <v>247.65039874999999</v>
      </c>
      <c r="M11" s="145">
        <f t="shared" si="12"/>
        <v>234.82139874999999</v>
      </c>
      <c r="N11" s="145">
        <f t="shared" si="12"/>
        <v>219.37139875000003</v>
      </c>
      <c r="O11" s="145">
        <f t="shared" si="12"/>
        <v>205.32589875000002</v>
      </c>
      <c r="P11" s="145">
        <f t="shared" si="12"/>
        <v>192.25439875000001</v>
      </c>
      <c r="Q11" s="229">
        <f t="shared" si="12"/>
        <v>179.75189874999998</v>
      </c>
      <c r="R11" s="145">
        <f t="shared" si="12"/>
        <v>175.42989874999998</v>
      </c>
      <c r="S11" s="145">
        <f t="shared" si="12"/>
        <v>175.83589874999998</v>
      </c>
      <c r="T11" s="145">
        <f t="shared" si="12"/>
        <v>174.53039874999999</v>
      </c>
      <c r="U11" s="145">
        <f t="shared" si="12"/>
        <v>170.43189874999999</v>
      </c>
      <c r="V11" s="145">
        <f t="shared" si="12"/>
        <v>164.06339875</v>
      </c>
      <c r="W11" s="375">
        <f t="shared" si="12"/>
        <v>153.05139875</v>
      </c>
      <c r="X11" s="102">
        <f t="shared" si="12"/>
        <v>153.80915249999998</v>
      </c>
      <c r="Y11" s="102">
        <f t="shared" si="12"/>
        <v>153.52036191093748</v>
      </c>
      <c r="Z11" s="102">
        <f t="shared" ref="Z11:AA11" si="13">SUM(Z8:Z10)</f>
        <v>153.68206811036521</v>
      </c>
      <c r="AA11" s="278">
        <f t="shared" si="13"/>
        <v>154.79119506789522</v>
      </c>
    </row>
    <row r="12" spans="1:27" s="49" customFormat="1" ht="15.75" x14ac:dyDescent="0.25">
      <c r="A12" s="52"/>
      <c r="B12" s="9"/>
      <c r="C12" s="71"/>
      <c r="D12" s="71"/>
      <c r="E12" s="71"/>
      <c r="F12" s="71"/>
      <c r="G12" s="71"/>
      <c r="H12" s="71"/>
      <c r="I12" s="71"/>
      <c r="J12" s="71"/>
      <c r="K12" s="71"/>
      <c r="L12" s="154"/>
      <c r="M12" s="154"/>
      <c r="N12" s="154"/>
      <c r="O12" s="154"/>
      <c r="P12" s="154"/>
      <c r="Q12" s="154"/>
      <c r="R12" s="154"/>
      <c r="S12" s="154"/>
      <c r="T12" s="154"/>
      <c r="U12" s="154"/>
      <c r="V12" s="154"/>
      <c r="W12" s="379"/>
      <c r="X12" s="111"/>
      <c r="Y12" s="111"/>
      <c r="Z12" s="111"/>
      <c r="AA12" s="282"/>
    </row>
    <row r="13" spans="1:27" s="9" customFormat="1" x14ac:dyDescent="0.2">
      <c r="I13" s="9" t="s">
        <v>307</v>
      </c>
      <c r="J13" s="72">
        <f t="shared" ref="J13:R13" si="14">J18*1000000</f>
        <v>269539898.74999994</v>
      </c>
      <c r="K13" s="72">
        <f t="shared" si="14"/>
        <v>260894293.62500006</v>
      </c>
      <c r="L13" s="72">
        <f t="shared" si="14"/>
        <v>248118761.5325</v>
      </c>
      <c r="M13" s="72">
        <f t="shared" si="14"/>
        <v>235893307.25</v>
      </c>
      <c r="N13" s="72">
        <f t="shared" si="14"/>
        <v>219066111.33999997</v>
      </c>
      <c r="O13" s="170">
        <f t="shared" si="14"/>
        <v>206721209.37500003</v>
      </c>
      <c r="P13" s="170">
        <f t="shared" si="14"/>
        <v>193161611.75000003</v>
      </c>
      <c r="Q13" s="170">
        <f t="shared" si="14"/>
        <v>179984133.09000003</v>
      </c>
      <c r="R13" s="170">
        <f t="shared" si="14"/>
        <v>176472308.5</v>
      </c>
      <c r="S13" s="170">
        <f>S11*1000000</f>
        <v>175835898.74999997</v>
      </c>
      <c r="T13" s="170">
        <f>T11*1000000</f>
        <v>174530398.75</v>
      </c>
      <c r="U13" s="156">
        <f>U11*1000000</f>
        <v>170431898.75</v>
      </c>
      <c r="V13" s="156">
        <f>V11*1000000</f>
        <v>164063398.75</v>
      </c>
      <c r="W13" s="156">
        <f>W11*1000000</f>
        <v>153051398.75</v>
      </c>
      <c r="X13" s="112"/>
      <c r="Y13" s="112"/>
      <c r="Z13" s="112"/>
      <c r="AA13" s="283"/>
    </row>
    <row r="14" spans="1:27" s="9" customFormat="1" x14ac:dyDescent="0.2">
      <c r="A14" s="12" t="s">
        <v>255</v>
      </c>
      <c r="L14" s="146"/>
      <c r="M14" s="146"/>
      <c r="N14" s="146"/>
      <c r="O14" s="146"/>
      <c r="P14" s="146"/>
      <c r="Q14" s="146"/>
      <c r="R14" s="146"/>
      <c r="S14" s="146"/>
      <c r="T14" s="146"/>
      <c r="U14" s="146"/>
      <c r="V14" s="146"/>
      <c r="W14" s="344"/>
      <c r="X14" s="103"/>
      <c r="Y14" s="103"/>
      <c r="Z14" s="103"/>
      <c r="AA14" s="266"/>
    </row>
    <row r="15" spans="1:27" s="9" customFormat="1" x14ac:dyDescent="0.2">
      <c r="A15" s="9" t="s">
        <v>252</v>
      </c>
      <c r="B15" s="9" t="s">
        <v>66</v>
      </c>
      <c r="D15" s="9">
        <f t="shared" ref="D15:K15" si="15">+C11</f>
        <v>190</v>
      </c>
      <c r="E15" s="9">
        <f t="shared" si="15"/>
        <v>210.15718749999999</v>
      </c>
      <c r="F15" s="9">
        <f t="shared" si="15"/>
        <v>220.58374999999998</v>
      </c>
      <c r="G15" s="9">
        <f t="shared" si="15"/>
        <v>230.90187499999999</v>
      </c>
      <c r="H15" s="9">
        <f t="shared" si="15"/>
        <v>235.91374999999999</v>
      </c>
      <c r="I15" s="9">
        <f t="shared" si="15"/>
        <v>239.5</v>
      </c>
      <c r="J15" s="9">
        <f t="shared" si="15"/>
        <v>252.65949999999998</v>
      </c>
      <c r="K15" s="9">
        <f t="shared" si="15"/>
        <v>269.53989875000002</v>
      </c>
      <c r="L15" s="146">
        <f t="shared" ref="L15:AA15" si="16">+K11</f>
        <v>260.50289874999999</v>
      </c>
      <c r="M15" s="146">
        <f t="shared" si="16"/>
        <v>247.65039874999999</v>
      </c>
      <c r="N15" s="146">
        <f t="shared" si="16"/>
        <v>234.82139874999999</v>
      </c>
      <c r="O15" s="146">
        <f t="shared" si="16"/>
        <v>219.37139875000003</v>
      </c>
      <c r="P15" s="146">
        <f t="shared" si="16"/>
        <v>205.32589875000002</v>
      </c>
      <c r="Q15" s="146">
        <f t="shared" si="16"/>
        <v>192.25439875000001</v>
      </c>
      <c r="R15" s="146">
        <f t="shared" si="16"/>
        <v>179.75189874999998</v>
      </c>
      <c r="S15" s="146">
        <f t="shared" si="16"/>
        <v>175.42989874999998</v>
      </c>
      <c r="T15" s="333">
        <f>+S11</f>
        <v>175.83589874999998</v>
      </c>
      <c r="U15" s="333">
        <f>+T11</f>
        <v>174.53039874999999</v>
      </c>
      <c r="V15" s="146">
        <f t="shared" si="16"/>
        <v>170.43189874999999</v>
      </c>
      <c r="W15" s="344">
        <f t="shared" si="16"/>
        <v>164.06339875</v>
      </c>
      <c r="X15" s="103">
        <f t="shared" si="16"/>
        <v>153.05139875</v>
      </c>
      <c r="Y15" s="103">
        <f t="shared" si="16"/>
        <v>153.80915249999998</v>
      </c>
      <c r="Z15" s="103">
        <f t="shared" si="16"/>
        <v>153.52036191093748</v>
      </c>
      <c r="AA15" s="266">
        <f t="shared" si="16"/>
        <v>153.68206811036521</v>
      </c>
    </row>
    <row r="16" spans="1:27" s="9" customFormat="1" x14ac:dyDescent="0.2">
      <c r="A16" s="9" t="s">
        <v>327</v>
      </c>
      <c r="B16" s="9" t="s">
        <v>328</v>
      </c>
      <c r="K16" s="9">
        <f>'RCA data'!K$34*-1</f>
        <v>-2</v>
      </c>
      <c r="L16" s="9">
        <f>'RCA data'!L$34*-1</f>
        <v>-1.7209587799999999</v>
      </c>
      <c r="M16" s="9">
        <f>'RCA data'!M$34*-1</f>
        <v>-1.2749999999999999</v>
      </c>
      <c r="N16" s="146">
        <f>'RCA data'!N$34*-1</f>
        <v>-1.9167769100000001</v>
      </c>
      <c r="O16" s="146">
        <f>'RCA data'!O$34*-1</f>
        <v>-0.75204199999999999</v>
      </c>
      <c r="P16" s="146">
        <f>'RCA data'!P$34*-1</f>
        <v>-2.5734319999999999</v>
      </c>
      <c r="Q16" s="146">
        <f>'RCA data'!Q$34*-1</f>
        <v>-1.5433056599999999</v>
      </c>
      <c r="R16" s="146">
        <f>'RCA data'!R$34*-1</f>
        <v>-2.1390500000000001</v>
      </c>
      <c r="S16" s="146">
        <f>'RCA data'!S$34*-1</f>
        <v>-2.3824589999999999</v>
      </c>
      <c r="T16" s="333">
        <f>'RCA data'!T$34*-1</f>
        <v>-2.4652271099999998</v>
      </c>
      <c r="U16" s="333">
        <f>'RCA data'!U$34*-1</f>
        <v>-5.4058700000000002</v>
      </c>
      <c r="V16" s="146">
        <f>'RCA data'!V$34*-1</f>
        <v>-5.1298110000000001</v>
      </c>
      <c r="W16" s="344">
        <f>'RCA data'!W$34*-1</f>
        <v>-2.6689590000000001</v>
      </c>
      <c r="X16" s="103">
        <f>'RCA data'!X$34*-1</f>
        <v>-2.735682975</v>
      </c>
      <c r="Y16" s="103">
        <f>'RCA data'!Y$34*-1</f>
        <v>-2.8040750493749997</v>
      </c>
      <c r="Z16" s="103">
        <f>'RCA data'!Z$34*-1</f>
        <v>-2.8741769256093743</v>
      </c>
      <c r="AA16" s="266">
        <f>'RCA data'!AA$34*-1</f>
        <v>-2.9460313487496084</v>
      </c>
    </row>
    <row r="17" spans="1:27" s="9" customFormat="1" x14ac:dyDescent="0.2">
      <c r="A17" s="9" t="s">
        <v>305</v>
      </c>
      <c r="B17" s="9" t="s">
        <v>277</v>
      </c>
      <c r="D17" s="9">
        <f>'RCA exp'!C15</f>
        <v>20.657187499999999</v>
      </c>
      <c r="E17" s="9">
        <f>'RCA exp'!D15</f>
        <v>10.426562499999999</v>
      </c>
      <c r="F17" s="9">
        <f>'RCA exp'!E15</f>
        <v>10.318124999999998</v>
      </c>
      <c r="G17" s="9">
        <f>'RCA exp'!F15</f>
        <v>5.0118750000000007</v>
      </c>
      <c r="H17" s="9">
        <f>'RCA exp'!G15</f>
        <v>3.375</v>
      </c>
      <c r="I17" s="9">
        <f>'RCA exp'!H15</f>
        <v>13.370750000000001</v>
      </c>
      <c r="J17" s="9">
        <f>'RCA exp'!I15</f>
        <v>16.880398750000001</v>
      </c>
      <c r="K17" s="9">
        <f>'RCA exp'!J15</f>
        <v>-6.6456051249999994</v>
      </c>
      <c r="L17" s="146">
        <f>'RCA exp'!K15</f>
        <v>-10.663178437500001</v>
      </c>
      <c r="M17" s="146">
        <f>'RCA exp'!L15</f>
        <v>-10.482091499999999</v>
      </c>
      <c r="N17" s="146">
        <f>'RCA exp'!M15</f>
        <v>-13.838510500000002</v>
      </c>
      <c r="O17" s="146">
        <f>'RCA exp'!N15</f>
        <v>-11.898147375000001</v>
      </c>
      <c r="P17" s="146">
        <f>'RCA exp'!O15</f>
        <v>-9.5908550000000012</v>
      </c>
      <c r="Q17" s="146">
        <f>'RCA exp'!P15</f>
        <v>-10.72696</v>
      </c>
      <c r="R17" s="146">
        <f>'RCA exp'!Q15</f>
        <v>-1.1405402499999995</v>
      </c>
      <c r="S17" s="146">
        <f>'RCA exp'!R15</f>
        <v>3.4358111874999997</v>
      </c>
      <c r="T17" s="333">
        <f>'RCA exp'!S15</f>
        <v>2.6542862500000002</v>
      </c>
      <c r="U17" s="333">
        <f>'RCA exp'!T15</f>
        <v>2.9854625000000006</v>
      </c>
      <c r="V17" s="146">
        <f>'RCA exp'!U15</f>
        <v>-1.1293817500000003</v>
      </c>
      <c r="W17" s="344">
        <f>'RCA exp'!V15</f>
        <v>-5.1412512499999998</v>
      </c>
      <c r="X17" s="103">
        <f>'RCA exp'!W15</f>
        <v>6.7104649250000001</v>
      </c>
      <c r="Y17" s="103">
        <f>'RCA exp'!X15</f>
        <v>5.8240372295</v>
      </c>
      <c r="Z17" s="103">
        <f>'RCA exp'!Y15</f>
        <v>6.4405796891495299</v>
      </c>
      <c r="AA17" s="266">
        <f>'RCA exp'!Z15</f>
        <v>7.560183855459278</v>
      </c>
    </row>
    <row r="18" spans="1:27" s="8" customFormat="1" x14ac:dyDescent="0.2">
      <c r="A18" s="8" t="s">
        <v>253</v>
      </c>
      <c r="B18" s="8" t="s">
        <v>31</v>
      </c>
      <c r="C18" s="21"/>
      <c r="D18" s="21">
        <f t="shared" ref="D18:K18" si="17">SUM(D15:D17)</f>
        <v>210.65718749999999</v>
      </c>
      <c r="E18" s="21">
        <f t="shared" si="17"/>
        <v>220.58374999999998</v>
      </c>
      <c r="F18" s="21">
        <f t="shared" si="17"/>
        <v>230.90187499999999</v>
      </c>
      <c r="G18" s="21">
        <f t="shared" si="17"/>
        <v>235.91374999999999</v>
      </c>
      <c r="H18" s="21">
        <f t="shared" si="17"/>
        <v>239.28874999999999</v>
      </c>
      <c r="I18" s="21">
        <f t="shared" si="17"/>
        <v>252.87074999999999</v>
      </c>
      <c r="J18" s="21">
        <f t="shared" si="17"/>
        <v>269.53989874999996</v>
      </c>
      <c r="K18" s="21">
        <f t="shared" si="17"/>
        <v>260.89429362500005</v>
      </c>
      <c r="L18" s="140">
        <f t="shared" ref="L18:Y18" si="18">SUM(L15:L17)</f>
        <v>248.1187615325</v>
      </c>
      <c r="M18" s="140">
        <f t="shared" si="18"/>
        <v>235.89330724999999</v>
      </c>
      <c r="N18" s="140">
        <f t="shared" si="18"/>
        <v>219.06611133999996</v>
      </c>
      <c r="O18" s="140">
        <f t="shared" si="18"/>
        <v>206.72120937500003</v>
      </c>
      <c r="P18" s="140">
        <f t="shared" si="18"/>
        <v>193.16161175000002</v>
      </c>
      <c r="Q18" s="140">
        <f t="shared" si="18"/>
        <v>179.98413309000003</v>
      </c>
      <c r="R18" s="140">
        <f t="shared" si="18"/>
        <v>176.4723085</v>
      </c>
      <c r="S18" s="140">
        <f t="shared" si="18"/>
        <v>176.48325093749997</v>
      </c>
      <c r="T18" s="334">
        <f t="shared" si="18"/>
        <v>176.02495789</v>
      </c>
      <c r="U18" s="334">
        <f t="shared" si="18"/>
        <v>172.10999125000001</v>
      </c>
      <c r="V18" s="140">
        <f t="shared" si="18"/>
        <v>164.17270600000001</v>
      </c>
      <c r="W18" s="361">
        <f t="shared" si="18"/>
        <v>156.25318849999999</v>
      </c>
      <c r="X18" s="95">
        <f t="shared" si="18"/>
        <v>157.0261807</v>
      </c>
      <c r="Y18" s="95">
        <f t="shared" si="18"/>
        <v>156.82911468012497</v>
      </c>
      <c r="Z18" s="95">
        <f t="shared" ref="Z18:AA18" si="19">SUM(Z15:Z17)</f>
        <v>157.08676467447765</v>
      </c>
      <c r="AA18" s="261">
        <f t="shared" si="19"/>
        <v>158.29622061707488</v>
      </c>
    </row>
    <row r="19" spans="1:27" s="9" customFormat="1" x14ac:dyDescent="0.2">
      <c r="A19" s="9" t="s">
        <v>217</v>
      </c>
      <c r="D19" s="9">
        <f t="shared" ref="D19:K19" si="20">D18-D11</f>
        <v>0.5</v>
      </c>
      <c r="E19" s="9">
        <f t="shared" si="20"/>
        <v>0</v>
      </c>
      <c r="F19" s="9">
        <f t="shared" si="20"/>
        <v>0</v>
      </c>
      <c r="G19" s="9">
        <f t="shared" si="20"/>
        <v>0</v>
      </c>
      <c r="H19" s="9">
        <f t="shared" si="20"/>
        <v>-0.21125000000000682</v>
      </c>
      <c r="I19" s="9">
        <f t="shared" si="20"/>
        <v>0.21125000000000682</v>
      </c>
      <c r="J19" s="9">
        <f t="shared" si="20"/>
        <v>0</v>
      </c>
      <c r="K19" s="9">
        <f t="shared" si="20"/>
        <v>0.39139487500005998</v>
      </c>
      <c r="L19" s="146">
        <f t="shared" ref="L19:Y19" si="21">L18-L11</f>
        <v>0.46836278250000873</v>
      </c>
      <c r="M19" s="146">
        <f t="shared" si="21"/>
        <v>1.0719085000000064</v>
      </c>
      <c r="N19" s="146">
        <f t="shared" si="21"/>
        <v>-0.30528741000006221</v>
      </c>
      <c r="O19" s="146">
        <f t="shared" si="21"/>
        <v>1.3953106250000076</v>
      </c>
      <c r="P19" s="146">
        <f t="shared" si="21"/>
        <v>0.90721300000001293</v>
      </c>
      <c r="Q19" s="146">
        <f t="shared" si="21"/>
        <v>0.23223434000004772</v>
      </c>
      <c r="R19" s="333">
        <f t="shared" si="21"/>
        <v>1.0424097500000187</v>
      </c>
      <c r="S19" s="333">
        <f t="shared" si="21"/>
        <v>0.64735218749999035</v>
      </c>
      <c r="T19" s="333">
        <f t="shared" si="21"/>
        <v>1.4945591400000069</v>
      </c>
      <c r="U19" s="333">
        <f t="shared" si="21"/>
        <v>1.6780925000000195</v>
      </c>
      <c r="V19" s="146">
        <f t="shared" si="21"/>
        <v>0.10930725000000052</v>
      </c>
      <c r="W19" s="344">
        <f t="shared" si="21"/>
        <v>3.201789749999989</v>
      </c>
      <c r="X19" s="103">
        <f t="shared" si="21"/>
        <v>3.2170282000000157</v>
      </c>
      <c r="Y19" s="103">
        <f t="shared" si="21"/>
        <v>3.3087527691874925</v>
      </c>
      <c r="Z19" s="103">
        <f t="shared" ref="Z19:AA19" si="22">Z18-Z11</f>
        <v>3.4046965641124416</v>
      </c>
      <c r="AA19" s="266">
        <f t="shared" si="22"/>
        <v>3.5050255491796634</v>
      </c>
    </row>
    <row r="20" spans="1:27" s="9" customFormat="1" x14ac:dyDescent="0.2">
      <c r="L20" s="146"/>
      <c r="M20" s="146"/>
      <c r="N20" s="146"/>
      <c r="O20" s="146"/>
      <c r="P20" s="146"/>
      <c r="Q20" s="146"/>
      <c r="R20" s="146"/>
      <c r="S20" s="146"/>
      <c r="T20" s="146"/>
      <c r="U20" s="146"/>
      <c r="V20" s="146"/>
      <c r="W20" s="344"/>
      <c r="X20" s="103"/>
      <c r="Y20" s="103"/>
      <c r="Z20" s="103"/>
      <c r="AA20" s="266"/>
    </row>
    <row r="21" spans="1:27" s="9" customFormat="1" x14ac:dyDescent="0.2">
      <c r="L21" s="146"/>
      <c r="M21" s="146"/>
      <c r="N21" s="146"/>
      <c r="O21" s="146"/>
      <c r="P21" s="146"/>
      <c r="Q21" s="146"/>
      <c r="R21" s="146"/>
      <c r="S21" s="146"/>
      <c r="T21" s="146"/>
      <c r="U21" s="146"/>
      <c r="V21" s="146"/>
      <c r="W21" s="344"/>
      <c r="X21" s="103"/>
      <c r="Y21" s="103"/>
      <c r="Z21" s="103"/>
      <c r="AA21" s="266"/>
    </row>
    <row r="22" spans="1:27" s="3" customFormat="1" x14ac:dyDescent="0.2">
      <c r="A22" s="44" t="s">
        <v>194</v>
      </c>
      <c r="L22" s="121"/>
      <c r="M22" s="121"/>
      <c r="N22" s="121"/>
      <c r="O22" s="121"/>
      <c r="P22" s="121"/>
      <c r="Q22" s="121"/>
      <c r="R22" s="121"/>
      <c r="S22" s="121"/>
      <c r="T22" s="121"/>
      <c r="U22" s="121"/>
      <c r="V22" s="121"/>
      <c r="W22" s="345"/>
      <c r="X22" s="79"/>
      <c r="Y22" s="79"/>
      <c r="Z22" s="79"/>
      <c r="AA22" s="240"/>
    </row>
    <row r="23" spans="1:27" s="3" customFormat="1" x14ac:dyDescent="0.2">
      <c r="L23" s="121"/>
      <c r="M23" s="121"/>
      <c r="N23" s="121"/>
      <c r="O23" s="121"/>
      <c r="P23" s="121"/>
      <c r="Q23" s="121"/>
      <c r="R23" s="121"/>
      <c r="S23" s="121"/>
      <c r="T23" s="121"/>
      <c r="U23" s="121"/>
      <c r="V23" s="121"/>
      <c r="W23" s="345"/>
      <c r="X23" s="79"/>
      <c r="Y23" s="79"/>
      <c r="Z23" s="79"/>
      <c r="AA23" s="240"/>
    </row>
    <row r="24" spans="1:27" s="3" customFormat="1" x14ac:dyDescent="0.2">
      <c r="A24" s="3" t="s">
        <v>197</v>
      </c>
      <c r="B24" s="3" t="s">
        <v>259</v>
      </c>
      <c r="C24" s="3">
        <f>'RCA data'!C11</f>
        <v>380</v>
      </c>
      <c r="D24" s="3">
        <f>'RCA data'!D11</f>
        <v>347</v>
      </c>
      <c r="E24" s="3">
        <f>'RCA data'!E11</f>
        <v>273</v>
      </c>
      <c r="F24" s="3">
        <f>'RCA data'!F11</f>
        <v>286</v>
      </c>
      <c r="G24" s="3">
        <f>'RCA data'!G11</f>
        <v>239</v>
      </c>
      <c r="H24" s="3">
        <f>'RCA data'!H11</f>
        <v>306</v>
      </c>
      <c r="I24" s="3">
        <f>'RCA data'!I11</f>
        <v>361</v>
      </c>
      <c r="J24" s="3">
        <f>ROUND('RCA data'!J11,0)</f>
        <v>475</v>
      </c>
      <c r="K24" s="3">
        <f>ROUND('RCA data'!K11,0)</f>
        <v>158</v>
      </c>
      <c r="L24" s="121">
        <f>ROUND('RCA data'!L11,0)</f>
        <v>189</v>
      </c>
      <c r="M24" s="121">
        <f>ROUND('RCA data'!M11,0)</f>
        <v>168</v>
      </c>
      <c r="N24" s="121">
        <f>ROUND('RCA data'!N11,0)</f>
        <v>208</v>
      </c>
      <c r="O24" s="121">
        <f>ROUND('RCA data'!O11,0)</f>
        <v>245</v>
      </c>
      <c r="P24" s="121">
        <f>ROUND('RCA data'!P11,0)</f>
        <v>227</v>
      </c>
      <c r="Q24" s="121">
        <f>ROUND('RCA data'!Q11,0)</f>
        <v>296</v>
      </c>
      <c r="R24" s="121">
        <f>ROUND('RCA data'!R11,0)</f>
        <v>384</v>
      </c>
      <c r="S24" s="121">
        <f>ROUND('RCA data'!S11,0)</f>
        <v>392</v>
      </c>
      <c r="T24" s="121">
        <f>ROUND('RCA data'!T11,0)</f>
        <v>380</v>
      </c>
      <c r="U24" s="121">
        <f>ROUND('RCA data'!U11,0)</f>
        <v>344</v>
      </c>
      <c r="V24" s="121">
        <f>ROUND('RCA data'!V11,0)</f>
        <v>330</v>
      </c>
      <c r="W24" s="345">
        <f>ROUND('RCA data'!W11,0)</f>
        <v>309</v>
      </c>
      <c r="X24" s="79">
        <f>ROUND('RCA data'!X11,0)</f>
        <v>310</v>
      </c>
      <c r="Y24" s="79">
        <f>ROUND('RCA data'!Y11,0)</f>
        <v>311</v>
      </c>
      <c r="Z24" s="79">
        <f>ROUND('RCA data'!Z11,0)</f>
        <v>312</v>
      </c>
      <c r="AA24" s="240">
        <f>ROUND('RCA data'!AA11,0)</f>
        <v>313</v>
      </c>
    </row>
    <row r="25" spans="1:27" s="3" customFormat="1" x14ac:dyDescent="0.2">
      <c r="A25" s="3" t="s">
        <v>198</v>
      </c>
      <c r="B25" s="3" t="s">
        <v>259</v>
      </c>
      <c r="C25" s="6">
        <f>'RCA data'!C23*-1</f>
        <v>0</v>
      </c>
      <c r="D25" s="6">
        <f>'RCA data'!D23*-1</f>
        <v>-1</v>
      </c>
      <c r="E25" s="6">
        <f>'RCA data'!E23*-1</f>
        <v>-1</v>
      </c>
      <c r="F25" s="6">
        <f>'RCA data'!F23*-1</f>
        <v>-1</v>
      </c>
      <c r="G25" s="6">
        <f>'RCA data'!G23*-1</f>
        <v>-1</v>
      </c>
      <c r="H25" s="6">
        <f>'RCA data'!H23*-1</f>
        <v>-2</v>
      </c>
      <c r="I25" s="6">
        <f>'RCA data'!I23*-1</f>
        <v>-2</v>
      </c>
      <c r="J25" s="6">
        <f>'RCA data'!J23*-1</f>
        <v>-2.149</v>
      </c>
      <c r="K25" s="6">
        <f>'RCA data'!K23*-1</f>
        <v>-5.2229999999999999</v>
      </c>
      <c r="L25" s="125">
        <f>'RCA data'!L23*-1</f>
        <v>-7.9279999999999999</v>
      </c>
      <c r="M25" s="125">
        <f>'RCA data'!M23*-1</f>
        <v>-9.5860000000000003</v>
      </c>
      <c r="N25" s="125">
        <f>'RCA data'!N23*-1</f>
        <v>-10.486000000000001</v>
      </c>
      <c r="O25" s="125">
        <f>'RCA data'!O23*-1</f>
        <v>-10.577</v>
      </c>
      <c r="P25" s="125">
        <f>'RCA data'!P23*-1</f>
        <v>-13.72</v>
      </c>
      <c r="Q25" s="125">
        <f>'RCA data'!Q23*-1</f>
        <v>-13.725</v>
      </c>
      <c r="R25" s="125">
        <f>'RCA data'!R23*-1</f>
        <v>-15.369</v>
      </c>
      <c r="S25" s="125">
        <f>'RCA data'!S23*-1</f>
        <v>-15.557</v>
      </c>
      <c r="T25" s="125">
        <f>'RCA data'!T23*-1</f>
        <v>-17.167999999999999</v>
      </c>
      <c r="U25" s="125">
        <f>'RCA data'!U23*-1</f>
        <v>-24.364999999999998</v>
      </c>
      <c r="V25" s="125">
        <f>'RCA data'!V23*-1</f>
        <v>-26.102</v>
      </c>
      <c r="W25" s="346">
        <f>'RCA data'!W23*-1</f>
        <v>-25.126000000000001</v>
      </c>
      <c r="X25" s="81">
        <f>'RCA data'!X23*-1</f>
        <v>-24.610492500000007</v>
      </c>
      <c r="Y25" s="81">
        <f>'RCA data'!Y23*-1</f>
        <v>-24.188073678125015</v>
      </c>
      <c r="Z25" s="81">
        <f>'RCA data'!Z23*-1</f>
        <v>-23.864661279269548</v>
      </c>
      <c r="AA25" s="241">
        <f>'RCA data'!AA23*-1</f>
        <v>-23.646407364209558</v>
      </c>
    </row>
    <row r="26" spans="1:27" s="8" customFormat="1" x14ac:dyDescent="0.2">
      <c r="A26" s="8" t="s">
        <v>202</v>
      </c>
      <c r="B26" s="8" t="s">
        <v>31</v>
      </c>
      <c r="C26" s="8">
        <f t="shared" ref="C26:K26" si="23">SUM(C24:C25)</f>
        <v>380</v>
      </c>
      <c r="D26" s="8">
        <f t="shared" si="23"/>
        <v>346</v>
      </c>
      <c r="E26" s="8">
        <f t="shared" si="23"/>
        <v>272</v>
      </c>
      <c r="F26" s="8">
        <f t="shared" si="23"/>
        <v>285</v>
      </c>
      <c r="G26" s="8">
        <f t="shared" si="23"/>
        <v>238</v>
      </c>
      <c r="H26" s="8">
        <f t="shared" si="23"/>
        <v>304</v>
      </c>
      <c r="I26" s="8">
        <f t="shared" si="23"/>
        <v>359</v>
      </c>
      <c r="J26" s="8">
        <f t="shared" si="23"/>
        <v>472.851</v>
      </c>
      <c r="K26" s="8">
        <f t="shared" si="23"/>
        <v>152.77699999999999</v>
      </c>
      <c r="L26" s="119">
        <f t="shared" ref="L26:Y26" si="24">SUM(L24:L25)</f>
        <v>181.072</v>
      </c>
      <c r="M26" s="119">
        <f t="shared" si="24"/>
        <v>158.41399999999999</v>
      </c>
      <c r="N26" s="119">
        <f t="shared" si="24"/>
        <v>197.51400000000001</v>
      </c>
      <c r="O26" s="119">
        <f t="shared" si="24"/>
        <v>234.423</v>
      </c>
      <c r="P26" s="119">
        <f t="shared" si="24"/>
        <v>213.28</v>
      </c>
      <c r="Q26" s="119">
        <f t="shared" si="24"/>
        <v>282.27499999999998</v>
      </c>
      <c r="R26" s="119">
        <f t="shared" si="24"/>
        <v>368.63099999999997</v>
      </c>
      <c r="S26" s="119">
        <f t="shared" si="24"/>
        <v>376.44299999999998</v>
      </c>
      <c r="T26" s="119">
        <f t="shared" si="24"/>
        <v>362.83199999999999</v>
      </c>
      <c r="U26" s="119">
        <f t="shared" si="24"/>
        <v>319.63499999999999</v>
      </c>
      <c r="V26" s="119">
        <f t="shared" si="24"/>
        <v>303.89800000000002</v>
      </c>
      <c r="W26" s="343">
        <f t="shared" si="24"/>
        <v>283.87400000000002</v>
      </c>
      <c r="X26" s="78">
        <f t="shared" si="24"/>
        <v>285.38950749999998</v>
      </c>
      <c r="Y26" s="78">
        <f t="shared" si="24"/>
        <v>286.81192632187498</v>
      </c>
      <c r="Z26" s="78">
        <f t="shared" ref="Z26:AA26" si="25">SUM(Z24:Z25)</f>
        <v>288.13533872073043</v>
      </c>
      <c r="AA26" s="242">
        <f t="shared" si="25"/>
        <v>289.35359263579045</v>
      </c>
    </row>
    <row r="27" spans="1:27" s="3" customFormat="1" x14ac:dyDescent="0.2">
      <c r="A27" s="3" t="s">
        <v>196</v>
      </c>
      <c r="B27" s="3" t="s">
        <v>265</v>
      </c>
      <c r="C27" s="3">
        <v>0</v>
      </c>
      <c r="D27" s="3">
        <f>'RCA exp g(l)'!C64</f>
        <v>74.314374999999984</v>
      </c>
      <c r="E27" s="3">
        <f>'RCA exp g(l)'!D64</f>
        <v>169.16749999999996</v>
      </c>
      <c r="F27" s="3">
        <f>'RCA exp g(l)'!E64</f>
        <v>176.80374999999998</v>
      </c>
      <c r="G27" s="3">
        <f>'RCA exp g(l)'!F64</f>
        <v>233.82749999999999</v>
      </c>
      <c r="H27" s="3">
        <f>ROUND('RCA exp g(l)'!G64,0)</f>
        <v>175</v>
      </c>
      <c r="I27" s="3">
        <f>'RCA exp g(l)'!H64</f>
        <v>146.31899999999996</v>
      </c>
      <c r="J27" s="3">
        <f>ROUND('RCA exp g(l)'!I64,0)</f>
        <v>65</v>
      </c>
      <c r="K27" s="3">
        <f>ROUND('RCA exp g(l)'!J64,0)</f>
        <v>367</v>
      </c>
      <c r="L27" s="121">
        <f>ROUND('RCA exp g(l)'!K64,0)</f>
        <v>313</v>
      </c>
      <c r="M27" s="121">
        <f>ROUND('RCA exp g(l)'!L64,0)</f>
        <v>310</v>
      </c>
      <c r="N27" s="121">
        <f>ROUND('RCA exp g(l)'!M64,0)</f>
        <v>240</v>
      </c>
      <c r="O27" s="121">
        <f>ROUND('RCA exp g(l)'!N64,0)</f>
        <v>175</v>
      </c>
      <c r="P27" s="121">
        <f>ROUND('RCA exp g(l)'!O64,0)</f>
        <v>170</v>
      </c>
      <c r="Q27" s="121">
        <f>ROUND('RCA exp g(l)'!P64,0)</f>
        <v>76</v>
      </c>
      <c r="R27" s="121">
        <f>ROUND('RCA exp g(l)'!Q64,0)</f>
        <v>-19</v>
      </c>
      <c r="S27" s="121">
        <f>ROUND('RCA exp g(l)'!R64,0)</f>
        <v>-26</v>
      </c>
      <c r="T27" s="121">
        <f>ROUND('RCA exp g(l)'!S64,0)</f>
        <v>-15</v>
      </c>
      <c r="U27" s="121">
        <f>ROUND('RCA exp g(l)'!T64,0)</f>
        <v>20</v>
      </c>
      <c r="V27" s="121">
        <f>ROUND('RCA exp g(l)'!U64,0)</f>
        <v>23</v>
      </c>
      <c r="W27" s="345">
        <f>ROUND('RCA exp g(l)'!V64,0)</f>
        <v>21</v>
      </c>
      <c r="X27" s="79">
        <f>ROUND('RCA exp g(l)'!W64,0)</f>
        <v>21</v>
      </c>
      <c r="Y27" s="79">
        <f>ROUND('RCA exp g(l)'!X64,0)</f>
        <v>19</v>
      </c>
      <c r="Z27" s="79">
        <f>ROUND('RCA exp g(l)'!Y64,0)</f>
        <v>18</v>
      </c>
      <c r="AA27" s="240">
        <f>ROUND('RCA exp g(l)'!Z64,0)</f>
        <v>19</v>
      </c>
    </row>
    <row r="28" spans="1:27" s="3" customFormat="1" ht="13.5" thickBot="1" x14ac:dyDescent="0.25">
      <c r="A28" s="8" t="s">
        <v>205</v>
      </c>
      <c r="B28" s="8" t="s">
        <v>31</v>
      </c>
      <c r="C28" s="51">
        <f t="shared" ref="C28:K28" si="26">SUM(C26:C27)</f>
        <v>380</v>
      </c>
      <c r="D28" s="51">
        <f t="shared" si="26"/>
        <v>420.31437499999998</v>
      </c>
      <c r="E28" s="51">
        <f t="shared" si="26"/>
        <v>441.16749999999996</v>
      </c>
      <c r="F28" s="51">
        <f t="shared" si="26"/>
        <v>461.80374999999998</v>
      </c>
      <c r="G28" s="51">
        <f t="shared" si="26"/>
        <v>471.82749999999999</v>
      </c>
      <c r="H28" s="51">
        <f t="shared" si="26"/>
        <v>479</v>
      </c>
      <c r="I28" s="51">
        <f t="shared" si="26"/>
        <v>505.31899999999996</v>
      </c>
      <c r="J28" s="51">
        <f t="shared" si="26"/>
        <v>537.851</v>
      </c>
      <c r="K28" s="51">
        <f t="shared" si="26"/>
        <v>519.77700000000004</v>
      </c>
      <c r="L28" s="148">
        <f t="shared" ref="L28:Y28" si="27">SUM(L26:L27)</f>
        <v>494.072</v>
      </c>
      <c r="M28" s="148">
        <f t="shared" si="27"/>
        <v>468.41399999999999</v>
      </c>
      <c r="N28" s="148">
        <f t="shared" si="27"/>
        <v>437.51400000000001</v>
      </c>
      <c r="O28" s="148">
        <f t="shared" si="27"/>
        <v>409.423</v>
      </c>
      <c r="P28" s="148">
        <f t="shared" si="27"/>
        <v>383.28</v>
      </c>
      <c r="Q28" s="148">
        <f t="shared" si="27"/>
        <v>358.27499999999998</v>
      </c>
      <c r="R28" s="148">
        <f t="shared" si="27"/>
        <v>349.63099999999997</v>
      </c>
      <c r="S28" s="148">
        <f t="shared" si="27"/>
        <v>350.44299999999998</v>
      </c>
      <c r="T28" s="148">
        <f t="shared" si="27"/>
        <v>347.83199999999999</v>
      </c>
      <c r="U28" s="148">
        <f t="shared" si="27"/>
        <v>339.63499999999999</v>
      </c>
      <c r="V28" s="148">
        <f t="shared" si="27"/>
        <v>326.89800000000002</v>
      </c>
      <c r="W28" s="377">
        <f t="shared" si="27"/>
        <v>304.87400000000002</v>
      </c>
      <c r="X28" s="105">
        <f t="shared" si="27"/>
        <v>306.38950749999998</v>
      </c>
      <c r="Y28" s="105">
        <f t="shared" si="27"/>
        <v>305.81192632187498</v>
      </c>
      <c r="Z28" s="105">
        <f t="shared" ref="Z28:AA28" si="28">SUM(Z26:Z27)</f>
        <v>306.13533872073043</v>
      </c>
      <c r="AA28" s="280">
        <f t="shared" si="28"/>
        <v>308.35359263579045</v>
      </c>
    </row>
    <row r="29" spans="1:27" s="3" customFormat="1" ht="13.5" thickTop="1" x14ac:dyDescent="0.2">
      <c r="L29" s="121"/>
      <c r="M29" s="121"/>
      <c r="N29" s="121"/>
      <c r="O29" s="121"/>
      <c r="P29" s="121"/>
      <c r="Q29" s="121"/>
      <c r="R29" s="121"/>
      <c r="S29" s="121"/>
      <c r="T29" s="121"/>
      <c r="U29" s="121"/>
      <c r="V29" s="121"/>
      <c r="W29" s="345"/>
      <c r="X29" s="79"/>
      <c r="Y29" s="79"/>
      <c r="Z29" s="79"/>
      <c r="AA29" s="240"/>
    </row>
    <row r="30" spans="1:27" s="3" customFormat="1" x14ac:dyDescent="0.2">
      <c r="J30" s="157"/>
      <c r="L30" s="121"/>
      <c r="M30" s="121"/>
      <c r="N30" s="121"/>
      <c r="O30" s="121"/>
      <c r="P30" s="121"/>
      <c r="Q30" s="121"/>
      <c r="R30" s="121"/>
      <c r="S30" s="121"/>
      <c r="T30" s="121"/>
      <c r="U30" s="121"/>
      <c r="V30" s="121"/>
      <c r="W30" s="345"/>
      <c r="X30" s="79"/>
      <c r="Y30" s="79"/>
      <c r="Z30" s="79"/>
      <c r="AA30" s="240"/>
    </row>
    <row r="31" spans="1:27" x14ac:dyDescent="0.2">
      <c r="J31" t="s">
        <v>360</v>
      </c>
      <c r="Q31" s="232"/>
    </row>
    <row r="32" spans="1:27" x14ac:dyDescent="0.2">
      <c r="Q32" s="106"/>
    </row>
  </sheetData>
  <phoneticPr fontId="0" type="noConversion"/>
  <pageMargins left="0.75" right="0.75" top="1" bottom="1" header="0.5" footer="0.5"/>
  <pageSetup paperSize="5" orientation="landscape" r:id="rId1"/>
  <headerFooter alignWithMargins="0">
    <oddFooter>&amp;L&amp;"Arial,Bold"&amp;F&amp;C&amp;A&amp;R&amp;D  &amp;T</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B32"/>
  <sheetViews>
    <sheetView workbookViewId="0">
      <pane xSplit="1" ySplit="5" topLeftCell="U6" activePane="bottomRight" state="frozen"/>
      <selection activeCell="W35" sqref="W35"/>
      <selection pane="topRight" activeCell="W35" sqref="W35"/>
      <selection pane="bottomLeft" activeCell="W35" sqref="W35"/>
      <selection pane="bottomRight" activeCell="W26" sqref="W26"/>
    </sheetView>
  </sheetViews>
  <sheetFormatPr defaultRowHeight="12.75" outlineLevelCol="1" x14ac:dyDescent="0.2"/>
  <cols>
    <col min="1" max="1" width="60.5703125" style="569" customWidth="1"/>
    <col min="2" max="2" width="20.7109375" style="569" customWidth="1"/>
    <col min="3" max="8" width="9.28515625" style="569" hidden="1" customWidth="1" outlineLevel="1"/>
    <col min="9" max="9" width="10.42578125" style="569" hidden="1" customWidth="1" outlineLevel="1"/>
    <col min="10" max="10" width="11.28515625" style="569" hidden="1" customWidth="1" outlineLevel="1"/>
    <col min="11" max="11" width="11.140625" style="569" hidden="1" customWidth="1" outlineLevel="1"/>
    <col min="12" max="12" width="12.28515625" style="571" hidden="1" customWidth="1" outlineLevel="1"/>
    <col min="13" max="13" width="12.5703125" style="571" hidden="1" customWidth="1" outlineLevel="1"/>
    <col min="14" max="14" width="12.85546875" style="571" hidden="1" customWidth="1" outlineLevel="1"/>
    <col min="15" max="15" width="11.7109375" style="571" hidden="1" customWidth="1" outlineLevel="1"/>
    <col min="16" max="16" width="13.140625" style="571" customWidth="1" collapsed="1"/>
    <col min="17" max="17" width="20.28515625" style="571" bestFit="1" customWidth="1"/>
    <col min="18" max="18" width="9.7109375" style="571" customWidth="1"/>
    <col min="19" max="19" width="18.140625" style="571" bestFit="1" customWidth="1"/>
    <col min="20" max="21" width="12.28515625" style="571" bestFit="1" customWidth="1"/>
    <col min="22" max="22" width="15" style="887" bestFit="1" customWidth="1"/>
    <col min="23" max="23" width="15" style="888" bestFit="1" customWidth="1"/>
    <col min="24" max="25" width="9.7109375" style="889" customWidth="1" outlineLevel="1"/>
    <col min="26" max="26" width="8.85546875" style="889" customWidth="1" outlineLevel="1"/>
    <col min="27" max="27" width="9.140625" style="889" customWidth="1" outlineLevel="1"/>
    <col min="28" max="28" width="9.140625" style="890" customWidth="1" outlineLevel="1"/>
    <col min="29" max="16384" width="9.140625" style="569"/>
  </cols>
  <sheetData>
    <row r="1" spans="1:28" ht="15.75" x14ac:dyDescent="0.25">
      <c r="A1" s="886" t="s">
        <v>574</v>
      </c>
    </row>
    <row r="2" spans="1:28" x14ac:dyDescent="0.2">
      <c r="A2" s="570" t="s">
        <v>244</v>
      </c>
    </row>
    <row r="3" spans="1:28" x14ac:dyDescent="0.2">
      <c r="W3" s="891" t="s">
        <v>575</v>
      </c>
      <c r="X3" s="892" t="s">
        <v>485</v>
      </c>
      <c r="Y3" s="892" t="s">
        <v>576</v>
      </c>
      <c r="Z3" s="892" t="s">
        <v>576</v>
      </c>
      <c r="AA3" s="893" t="s">
        <v>576</v>
      </c>
      <c r="AB3" s="894" t="s">
        <v>576</v>
      </c>
    </row>
    <row r="4" spans="1:28" x14ac:dyDescent="0.2">
      <c r="V4" s="895" t="s">
        <v>577</v>
      </c>
      <c r="W4" s="891" t="s">
        <v>578</v>
      </c>
      <c r="X4" s="892" t="s">
        <v>579</v>
      </c>
      <c r="Y4" s="892" t="s">
        <v>580</v>
      </c>
      <c r="Z4" s="893" t="s">
        <v>317</v>
      </c>
      <c r="AA4" s="893" t="s">
        <v>318</v>
      </c>
      <c r="AB4" s="894" t="s">
        <v>319</v>
      </c>
    </row>
    <row r="5" spans="1:28" s="570" customFormat="1" ht="13.5" thickBot="1" x14ac:dyDescent="0.25">
      <c r="A5" s="674" t="s">
        <v>156</v>
      </c>
      <c r="B5" s="896" t="s">
        <v>26</v>
      </c>
      <c r="C5" s="897" t="s">
        <v>38</v>
      </c>
      <c r="D5" s="897" t="s">
        <v>39</v>
      </c>
      <c r="E5" s="897" t="s">
        <v>40</v>
      </c>
      <c r="F5" s="897" t="s">
        <v>41</v>
      </c>
      <c r="G5" s="897" t="s">
        <v>295</v>
      </c>
      <c r="H5" s="897" t="s">
        <v>43</v>
      </c>
      <c r="I5" s="897" t="s">
        <v>44</v>
      </c>
      <c r="J5" s="897" t="s">
        <v>45</v>
      </c>
      <c r="K5" s="897" t="s">
        <v>168</v>
      </c>
      <c r="L5" s="898" t="s">
        <v>169</v>
      </c>
      <c r="M5" s="898" t="s">
        <v>170</v>
      </c>
      <c r="N5" s="898" t="s">
        <v>171</v>
      </c>
      <c r="O5" s="898" t="s">
        <v>172</v>
      </c>
      <c r="P5" s="898" t="s">
        <v>173</v>
      </c>
      <c r="Q5" s="898" t="s">
        <v>174</v>
      </c>
      <c r="R5" s="898" t="s">
        <v>175</v>
      </c>
      <c r="S5" s="898" t="s">
        <v>176</v>
      </c>
      <c r="T5" s="898" t="s">
        <v>177</v>
      </c>
      <c r="U5" s="898" t="s">
        <v>178</v>
      </c>
      <c r="V5" s="898" t="s">
        <v>294</v>
      </c>
      <c r="W5" s="899" t="s">
        <v>309</v>
      </c>
      <c r="X5" s="900" t="s">
        <v>315</v>
      </c>
      <c r="Y5" s="900" t="s">
        <v>316</v>
      </c>
      <c r="Z5" s="901" t="s">
        <v>317</v>
      </c>
      <c r="AA5" s="901" t="s">
        <v>318</v>
      </c>
      <c r="AB5" s="902" t="s">
        <v>319</v>
      </c>
    </row>
    <row r="6" spans="1:28" s="3" customFormat="1" x14ac:dyDescent="0.2">
      <c r="L6" s="121"/>
      <c r="M6" s="121"/>
      <c r="N6" s="121"/>
      <c r="O6" s="121"/>
      <c r="P6" s="121"/>
      <c r="Q6" s="121"/>
      <c r="R6" s="121"/>
      <c r="S6" s="121"/>
      <c r="T6" s="121"/>
      <c r="U6" s="121"/>
      <c r="V6" s="301"/>
      <c r="W6" s="903"/>
      <c r="X6" s="548"/>
      <c r="Y6" s="548"/>
      <c r="Z6" s="904"/>
      <c r="AA6" s="904"/>
      <c r="AB6" s="905"/>
    </row>
    <row r="7" spans="1:28" s="3" customFormat="1" x14ac:dyDescent="0.2">
      <c r="L7" s="121"/>
      <c r="M7" s="121"/>
      <c r="N7" s="121"/>
      <c r="O7" s="121"/>
      <c r="P7" s="121"/>
      <c r="Q7" s="121"/>
      <c r="R7" s="121"/>
      <c r="S7" s="121"/>
      <c r="T7" s="121"/>
      <c r="U7" s="121"/>
      <c r="V7" s="301"/>
      <c r="W7" s="903"/>
      <c r="X7" s="904"/>
      <c r="Y7" s="904"/>
      <c r="Z7" s="904"/>
      <c r="AA7" s="904"/>
      <c r="AB7" s="905"/>
    </row>
    <row r="8" spans="1:28" s="3" customFormat="1" x14ac:dyDescent="0.2">
      <c r="A8" s="12" t="s">
        <v>245</v>
      </c>
      <c r="L8" s="121"/>
      <c r="M8" s="121"/>
      <c r="N8" s="121"/>
      <c r="O8" s="121"/>
      <c r="P8" s="121"/>
      <c r="Q8" s="121"/>
      <c r="R8" s="121"/>
      <c r="S8" s="121"/>
      <c r="T8" s="121"/>
      <c r="U8" s="121"/>
      <c r="V8" s="301"/>
      <c r="W8" s="903"/>
      <c r="X8" s="904"/>
      <c r="Y8" s="904"/>
      <c r="Z8" s="904"/>
      <c r="AA8" s="904"/>
      <c r="AB8" s="905"/>
    </row>
    <row r="9" spans="1:28" s="3" customFormat="1" x14ac:dyDescent="0.2">
      <c r="L9" s="121"/>
      <c r="M9" s="121"/>
      <c r="N9" s="121"/>
      <c r="O9" s="121"/>
      <c r="P9" s="121"/>
      <c r="Q9" s="121"/>
      <c r="R9" s="121"/>
      <c r="S9" s="121"/>
      <c r="T9" s="121"/>
      <c r="U9" s="121"/>
      <c r="V9" s="301"/>
      <c r="W9" s="903"/>
      <c r="X9" s="904"/>
      <c r="Y9" s="904"/>
      <c r="Z9" s="904"/>
      <c r="AA9" s="904"/>
      <c r="AB9" s="905"/>
    </row>
    <row r="10" spans="1:28" s="3" customFormat="1" x14ac:dyDescent="0.2">
      <c r="A10" s="3" t="s">
        <v>218</v>
      </c>
      <c r="B10" s="3" t="s">
        <v>238</v>
      </c>
      <c r="C10" s="3">
        <f t="shared" ref="C10:U10" si="0">C24/2</f>
        <v>168.5</v>
      </c>
      <c r="D10" s="3">
        <f t="shared" si="0"/>
        <v>148</v>
      </c>
      <c r="E10" s="3">
        <f t="shared" si="0"/>
        <v>149.5</v>
      </c>
      <c r="F10" s="3">
        <f t="shared" si="0"/>
        <v>157</v>
      </c>
      <c r="G10" s="3">
        <f t="shared" si="0"/>
        <v>117.5</v>
      </c>
      <c r="H10" s="3">
        <f t="shared" si="0"/>
        <v>129.5</v>
      </c>
      <c r="I10" s="3">
        <f t="shared" si="0"/>
        <v>134.5</v>
      </c>
      <c r="J10" s="3">
        <f t="shared" si="0"/>
        <v>130</v>
      </c>
      <c r="K10" s="3">
        <f t="shared" si="0"/>
        <v>132.5</v>
      </c>
      <c r="L10" s="121">
        <f t="shared" si="0"/>
        <v>137</v>
      </c>
      <c r="M10" s="121">
        <f t="shared" si="0"/>
        <v>164.5</v>
      </c>
      <c r="N10" s="121">
        <f t="shared" si="0"/>
        <v>164</v>
      </c>
      <c r="O10" s="121">
        <f t="shared" si="0"/>
        <v>176</v>
      </c>
      <c r="P10" s="121">
        <f t="shared" si="0"/>
        <v>190</v>
      </c>
      <c r="Q10" s="121">
        <f t="shared" si="0"/>
        <v>197</v>
      </c>
      <c r="R10" s="121">
        <f t="shared" si="0"/>
        <v>207.5</v>
      </c>
      <c r="S10" s="121">
        <f t="shared" si="0"/>
        <v>211</v>
      </c>
      <c r="T10" s="121">
        <f t="shared" si="0"/>
        <v>214.5</v>
      </c>
      <c r="U10" s="121">
        <f t="shared" si="0"/>
        <v>213.5</v>
      </c>
      <c r="V10" s="301">
        <f>V24/2</f>
        <v>214</v>
      </c>
      <c r="W10" s="903">
        <f>W24/2</f>
        <v>207</v>
      </c>
      <c r="X10" s="904">
        <f>X24/2</f>
        <v>211.5</v>
      </c>
      <c r="Y10" s="904">
        <f>Y24/2</f>
        <v>215.5</v>
      </c>
      <c r="Z10" s="904">
        <f>Z24/2</f>
        <v>222</v>
      </c>
      <c r="AA10" s="904">
        <f t="shared" ref="AA10:AB10" si="1">AA24/2</f>
        <v>229</v>
      </c>
      <c r="AB10" s="905">
        <f t="shared" si="1"/>
        <v>235.5</v>
      </c>
    </row>
    <row r="11" spans="1:28" s="3" customFormat="1" x14ac:dyDescent="0.2">
      <c r="A11" s="3" t="s">
        <v>219</v>
      </c>
      <c r="B11" s="3" t="s">
        <v>238</v>
      </c>
      <c r="C11" s="3">
        <f t="shared" ref="C11:U11" si="2">+C26/2</f>
        <v>-7</v>
      </c>
      <c r="D11" s="3">
        <f t="shared" si="2"/>
        <v>-40.5</v>
      </c>
      <c r="E11" s="3">
        <f t="shared" si="2"/>
        <v>-46.5</v>
      </c>
      <c r="F11" s="3">
        <f t="shared" si="2"/>
        <v>-51</v>
      </c>
      <c r="G11" s="3">
        <f t="shared" si="2"/>
        <v>-71.5</v>
      </c>
      <c r="H11" s="3">
        <f t="shared" si="2"/>
        <v>-60</v>
      </c>
      <c r="I11" s="3">
        <f t="shared" si="2"/>
        <v>-61.5</v>
      </c>
      <c r="J11" s="3">
        <f t="shared" si="2"/>
        <v>-17</v>
      </c>
      <c r="K11" s="3">
        <f t="shared" si="2"/>
        <v>-3.5</v>
      </c>
      <c r="L11" s="121">
        <f t="shared" si="2"/>
        <v>9.5</v>
      </c>
      <c r="M11" s="121">
        <f t="shared" si="2"/>
        <v>-16.5</v>
      </c>
      <c r="N11" s="121">
        <f t="shared" si="2"/>
        <v>-27.5</v>
      </c>
      <c r="O11" s="121">
        <f t="shared" si="2"/>
        <v>-53.5</v>
      </c>
      <c r="P11" s="121">
        <f t="shared" si="2"/>
        <v>-76.5</v>
      </c>
      <c r="Q11" s="121">
        <f>+Q26/2</f>
        <v>-45.5</v>
      </c>
      <c r="R11" s="121">
        <f t="shared" si="2"/>
        <v>-13</v>
      </c>
      <c r="S11" s="121">
        <f t="shared" si="2"/>
        <v>15</v>
      </c>
      <c r="T11" s="121">
        <f t="shared" si="2"/>
        <v>69</v>
      </c>
      <c r="U11" s="121">
        <f t="shared" si="2"/>
        <v>97</v>
      </c>
      <c r="V11" s="301">
        <f>+V26/2</f>
        <v>47.5</v>
      </c>
      <c r="W11" s="903">
        <f>+W26/2</f>
        <v>25.5</v>
      </c>
      <c r="X11" s="904">
        <f>+X26/2</f>
        <v>-6</v>
      </c>
      <c r="Y11" s="904">
        <f>+Y26/2</f>
        <v>-25</v>
      </c>
      <c r="Z11" s="904">
        <f>+Z26/2</f>
        <v>-28.5</v>
      </c>
      <c r="AA11" s="904">
        <f t="shared" ref="AA11:AB11" si="3">+AA26/2</f>
        <v>-9</v>
      </c>
      <c r="AB11" s="905">
        <f t="shared" si="3"/>
        <v>12</v>
      </c>
    </row>
    <row r="12" spans="1:28" s="3" customFormat="1" x14ac:dyDescent="0.2">
      <c r="A12" s="3" t="s">
        <v>221</v>
      </c>
      <c r="B12" s="3" t="s">
        <v>238</v>
      </c>
      <c r="C12" s="3">
        <f t="shared" ref="C12:Y12" si="4">C27/2</f>
        <v>14.08175</v>
      </c>
      <c r="D12" s="3">
        <f t="shared" si="4"/>
        <v>10.487249999999989</v>
      </c>
      <c r="E12" s="3">
        <f t="shared" si="4"/>
        <v>-19.036500000000018</v>
      </c>
      <c r="F12" s="3">
        <f t="shared" si="4"/>
        <v>-23.632499999999993</v>
      </c>
      <c r="G12" s="3">
        <f t="shared" si="4"/>
        <v>-26.426999999999992</v>
      </c>
      <c r="H12" s="3">
        <f t="shared" si="4"/>
        <v>-60.749999999999972</v>
      </c>
      <c r="I12" s="3">
        <f t="shared" si="4"/>
        <v>-56.244374999999991</v>
      </c>
      <c r="J12" s="3">
        <f t="shared" si="4"/>
        <v>-56.345625000000041</v>
      </c>
      <c r="K12" s="3">
        <f t="shared" si="4"/>
        <v>-34.964999999999975</v>
      </c>
      <c r="L12" s="121">
        <f t="shared" si="4"/>
        <v>-27.978749999999991</v>
      </c>
      <c r="M12" s="121">
        <f t="shared" si="4"/>
        <v>-17.347500000000025</v>
      </c>
      <c r="N12" s="121">
        <f t="shared" si="4"/>
        <v>-25.379999999999995</v>
      </c>
      <c r="O12" s="121">
        <f t="shared" si="4"/>
        <v>-48.380625000000009</v>
      </c>
      <c r="P12" s="121">
        <f t="shared" si="4"/>
        <v>-69.626250000000027</v>
      </c>
      <c r="Q12" s="121">
        <f>Q27/2</f>
        <v>-62.370000000000005</v>
      </c>
      <c r="R12" s="121">
        <f t="shared" si="4"/>
        <v>-44.465624999999989</v>
      </c>
      <c r="S12" s="121">
        <f t="shared" si="4"/>
        <v>-31.920749999999941</v>
      </c>
      <c r="T12" s="121">
        <f t="shared" si="4"/>
        <v>-19.129500000000007</v>
      </c>
      <c r="U12" s="121">
        <f t="shared" si="4"/>
        <v>-4.0162499999999568</v>
      </c>
      <c r="V12" s="301">
        <f t="shared" si="4"/>
        <v>-29.09250000000003</v>
      </c>
      <c r="W12" s="903">
        <f t="shared" si="4"/>
        <v>-41.697499999999934</v>
      </c>
      <c r="X12" s="904">
        <f t="shared" si="4"/>
        <v>-58.40625</v>
      </c>
      <c r="Y12" s="904">
        <f t="shared" si="4"/>
        <v>-78.90625</v>
      </c>
      <c r="Z12" s="904">
        <f>Z27/2</f>
        <v>-97.9375</v>
      </c>
      <c r="AA12" s="904">
        <f t="shared" ref="AA12:AB12" si="5">AA27/2</f>
        <v>-113.296875</v>
      </c>
      <c r="AB12" s="905">
        <f t="shared" si="5"/>
        <v>-124.296875</v>
      </c>
    </row>
    <row r="13" spans="1:28" s="3" customFormat="1" x14ac:dyDescent="0.2">
      <c r="A13" s="3" t="s">
        <v>222</v>
      </c>
      <c r="B13" s="3" t="s">
        <v>238</v>
      </c>
      <c r="C13" s="3">
        <f t="shared" ref="C13:AB14" si="6">+C28/2</f>
        <v>163</v>
      </c>
      <c r="D13" s="3">
        <f t="shared" si="6"/>
        <v>0</v>
      </c>
      <c r="E13" s="3">
        <f t="shared" si="6"/>
        <v>0</v>
      </c>
      <c r="F13" s="3">
        <f t="shared" si="6"/>
        <v>16</v>
      </c>
      <c r="G13" s="3">
        <f t="shared" si="6"/>
        <v>172</v>
      </c>
      <c r="H13" s="3">
        <f t="shared" si="6"/>
        <v>0</v>
      </c>
      <c r="I13" s="3">
        <f t="shared" si="6"/>
        <v>0</v>
      </c>
      <c r="J13" s="3">
        <f t="shared" si="6"/>
        <v>147</v>
      </c>
      <c r="K13" s="3">
        <f t="shared" si="6"/>
        <v>12.5</v>
      </c>
      <c r="L13" s="121">
        <f t="shared" si="6"/>
        <v>0</v>
      </c>
      <c r="M13" s="121">
        <f t="shared" si="6"/>
        <v>44</v>
      </c>
      <c r="N13" s="121">
        <f t="shared" si="6"/>
        <v>0</v>
      </c>
      <c r="O13" s="121">
        <f t="shared" si="6"/>
        <v>0</v>
      </c>
      <c r="P13" s="121">
        <f t="shared" si="6"/>
        <v>0</v>
      </c>
      <c r="Q13" s="121">
        <f t="shared" si="6"/>
        <v>0</v>
      </c>
      <c r="R13" s="121">
        <f t="shared" si="6"/>
        <v>0</v>
      </c>
      <c r="S13" s="121">
        <f t="shared" si="6"/>
        <v>0</v>
      </c>
      <c r="T13" s="121">
        <f t="shared" si="6"/>
        <v>0</v>
      </c>
      <c r="U13" s="121">
        <f t="shared" si="6"/>
        <v>0</v>
      </c>
      <c r="V13" s="301">
        <f t="shared" si="6"/>
        <v>0</v>
      </c>
      <c r="W13" s="903">
        <f t="shared" si="6"/>
        <v>0</v>
      </c>
      <c r="X13" s="904">
        <f t="shared" si="6"/>
        <v>0</v>
      </c>
      <c r="Y13" s="904">
        <f t="shared" si="6"/>
        <v>0</v>
      </c>
      <c r="Z13" s="904">
        <f t="shared" si="6"/>
        <v>0</v>
      </c>
      <c r="AA13" s="904">
        <f t="shared" si="6"/>
        <v>0</v>
      </c>
      <c r="AB13" s="905">
        <f t="shared" si="6"/>
        <v>0</v>
      </c>
    </row>
    <row r="14" spans="1:28" s="3" customFormat="1" x14ac:dyDescent="0.2">
      <c r="A14" s="3" t="s">
        <v>247</v>
      </c>
      <c r="B14" s="3" t="s">
        <v>238</v>
      </c>
      <c r="C14" s="3">
        <f t="shared" si="6"/>
        <v>-163</v>
      </c>
      <c r="D14" s="3">
        <f t="shared" si="6"/>
        <v>0</v>
      </c>
      <c r="E14" s="3">
        <f t="shared" si="6"/>
        <v>0</v>
      </c>
      <c r="F14" s="3">
        <f t="shared" si="6"/>
        <v>-16</v>
      </c>
      <c r="G14" s="3">
        <f t="shared" si="6"/>
        <v>-172</v>
      </c>
      <c r="H14" s="3">
        <f t="shared" si="6"/>
        <v>0</v>
      </c>
      <c r="I14" s="3">
        <f t="shared" si="6"/>
        <v>0</v>
      </c>
      <c r="J14" s="3">
        <f t="shared" si="6"/>
        <v>-147</v>
      </c>
      <c r="K14" s="3">
        <f t="shared" si="6"/>
        <v>-12.5</v>
      </c>
      <c r="L14" s="121">
        <f t="shared" si="6"/>
        <v>0</v>
      </c>
      <c r="M14" s="121">
        <f t="shared" si="6"/>
        <v>0</v>
      </c>
      <c r="N14" s="121">
        <f t="shared" si="6"/>
        <v>0</v>
      </c>
      <c r="O14" s="121">
        <f t="shared" si="6"/>
        <v>0</v>
      </c>
      <c r="P14" s="121">
        <f t="shared" si="6"/>
        <v>0</v>
      </c>
      <c r="Q14" s="121">
        <f t="shared" si="6"/>
        <v>0</v>
      </c>
      <c r="R14" s="121">
        <f t="shared" si="6"/>
        <v>0</v>
      </c>
      <c r="S14" s="121">
        <f t="shared" si="6"/>
        <v>0</v>
      </c>
      <c r="T14" s="121">
        <f t="shared" si="6"/>
        <v>0</v>
      </c>
      <c r="U14" s="121">
        <f t="shared" si="6"/>
        <v>0</v>
      </c>
      <c r="V14" s="301">
        <f t="shared" si="6"/>
        <v>0</v>
      </c>
      <c r="W14" s="903">
        <f t="shared" si="6"/>
        <v>0</v>
      </c>
      <c r="X14" s="904">
        <f t="shared" si="6"/>
        <v>0</v>
      </c>
      <c r="Y14" s="904">
        <f t="shared" si="6"/>
        <v>0</v>
      </c>
      <c r="Z14" s="904">
        <f t="shared" si="6"/>
        <v>0</v>
      </c>
      <c r="AA14" s="904">
        <f t="shared" si="6"/>
        <v>0</v>
      </c>
      <c r="AB14" s="905">
        <f t="shared" si="6"/>
        <v>0</v>
      </c>
    </row>
    <row r="15" spans="1:28" s="3" customFormat="1" x14ac:dyDescent="0.2">
      <c r="A15" s="3" t="s">
        <v>246</v>
      </c>
      <c r="B15" s="3" t="s">
        <v>239</v>
      </c>
      <c r="C15" s="3">
        <f>'[1]initial ufl'!D10*-1</f>
        <v>-15</v>
      </c>
      <c r="D15" s="3">
        <f>'[1]initial ufl'!E10*-1</f>
        <v>-15</v>
      </c>
      <c r="E15" s="3">
        <f>'[1]initial ufl'!F10*-1</f>
        <v>-15</v>
      </c>
      <c r="F15" s="3">
        <f>'[1]initial ufl'!G10*-1</f>
        <v>-15</v>
      </c>
      <c r="G15" s="3">
        <f>'[1]initial ufl'!H10*-1</f>
        <v>-15</v>
      </c>
      <c r="H15" s="3">
        <f>'[1]initial ufl'!I10*-1</f>
        <v>-15</v>
      </c>
      <c r="I15" s="3">
        <f>'[1]initial ufl'!J10*-1</f>
        <v>-15</v>
      </c>
      <c r="J15" s="3">
        <f>'[1]initial ufl'!K10*-1</f>
        <v>-15</v>
      </c>
      <c r="K15" s="3">
        <f>'[1]initial ufl'!L10*-1</f>
        <v>-15</v>
      </c>
      <c r="L15" s="121">
        <f>'[1]initial ufl'!M10*-1</f>
        <v>-15</v>
      </c>
      <c r="M15" s="121">
        <f>'[1]initial ufl'!N10*-1</f>
        <v>-15</v>
      </c>
      <c r="N15" s="121">
        <f>'[1]initial ufl'!O10*-1</f>
        <v>-15</v>
      </c>
      <c r="O15" s="121">
        <f>'[1]initial ufl'!P10*-1</f>
        <v>-14</v>
      </c>
      <c r="P15" s="121">
        <f>'[1]initial ufl'!Q10*-1</f>
        <v>0</v>
      </c>
      <c r="Q15" s="121">
        <f>'[1]initial ufl'!R10*-1</f>
        <v>0</v>
      </c>
      <c r="R15" s="121">
        <f>'[1]initial ufl'!S10*-1</f>
        <v>0</v>
      </c>
      <c r="S15" s="121">
        <f>'[1]initial ufl'!T10*-1</f>
        <v>0</v>
      </c>
      <c r="T15" s="121">
        <f>'[1]initial ufl'!U10*-1</f>
        <v>0</v>
      </c>
      <c r="U15" s="121">
        <f>'[1]initial ufl'!V10*-1</f>
        <v>0</v>
      </c>
      <c r="V15" s="301">
        <f>'[1]initial ufl'!W10*-1</f>
        <v>0</v>
      </c>
      <c r="W15" s="903">
        <f>'[1]initial ufl'!X10*-1</f>
        <v>0</v>
      </c>
      <c r="X15" s="904">
        <f>'[1]initial ufl'!Y10*-1</f>
        <v>0</v>
      </c>
      <c r="Y15" s="904">
        <f>'[1]initial ufl'!Z10*-1</f>
        <v>0</v>
      </c>
      <c r="Z15" s="904">
        <f>'[1]initial ufl'!AA10*-1</f>
        <v>0</v>
      </c>
      <c r="AA15" s="904">
        <f>'[1]initial ufl'!AB10*-1</f>
        <v>0</v>
      </c>
      <c r="AB15" s="905">
        <f>'[1]initial ufl'!AC10*-1</f>
        <v>0</v>
      </c>
    </row>
    <row r="16" spans="1:28" s="3" customFormat="1" x14ac:dyDescent="0.2">
      <c r="A16" s="3" t="s">
        <v>342</v>
      </c>
      <c r="B16" s="3" t="s">
        <v>238</v>
      </c>
      <c r="L16" s="121"/>
      <c r="M16" s="121"/>
      <c r="N16" s="121">
        <f t="shared" ref="N16:AB16" si="7">N31/2</f>
        <v>-5.6198347107438016</v>
      </c>
      <c r="O16" s="121">
        <f t="shared" si="7"/>
        <v>-5.6198347107438016</v>
      </c>
      <c r="P16" s="121">
        <f t="shared" si="7"/>
        <v>-5.6198347107438016</v>
      </c>
      <c r="Q16" s="121">
        <f t="shared" si="7"/>
        <v>-5.6198347107438016</v>
      </c>
      <c r="R16" s="121">
        <f t="shared" si="7"/>
        <v>-5.6198347107438016</v>
      </c>
      <c r="S16" s="121">
        <f t="shared" si="7"/>
        <v>-5.6198347107438016</v>
      </c>
      <c r="T16" s="121">
        <f t="shared" si="7"/>
        <v>-5.6198347107438016</v>
      </c>
      <c r="U16" s="121">
        <f t="shared" si="7"/>
        <v>-5.6198347107438016</v>
      </c>
      <c r="V16" s="301">
        <f t="shared" si="7"/>
        <v>-5.6198347107438016</v>
      </c>
      <c r="W16" s="903">
        <f t="shared" si="7"/>
        <v>-5.6198347107438016</v>
      </c>
      <c r="X16" s="904">
        <f t="shared" si="7"/>
        <v>-5.6198347107438016</v>
      </c>
      <c r="Y16" s="904">
        <f t="shared" si="7"/>
        <v>-6.1198347107438016</v>
      </c>
      <c r="Z16" s="904">
        <f t="shared" si="7"/>
        <v>0</v>
      </c>
      <c r="AA16" s="904">
        <f t="shared" si="7"/>
        <v>0</v>
      </c>
      <c r="AB16" s="905">
        <f t="shared" si="7"/>
        <v>0</v>
      </c>
    </row>
    <row r="17" spans="1:28" s="3" customFormat="1" x14ac:dyDescent="0.2">
      <c r="A17" s="3" t="s">
        <v>237</v>
      </c>
      <c r="B17" s="3" t="s">
        <v>240</v>
      </c>
      <c r="C17" s="6">
        <f>[1]contributions!C44</f>
        <v>-4</v>
      </c>
      <c r="D17" s="6">
        <f>[1]contributions!D44</f>
        <v>-7</v>
      </c>
      <c r="E17" s="6">
        <f>[1]contributions!E44</f>
        <v>-6</v>
      </c>
      <c r="F17" s="6">
        <f>[1]contributions!F44</f>
        <v>-4</v>
      </c>
      <c r="G17" s="6">
        <f>[1]contributions!G44</f>
        <v>-3</v>
      </c>
      <c r="H17" s="6">
        <f>[1]contributions!H44</f>
        <v>1</v>
      </c>
      <c r="I17" s="6">
        <f>[1]contributions!I44</f>
        <v>9</v>
      </c>
      <c r="J17" s="6">
        <f>[1]contributions!J44</f>
        <v>13</v>
      </c>
      <c r="K17" s="6">
        <f>[1]contributions!K44</f>
        <v>15</v>
      </c>
      <c r="L17" s="125">
        <f>[1]contributions!L44</f>
        <v>15</v>
      </c>
      <c r="M17" s="125">
        <f>[1]contributions!M44</f>
        <v>16</v>
      </c>
      <c r="N17" s="125">
        <f>[1]contributions!N44</f>
        <v>15</v>
      </c>
      <c r="O17" s="125">
        <f>[1]contributions!O44</f>
        <v>15</v>
      </c>
      <c r="P17" s="125">
        <f>[1]contributions!P44</f>
        <v>18</v>
      </c>
      <c r="Q17" s="125">
        <f>[1]contributions!Q44</f>
        <v>18</v>
      </c>
      <c r="R17" s="125">
        <f>[1]contributions!R44</f>
        <v>15</v>
      </c>
      <c r="S17" s="125">
        <f>[1]contributions!S44</f>
        <v>13</v>
      </c>
      <c r="T17" s="125">
        <f>[1]contributions!T44</f>
        <v>5</v>
      </c>
      <c r="U17" s="125">
        <f>[1]contributions!U44</f>
        <v>-3</v>
      </c>
      <c r="V17" s="906">
        <f>[1]contributions!V44</f>
        <v>-5</v>
      </c>
      <c r="W17" s="907">
        <f>[1]contributions!W44</f>
        <v>-5</v>
      </c>
      <c r="X17" s="908">
        <f>[1]contributions!X44</f>
        <v>-7</v>
      </c>
      <c r="Y17" s="908">
        <f>[1]contributions!Y44</f>
        <v>-7</v>
      </c>
      <c r="Z17" s="908">
        <f>[1]contributions!Z44</f>
        <v>-7</v>
      </c>
      <c r="AA17" s="908">
        <f>[1]contributions!AA44</f>
        <v>-8</v>
      </c>
      <c r="AB17" s="909">
        <f>[1]contributions!AB44</f>
        <v>-8</v>
      </c>
    </row>
    <row r="18" spans="1:28" s="49" customFormat="1" ht="16.5" thickBot="1" x14ac:dyDescent="0.3">
      <c r="A18" s="52" t="s">
        <v>220</v>
      </c>
      <c r="B18" s="296" t="s">
        <v>241</v>
      </c>
      <c r="C18" s="54">
        <f t="shared" ref="C18:K18" si="8">SUM(C10:C17)</f>
        <v>156.58175</v>
      </c>
      <c r="D18" s="54">
        <f t="shared" si="8"/>
        <v>95.987249999999989</v>
      </c>
      <c r="E18" s="54">
        <f t="shared" si="8"/>
        <v>62.963499999999982</v>
      </c>
      <c r="F18" s="54">
        <f t="shared" si="8"/>
        <v>63.367500000000007</v>
      </c>
      <c r="G18" s="54">
        <f t="shared" si="8"/>
        <v>1.5730000000000075</v>
      </c>
      <c r="H18" s="54">
        <f t="shared" si="8"/>
        <v>-5.2499999999999716</v>
      </c>
      <c r="I18" s="54">
        <f t="shared" si="8"/>
        <v>10.755625000000009</v>
      </c>
      <c r="J18" s="54">
        <f t="shared" si="8"/>
        <v>54.654374999999959</v>
      </c>
      <c r="K18" s="54">
        <f t="shared" si="8"/>
        <v>94.035000000000025</v>
      </c>
      <c r="L18" s="126">
        <f t="shared" ref="L18:AB18" si="9">SUM(L10:L17)</f>
        <v>118.52125000000001</v>
      </c>
      <c r="M18" s="126">
        <f t="shared" si="9"/>
        <v>175.65249999999997</v>
      </c>
      <c r="N18" s="126">
        <f t="shared" si="9"/>
        <v>105.5001652892562</v>
      </c>
      <c r="O18" s="126">
        <f t="shared" si="9"/>
        <v>69.499540289256188</v>
      </c>
      <c r="P18" s="126">
        <f t="shared" si="9"/>
        <v>56.25391528925617</v>
      </c>
      <c r="Q18" s="126">
        <f t="shared" si="9"/>
        <v>101.51016528925619</v>
      </c>
      <c r="R18" s="126">
        <f t="shared" si="9"/>
        <v>159.41454028925622</v>
      </c>
      <c r="S18" s="126">
        <f t="shared" si="9"/>
        <v>201.45941528925627</v>
      </c>
      <c r="T18" s="126">
        <f t="shared" si="9"/>
        <v>263.75066528925618</v>
      </c>
      <c r="U18" s="126">
        <f t="shared" si="9"/>
        <v>297.86391528925623</v>
      </c>
      <c r="V18" s="126">
        <f t="shared" si="9"/>
        <v>221.78766528925618</v>
      </c>
      <c r="W18" s="910">
        <f t="shared" si="9"/>
        <v>180.18266528925628</v>
      </c>
      <c r="X18" s="911">
        <f t="shared" si="9"/>
        <v>134.47391528925621</v>
      </c>
      <c r="Y18" s="911">
        <f t="shared" si="9"/>
        <v>98.473915289256198</v>
      </c>
      <c r="Z18" s="911">
        <f t="shared" si="9"/>
        <v>88.5625</v>
      </c>
      <c r="AA18" s="911">
        <f t="shared" si="9"/>
        <v>98.703125</v>
      </c>
      <c r="AB18" s="912">
        <f t="shared" si="9"/>
        <v>115.203125</v>
      </c>
    </row>
    <row r="19" spans="1:28" s="3" customFormat="1" ht="13.5" thickTop="1" x14ac:dyDescent="0.2">
      <c r="L19" s="121"/>
      <c r="M19" s="121"/>
      <c r="N19" s="121"/>
      <c r="O19" s="121"/>
      <c r="P19" s="121"/>
      <c r="Q19" s="121"/>
      <c r="R19" s="121"/>
      <c r="S19" s="121"/>
      <c r="T19" s="121"/>
      <c r="U19" s="121"/>
      <c r="V19" s="301"/>
      <c r="W19" s="903"/>
      <c r="X19" s="904"/>
      <c r="Y19" s="904"/>
      <c r="Z19" s="904"/>
      <c r="AA19" s="904"/>
      <c r="AB19" s="905"/>
    </row>
    <row r="20" spans="1:28" s="3" customFormat="1" x14ac:dyDescent="0.2">
      <c r="I20" s="3" t="s">
        <v>307</v>
      </c>
      <c r="J20" s="3">
        <f t="shared" ref="J20:Q20" si="10">(J18*1000000)+1</f>
        <v>54654375.999999963</v>
      </c>
      <c r="K20" s="3">
        <f t="shared" si="10"/>
        <v>94035001.00000003</v>
      </c>
      <c r="L20" s="3">
        <f t="shared" si="10"/>
        <v>118521251.00000001</v>
      </c>
      <c r="M20" s="3">
        <f t="shared" si="10"/>
        <v>175652500.99999997</v>
      </c>
      <c r="N20" s="3">
        <f t="shared" si="10"/>
        <v>105500166.2892562</v>
      </c>
      <c r="O20" s="3">
        <f t="shared" si="10"/>
        <v>69499541.289256185</v>
      </c>
      <c r="P20" s="3">
        <f t="shared" si="10"/>
        <v>56253916.28925617</v>
      </c>
      <c r="Q20" s="121">
        <f t="shared" si="10"/>
        <v>101510166.2892562</v>
      </c>
      <c r="R20" s="121"/>
      <c r="S20" s="121">
        <f>S18*1000000</f>
        <v>201459415.28925627</v>
      </c>
      <c r="T20" s="121">
        <f>T18*1000000</f>
        <v>263750665.28925619</v>
      </c>
      <c r="U20" s="121">
        <f>U18*1000000</f>
        <v>297863915.28925622</v>
      </c>
      <c r="V20" s="568">
        <f>V18*1000000</f>
        <v>221787665.28925619</v>
      </c>
      <c r="W20" s="568">
        <f>W18*1000000</f>
        <v>180182665.28925627</v>
      </c>
      <c r="X20" s="904"/>
      <c r="Y20" s="904"/>
      <c r="Z20" s="904"/>
      <c r="AA20" s="904"/>
      <c r="AB20" s="905"/>
    </row>
    <row r="21" spans="1:28" s="3" customFormat="1" x14ac:dyDescent="0.2">
      <c r="L21" s="121"/>
      <c r="M21" s="121"/>
      <c r="N21" s="121"/>
      <c r="O21" s="121"/>
      <c r="P21" s="121"/>
      <c r="Q21" s="121"/>
      <c r="R21" s="121"/>
      <c r="S21" s="121"/>
      <c r="T21" s="121"/>
      <c r="U21" s="121"/>
      <c r="V21" s="301"/>
      <c r="W21" s="903"/>
      <c r="X21" s="904"/>
      <c r="Y21" s="904"/>
      <c r="Z21" s="904"/>
      <c r="AA21" s="904"/>
      <c r="AB21" s="905"/>
    </row>
    <row r="22" spans="1:28" s="3" customFormat="1" x14ac:dyDescent="0.2">
      <c r="A22" s="53" t="s">
        <v>242</v>
      </c>
      <c r="L22" s="121"/>
      <c r="M22" s="121"/>
      <c r="N22" s="121"/>
      <c r="O22" s="121"/>
      <c r="P22" s="121"/>
      <c r="Q22" s="121"/>
      <c r="R22" s="121"/>
      <c r="S22" s="121"/>
      <c r="T22" s="121"/>
      <c r="U22" s="121"/>
      <c r="V22" s="301"/>
      <c r="W22" s="903"/>
      <c r="X22" s="904"/>
      <c r="Y22" s="904"/>
      <c r="Z22" s="904"/>
      <c r="AA22" s="904"/>
      <c r="AB22" s="905"/>
    </row>
    <row r="23" spans="1:28" s="3" customFormat="1" x14ac:dyDescent="0.2">
      <c r="L23" s="121"/>
      <c r="M23" s="121"/>
      <c r="N23" s="121"/>
      <c r="O23" s="121"/>
      <c r="P23" s="121"/>
      <c r="Q23" s="121"/>
      <c r="R23" s="121"/>
      <c r="S23" s="121"/>
      <c r="T23" s="121"/>
      <c r="U23" s="121"/>
      <c r="V23" s="301"/>
      <c r="W23" s="903"/>
      <c r="X23" s="904"/>
      <c r="Y23" s="904"/>
      <c r="Z23" s="904"/>
      <c r="AA23" s="904"/>
      <c r="AB23" s="905"/>
    </row>
    <row r="24" spans="1:28" s="3" customFormat="1" x14ac:dyDescent="0.2">
      <c r="A24" s="3" t="s">
        <v>218</v>
      </c>
      <c r="B24" s="3" t="s">
        <v>201</v>
      </c>
      <c r="C24" s="45">
        <f>'[1]Data Input'!C14</f>
        <v>337</v>
      </c>
      <c r="D24" s="45">
        <f>'[1]Data Input'!D14</f>
        <v>296</v>
      </c>
      <c r="E24" s="45">
        <f>'[1]Data Input'!E14</f>
        <v>299</v>
      </c>
      <c r="F24" s="45">
        <f>'[1]Data Input'!F14</f>
        <v>314</v>
      </c>
      <c r="G24" s="45">
        <f>'[1]Data Input'!G14</f>
        <v>235</v>
      </c>
      <c r="H24" s="45">
        <f>'[1]Data Input'!H14</f>
        <v>259</v>
      </c>
      <c r="I24" s="45">
        <f>'[1]Data Input'!I14</f>
        <v>269</v>
      </c>
      <c r="J24" s="45">
        <f>'[1]Data Input'!J14</f>
        <v>260</v>
      </c>
      <c r="K24" s="45">
        <f>'[1]Data Input'!K14</f>
        <v>265</v>
      </c>
      <c r="L24" s="127">
        <f>'[1]Data Input'!L14</f>
        <v>274</v>
      </c>
      <c r="M24" s="127">
        <f>'[1]Data Input'!M14</f>
        <v>329</v>
      </c>
      <c r="N24" s="127">
        <f>'[1]Data Input'!N14</f>
        <v>328</v>
      </c>
      <c r="O24" s="127">
        <f>'[1]Data Input'!O14</f>
        <v>352</v>
      </c>
      <c r="P24" s="127">
        <f>'[1]Data Input'!P14</f>
        <v>380</v>
      </c>
      <c r="Q24" s="127">
        <f>'[1]Data Input'!Q14</f>
        <v>394</v>
      </c>
      <c r="R24" s="127">
        <f>'[1]Data Input'!R14</f>
        <v>415</v>
      </c>
      <c r="S24" s="127">
        <f>'[1]Data Input'!S14</f>
        <v>422</v>
      </c>
      <c r="T24" s="127">
        <f>'[1]Data Input'!T14</f>
        <v>429</v>
      </c>
      <c r="U24" s="127">
        <f>'[1]Data Input'!U14</f>
        <v>427</v>
      </c>
      <c r="V24" s="913">
        <f>'[1]Data Input'!V14</f>
        <v>428</v>
      </c>
      <c r="W24" s="914">
        <f>'[1]Data Input'!W14</f>
        <v>414</v>
      </c>
      <c r="X24" s="915">
        <f>'[1]Data Input'!X14</f>
        <v>423</v>
      </c>
      <c r="Y24" s="915">
        <f>'[1]Data Input'!Y14</f>
        <v>431</v>
      </c>
      <c r="Z24" s="915">
        <f>'[1]Data Input'!Z14</f>
        <v>444</v>
      </c>
      <c r="AA24" s="915">
        <f>'[1]Data Input'!AA14</f>
        <v>458</v>
      </c>
      <c r="AB24" s="916">
        <f>'[1]Data Input'!AB14</f>
        <v>471</v>
      </c>
    </row>
    <row r="25" spans="1:28" s="3" customFormat="1" x14ac:dyDescent="0.2">
      <c r="A25" s="3" t="s">
        <v>225</v>
      </c>
      <c r="B25" s="3" t="s">
        <v>201</v>
      </c>
      <c r="C25" s="3">
        <f>'[1]Data Input'!C31*-1</f>
        <v>-147</v>
      </c>
      <c r="D25" s="3">
        <f>'[1]Data Input'!D31*-1</f>
        <v>-123</v>
      </c>
      <c r="E25" s="3">
        <f>'[1]Data Input'!E31*-1</f>
        <v>-135</v>
      </c>
      <c r="F25" s="3">
        <f>'[1]Data Input'!F31*-1</f>
        <v>-137</v>
      </c>
      <c r="G25" s="3">
        <f>'[1]Data Input'!G31*-1</f>
        <v>-123</v>
      </c>
      <c r="H25" s="3">
        <f>'[1]Data Input'!H31*-1</f>
        <v>-54</v>
      </c>
      <c r="I25" s="3">
        <f>'[1]Data Input'!I31*-1</f>
        <v>-56</v>
      </c>
      <c r="J25" s="3">
        <f>'[1]Data Input'!J31*-1</f>
        <v>-55</v>
      </c>
      <c r="K25" s="3">
        <f>'[1]Data Input'!K31*-1</f>
        <v>-78</v>
      </c>
      <c r="L25" s="121">
        <f>'[1]Data Input'!L31*-1</f>
        <v>-105</v>
      </c>
      <c r="M25" s="121">
        <f>'[1]Data Input'!M31*-1</f>
        <v>-146</v>
      </c>
      <c r="N25" s="121">
        <f>'[1]Data Input'!N31*-1</f>
        <v>-152</v>
      </c>
      <c r="O25" s="121">
        <f>'[1]Data Input'!O31*-1</f>
        <v>-170</v>
      </c>
      <c r="P25" s="121">
        <f>'[1]Data Input'!P31*-1</f>
        <v>-167</v>
      </c>
      <c r="Q25" s="121">
        <f>'[1]Data Input'!Q31*-1</f>
        <v>-169</v>
      </c>
      <c r="R25" s="121">
        <f>'[1]Data Input'!R31*-1</f>
        <v>-207</v>
      </c>
      <c r="S25" s="121">
        <f>'[1]Data Input'!S31*-1</f>
        <v>-233</v>
      </c>
      <c r="T25" s="121">
        <f>'[1]Data Input'!T31*-1</f>
        <v>-256</v>
      </c>
      <c r="U25" s="121">
        <f>'[1]Data Input'!U31*-1</f>
        <v>-237</v>
      </c>
      <c r="V25" s="301">
        <f>'[1]Data Input'!V31*-1</f>
        <v>-248</v>
      </c>
      <c r="W25" s="903">
        <f>'[1]Data Input'!W31*-1</f>
        <v>-241</v>
      </c>
      <c r="X25" s="904">
        <f>'[1]Data Input'!X31*-1</f>
        <v>-242</v>
      </c>
      <c r="Y25" s="904">
        <f>'[1]Data Input'!Y31*-1</f>
        <v>-247</v>
      </c>
      <c r="Z25" s="904">
        <f>'[1]Data Input'!Z31*-1</f>
        <v>-254</v>
      </c>
      <c r="AA25" s="904">
        <f>'[1]Data Input'!AA31*-1</f>
        <v>-261</v>
      </c>
      <c r="AB25" s="905">
        <f>'[1]Data Input'!AB31*-1</f>
        <v>-269</v>
      </c>
    </row>
    <row r="26" spans="1:28" s="3" customFormat="1" x14ac:dyDescent="0.2">
      <c r="A26" s="3" t="s">
        <v>219</v>
      </c>
      <c r="B26" s="3" t="s">
        <v>108</v>
      </c>
      <c r="C26" s="3">
        <f>'[1]experience g(l)'!C90*-1</f>
        <v>-14</v>
      </c>
      <c r="D26" s="3">
        <f>'[1]experience g(l)'!D90*-1</f>
        <v>-81</v>
      </c>
      <c r="E26" s="3">
        <f>'[1]experience g(l)'!E90*-1</f>
        <v>-93</v>
      </c>
      <c r="F26" s="3">
        <f>'[1]experience g(l)'!F90*-1</f>
        <v>-102</v>
      </c>
      <c r="G26" s="3">
        <f>'[1]experience g(l)'!G90*-1</f>
        <v>-143</v>
      </c>
      <c r="H26" s="3">
        <f>'[1]experience g(l)'!H90*-1</f>
        <v>-120</v>
      </c>
      <c r="I26" s="3">
        <f>'[1]experience g(l)'!I90*-1</f>
        <v>-123</v>
      </c>
      <c r="J26" s="3">
        <f>'[1]experience g(l)'!J90*-1</f>
        <v>-34</v>
      </c>
      <c r="K26" s="3">
        <f>'[1]experience g(l)'!K90*-1</f>
        <v>-7</v>
      </c>
      <c r="L26" s="121">
        <f>'[1]experience g(l)'!L90*-1</f>
        <v>19</v>
      </c>
      <c r="M26" s="121">
        <f>'[1]experience g(l)'!M90*-1</f>
        <v>-33</v>
      </c>
      <c r="N26" s="121">
        <f>'[1]experience g(l)'!N90*-1</f>
        <v>-55</v>
      </c>
      <c r="O26" s="121">
        <f>'[1]experience g(l)'!O90*-1</f>
        <v>-107</v>
      </c>
      <c r="P26" s="121">
        <f>'[1]experience g(l)'!P90*-1</f>
        <v>-153</v>
      </c>
      <c r="Q26" s="121">
        <f>'[1]experience g(l)'!Q90*-1</f>
        <v>-91</v>
      </c>
      <c r="R26" s="121">
        <f>'[1]experience g(l)'!R90*-1</f>
        <v>-26</v>
      </c>
      <c r="S26" s="121">
        <f>'[1]experience g(l)'!S90*-1</f>
        <v>30</v>
      </c>
      <c r="T26" s="121">
        <f>'[1]experience g(l)'!T90*-1</f>
        <v>138</v>
      </c>
      <c r="U26" s="121">
        <f>'[1]experience g(l)'!U90*-1</f>
        <v>194</v>
      </c>
      <c r="V26" s="301">
        <f>'[1]experience g(l)'!V90*-1</f>
        <v>95</v>
      </c>
      <c r="W26" s="903">
        <f>'[1]experience g(l)'!W90*-1</f>
        <v>51</v>
      </c>
      <c r="X26" s="904">
        <f>'[1]experience g(l)'!X90*-1</f>
        <v>-12</v>
      </c>
      <c r="Y26" s="904">
        <f>'[1]experience g(l)'!Y90*-1</f>
        <v>-50</v>
      </c>
      <c r="Z26" s="904">
        <f>'[1]experience g(l)'!Z90*-1</f>
        <v>-57</v>
      </c>
      <c r="AA26" s="904">
        <f>'[1]experience g(l)'!AA90*-1</f>
        <v>-18</v>
      </c>
      <c r="AB26" s="905">
        <f>'[1]experience g(l)'!AB90*-1</f>
        <v>24</v>
      </c>
    </row>
    <row r="27" spans="1:28" s="3" customFormat="1" x14ac:dyDescent="0.2">
      <c r="A27" s="3" t="s">
        <v>221</v>
      </c>
      <c r="B27" s="3" t="s">
        <v>224</v>
      </c>
      <c r="C27" s="3">
        <f>[1]Interest!C28</f>
        <v>28.163499999999999</v>
      </c>
      <c r="D27" s="3">
        <f>[1]Interest!D28</f>
        <v>20.974499999999978</v>
      </c>
      <c r="E27" s="3">
        <f>[1]Interest!E28</f>
        <v>-38.073000000000036</v>
      </c>
      <c r="F27" s="3">
        <f>[1]Interest!F28</f>
        <v>-47.264999999999986</v>
      </c>
      <c r="G27" s="3">
        <f>[1]Interest!G28</f>
        <v>-52.853999999999985</v>
      </c>
      <c r="H27" s="3">
        <f>[1]Interest!H28</f>
        <v>-121.49999999999994</v>
      </c>
      <c r="I27" s="3">
        <f>[1]Interest!I28</f>
        <v>-112.48874999999998</v>
      </c>
      <c r="J27" s="3">
        <f>[1]Interest!J28</f>
        <v>-112.69125000000008</v>
      </c>
      <c r="K27" s="3">
        <f>[1]Interest!K28</f>
        <v>-69.92999999999995</v>
      </c>
      <c r="L27" s="121">
        <f>[1]Interest!L28</f>
        <v>-55.957499999999982</v>
      </c>
      <c r="M27" s="121">
        <f>[1]Interest!M28</f>
        <v>-34.69500000000005</v>
      </c>
      <c r="N27" s="121">
        <f>[1]Interest!N28</f>
        <v>-50.759999999999991</v>
      </c>
      <c r="O27" s="121">
        <f>[1]Interest!O28</f>
        <v>-96.761250000000018</v>
      </c>
      <c r="P27" s="121">
        <f>[1]Interest!P28</f>
        <v>-139.25250000000005</v>
      </c>
      <c r="Q27" s="121">
        <f>[1]Interest!Q28</f>
        <v>-124.74000000000001</v>
      </c>
      <c r="R27" s="121">
        <f>[1]Interest!R28</f>
        <v>-88.931249999999977</v>
      </c>
      <c r="S27" s="121">
        <f>[1]Interest!S28</f>
        <v>-63.841499999999883</v>
      </c>
      <c r="T27" s="121">
        <f>[1]Interest!T28</f>
        <v>-38.259000000000015</v>
      </c>
      <c r="U27" s="121">
        <f>[1]Interest!U28</f>
        <v>-8.0324999999999136</v>
      </c>
      <c r="V27" s="301">
        <f>[1]Interest!V28</f>
        <v>-58.185000000000059</v>
      </c>
      <c r="W27" s="903">
        <f>[1]Interest!W28</f>
        <v>-83.394999999999868</v>
      </c>
      <c r="X27" s="904">
        <f>[1]Interest!X28</f>
        <v>-116.8125</v>
      </c>
      <c r="Y27" s="904">
        <f>[1]Interest!Y28</f>
        <v>-157.8125</v>
      </c>
      <c r="Z27" s="904">
        <f>[1]Interest!Z28</f>
        <v>-195.875</v>
      </c>
      <c r="AA27" s="904">
        <f>[1]Interest!AA28</f>
        <v>-226.59375</v>
      </c>
      <c r="AB27" s="905">
        <f>[1]Interest!AB28</f>
        <v>-248.59375</v>
      </c>
    </row>
    <row r="28" spans="1:28" s="3" customFormat="1" x14ac:dyDescent="0.2">
      <c r="A28" s="3" t="s">
        <v>222</v>
      </c>
      <c r="B28" s="3" t="s">
        <v>201</v>
      </c>
      <c r="C28" s="3">
        <f>'[1]Data Input'!C16</f>
        <v>326</v>
      </c>
      <c r="D28" s="3">
        <f>'[1]Data Input'!D16</f>
        <v>0</v>
      </c>
      <c r="E28" s="3">
        <f>'[1]Data Input'!E16</f>
        <v>0</v>
      </c>
      <c r="F28" s="3">
        <f>'[1]Data Input'!F16</f>
        <v>32</v>
      </c>
      <c r="G28" s="3">
        <f>'[1]Data Input'!G16</f>
        <v>344</v>
      </c>
      <c r="H28" s="3">
        <f>'[1]Data Input'!H16</f>
        <v>0</v>
      </c>
      <c r="I28" s="3">
        <f>'[1]Data Input'!I16</f>
        <v>0</v>
      </c>
      <c r="J28" s="3">
        <f>'[1]Data Input'!J16</f>
        <v>294</v>
      </c>
      <c r="K28" s="3">
        <f>'[1]Data Input'!K16</f>
        <v>25</v>
      </c>
      <c r="L28" s="121">
        <f>'[1]Data Input'!L16</f>
        <v>0</v>
      </c>
      <c r="M28" s="121">
        <f>'[1]Data Input'!M16</f>
        <v>88</v>
      </c>
      <c r="N28" s="121">
        <f>'[1]Data Input'!N16</f>
        <v>0</v>
      </c>
      <c r="O28" s="121">
        <f>'[1]Data Input'!O16</f>
        <v>0</v>
      </c>
      <c r="P28" s="121">
        <f>'[1]Data Input'!P16</f>
        <v>0</v>
      </c>
      <c r="Q28" s="121">
        <f>'[1]Data Input'!Q16</f>
        <v>0</v>
      </c>
      <c r="R28" s="121">
        <f>'[1]Data Input'!R16</f>
        <v>0</v>
      </c>
      <c r="S28" s="121">
        <f>'[1]Data Input'!S16</f>
        <v>0</v>
      </c>
      <c r="T28" s="121">
        <f>'[1]Data Input'!T16</f>
        <v>0</v>
      </c>
      <c r="U28" s="121">
        <f>'[1]Data Input'!U16</f>
        <v>0</v>
      </c>
      <c r="V28" s="301">
        <f>'[1]Data Input'!V16</f>
        <v>0</v>
      </c>
      <c r="W28" s="903">
        <f>'[1]Data Input'!W16</f>
        <v>0</v>
      </c>
      <c r="X28" s="904">
        <f>'[1]Data Input'!X16</f>
        <v>0</v>
      </c>
      <c r="Y28" s="904">
        <f>'[1]Data Input'!Y16</f>
        <v>0</v>
      </c>
      <c r="Z28" s="904">
        <f>'[1]Data Input'!Z16</f>
        <v>0</v>
      </c>
      <c r="AA28" s="904">
        <f>'[1]Data Input'!AA16</f>
        <v>0</v>
      </c>
      <c r="AB28" s="905">
        <f>'[1]Data Input'!AB16</f>
        <v>0</v>
      </c>
    </row>
    <row r="29" spans="1:28" s="3" customFormat="1" x14ac:dyDescent="0.2">
      <c r="A29" s="3" t="s">
        <v>223</v>
      </c>
      <c r="B29" s="3" t="s">
        <v>108</v>
      </c>
      <c r="C29" s="6">
        <f>'[1]experience g(l)'!C71*-1</f>
        <v>-326</v>
      </c>
      <c r="D29" s="6">
        <f>'[1]experience g(l)'!D71*-1</f>
        <v>0</v>
      </c>
      <c r="E29" s="6">
        <f>'[1]experience g(l)'!E71*-1</f>
        <v>0</v>
      </c>
      <c r="F29" s="6">
        <f>'[1]experience g(l)'!F71*-1</f>
        <v>-32</v>
      </c>
      <c r="G29" s="6">
        <f>'[1]experience g(l)'!G71*-1</f>
        <v>-344</v>
      </c>
      <c r="H29" s="6">
        <f>'[1]experience g(l)'!H71*-1</f>
        <v>0</v>
      </c>
      <c r="I29" s="6">
        <f>'[1]experience g(l)'!I71*-1</f>
        <v>0</v>
      </c>
      <c r="J29" s="6">
        <f>'[1]experience g(l)'!J71*-1</f>
        <v>-294</v>
      </c>
      <c r="K29" s="6">
        <f>'[1]experience g(l)'!K71*-1</f>
        <v>-25</v>
      </c>
      <c r="L29" s="125">
        <f>'[1]experience g(l)'!L71*-1</f>
        <v>0</v>
      </c>
      <c r="M29" s="125">
        <f>'[1]experience g(l)'!M71*-1</f>
        <v>0</v>
      </c>
      <c r="N29" s="125">
        <f>'[1]experience g(l)'!N71*-1</f>
        <v>0</v>
      </c>
      <c r="O29" s="125">
        <f>'[1]experience g(l)'!O71*-1</f>
        <v>0</v>
      </c>
      <c r="P29" s="125">
        <f>'[1]experience g(l)'!P71*-1</f>
        <v>0</v>
      </c>
      <c r="Q29" s="125">
        <f>'[1]experience g(l)'!Q71*-1</f>
        <v>0</v>
      </c>
      <c r="R29" s="125">
        <f>'[1]experience g(l)'!R71*-1</f>
        <v>0</v>
      </c>
      <c r="S29" s="125">
        <f>'[1]experience g(l)'!S71*-1</f>
        <v>0</v>
      </c>
      <c r="T29" s="125">
        <f>'[1]experience g(l)'!T71*-1</f>
        <v>0</v>
      </c>
      <c r="U29" s="125">
        <f>'[1]experience g(l)'!U71*-1</f>
        <v>0</v>
      </c>
      <c r="V29" s="906">
        <f>'[1]experience g(l)'!V71*-1</f>
        <v>0</v>
      </c>
      <c r="W29" s="907">
        <f>'[1]experience g(l)'!W71*-1</f>
        <v>0</v>
      </c>
      <c r="X29" s="908">
        <f>'[1]experience g(l)'!X71*-1</f>
        <v>0</v>
      </c>
      <c r="Y29" s="908">
        <f>'[1]experience g(l)'!Y71*-1</f>
        <v>0</v>
      </c>
      <c r="Z29" s="908">
        <f>'[1]experience g(l)'!Z71*-1</f>
        <v>0</v>
      </c>
      <c r="AA29" s="908">
        <f>'[1]experience g(l)'!AA71*-1</f>
        <v>0</v>
      </c>
      <c r="AB29" s="909">
        <f>'[1]experience g(l)'!AB71*-1</f>
        <v>0</v>
      </c>
    </row>
    <row r="30" spans="1:28" s="296" customFormat="1" x14ac:dyDescent="0.2">
      <c r="A30" s="296" t="s">
        <v>581</v>
      </c>
      <c r="B30" s="296" t="s">
        <v>31</v>
      </c>
      <c r="C30" s="296">
        <f t="shared" ref="C30:K30" si="11">SUM(C24:C29)</f>
        <v>204.1635</v>
      </c>
      <c r="D30" s="296">
        <f t="shared" si="11"/>
        <v>112.97449999999998</v>
      </c>
      <c r="E30" s="296">
        <f t="shared" si="11"/>
        <v>32.926999999999964</v>
      </c>
      <c r="F30" s="296">
        <f t="shared" si="11"/>
        <v>27.735000000000014</v>
      </c>
      <c r="G30" s="296">
        <f t="shared" si="11"/>
        <v>-83.853999999999985</v>
      </c>
      <c r="H30" s="296">
        <f t="shared" si="11"/>
        <v>-36.499999999999943</v>
      </c>
      <c r="I30" s="296">
        <f t="shared" si="11"/>
        <v>-22.488749999999982</v>
      </c>
      <c r="J30" s="296">
        <f t="shared" si="11"/>
        <v>58.308749999999918</v>
      </c>
      <c r="K30" s="296">
        <f t="shared" si="11"/>
        <v>110.07000000000005</v>
      </c>
      <c r="L30" s="301">
        <f t="shared" ref="L30:AB30" si="12">SUM(L24:L29)</f>
        <v>132.04250000000002</v>
      </c>
      <c r="M30" s="301">
        <f t="shared" si="12"/>
        <v>203.30499999999995</v>
      </c>
      <c r="N30" s="301">
        <f t="shared" si="12"/>
        <v>70.240000000000009</v>
      </c>
      <c r="O30" s="301">
        <f t="shared" si="12"/>
        <v>-21.761250000000018</v>
      </c>
      <c r="P30" s="301">
        <f t="shared" si="12"/>
        <v>-79.252500000000055</v>
      </c>
      <c r="Q30" s="301">
        <f t="shared" si="12"/>
        <v>9.2599999999999909</v>
      </c>
      <c r="R30" s="301">
        <f t="shared" si="12"/>
        <v>93.068750000000023</v>
      </c>
      <c r="S30" s="301">
        <f t="shared" si="12"/>
        <v>155.15850000000012</v>
      </c>
      <c r="T30" s="301">
        <f t="shared" si="12"/>
        <v>272.74099999999999</v>
      </c>
      <c r="U30" s="301">
        <f t="shared" si="12"/>
        <v>375.96750000000009</v>
      </c>
      <c r="V30" s="301">
        <f t="shared" si="12"/>
        <v>216.81499999999994</v>
      </c>
      <c r="W30" s="917">
        <f t="shared" si="12"/>
        <v>140.60500000000013</v>
      </c>
      <c r="X30" s="548">
        <f t="shared" si="12"/>
        <v>52.1875</v>
      </c>
      <c r="Y30" s="548">
        <f t="shared" si="12"/>
        <v>-23.8125</v>
      </c>
      <c r="Z30" s="548">
        <f t="shared" si="12"/>
        <v>-62.875</v>
      </c>
      <c r="AA30" s="548">
        <f t="shared" si="12"/>
        <v>-47.59375</v>
      </c>
      <c r="AB30" s="918">
        <f t="shared" si="12"/>
        <v>-22.59375</v>
      </c>
    </row>
    <row r="31" spans="1:28" x14ac:dyDescent="0.2">
      <c r="A31" s="3" t="s">
        <v>342</v>
      </c>
      <c r="B31" s="3" t="s">
        <v>204</v>
      </c>
      <c r="C31" s="919"/>
      <c r="D31" s="919"/>
      <c r="E31" s="919"/>
      <c r="F31" s="919"/>
      <c r="G31" s="919"/>
      <c r="H31" s="919"/>
      <c r="I31" s="919"/>
      <c r="J31" s="919"/>
      <c r="K31" s="919"/>
      <c r="L31" s="618"/>
      <c r="M31" s="618"/>
      <c r="N31" s="920">
        <f>'[1]year end'!N27</f>
        <v>-11.239669421487603</v>
      </c>
      <c r="O31" s="920">
        <f>'[1]year end'!O27</f>
        <v>-11.239669421487603</v>
      </c>
      <c r="P31" s="920">
        <f>'[1]year end'!P27</f>
        <v>-11.239669421487603</v>
      </c>
      <c r="Q31" s="920">
        <f>'[1]year end'!Q27</f>
        <v>-11.239669421487603</v>
      </c>
      <c r="R31" s="920">
        <f>'[1]year end'!R27</f>
        <v>-11.239669421487603</v>
      </c>
      <c r="S31" s="920">
        <f>'[1]year end'!S27</f>
        <v>-11.239669421487603</v>
      </c>
      <c r="T31" s="920">
        <f>'[1]year end'!T27</f>
        <v>-11.239669421487603</v>
      </c>
      <c r="U31" s="920">
        <f>'[1]year end'!U27</f>
        <v>-11.239669421487603</v>
      </c>
      <c r="V31" s="621">
        <f>'[1]year end'!V27</f>
        <v>-11.239669421487603</v>
      </c>
      <c r="W31" s="921">
        <f>'[1]year end'!W27</f>
        <v>-11.239669421487603</v>
      </c>
      <c r="X31" s="922">
        <f>'[1]year end'!X27</f>
        <v>-11.239669421487603</v>
      </c>
      <c r="Y31" s="922">
        <f>'[1]year end'!Y27</f>
        <v>-12.239669421487603</v>
      </c>
      <c r="Z31" s="922">
        <f>'[1]year end'!Z27</f>
        <v>0</v>
      </c>
      <c r="AA31" s="922">
        <f>'[1]year end'!AA27</f>
        <v>0</v>
      </c>
      <c r="AB31" s="923">
        <f>'[1]year end'!AB27</f>
        <v>0</v>
      </c>
    </row>
    <row r="32" spans="1:28" s="928" customFormat="1" x14ac:dyDescent="0.2">
      <c r="A32" s="8" t="s">
        <v>243</v>
      </c>
      <c r="B32" s="296" t="s">
        <v>31</v>
      </c>
      <c r="C32" s="924">
        <f t="shared" ref="C32:AB32" si="13">SUM(C30:C31)</f>
        <v>204.1635</v>
      </c>
      <c r="D32" s="924">
        <f t="shared" si="13"/>
        <v>112.97449999999998</v>
      </c>
      <c r="E32" s="924">
        <f t="shared" si="13"/>
        <v>32.926999999999964</v>
      </c>
      <c r="F32" s="924">
        <f t="shared" si="13"/>
        <v>27.735000000000014</v>
      </c>
      <c r="G32" s="924">
        <f t="shared" si="13"/>
        <v>-83.853999999999985</v>
      </c>
      <c r="H32" s="924">
        <f t="shared" si="13"/>
        <v>-36.499999999999943</v>
      </c>
      <c r="I32" s="924">
        <f t="shared" si="13"/>
        <v>-22.488749999999982</v>
      </c>
      <c r="J32" s="924">
        <f t="shared" si="13"/>
        <v>58.308749999999918</v>
      </c>
      <c r="K32" s="924">
        <f t="shared" si="13"/>
        <v>110.07000000000005</v>
      </c>
      <c r="L32" s="924">
        <f t="shared" si="13"/>
        <v>132.04250000000002</v>
      </c>
      <c r="M32" s="924">
        <f t="shared" si="13"/>
        <v>203.30499999999995</v>
      </c>
      <c r="N32" s="924">
        <f t="shared" si="13"/>
        <v>59.000330578512404</v>
      </c>
      <c r="O32" s="924">
        <f t="shared" si="13"/>
        <v>-33.000919421487623</v>
      </c>
      <c r="P32" s="924">
        <f t="shared" si="13"/>
        <v>-90.49216942148766</v>
      </c>
      <c r="Q32" s="924">
        <f t="shared" si="13"/>
        <v>-1.9796694214876123</v>
      </c>
      <c r="R32" s="924">
        <f t="shared" si="13"/>
        <v>81.829080578512418</v>
      </c>
      <c r="S32" s="924">
        <f t="shared" si="13"/>
        <v>143.91883057851251</v>
      </c>
      <c r="T32" s="924">
        <f t="shared" si="13"/>
        <v>261.50133057851241</v>
      </c>
      <c r="U32" s="924">
        <f t="shared" si="13"/>
        <v>364.72783057851251</v>
      </c>
      <c r="V32" s="924">
        <f t="shared" si="13"/>
        <v>205.57533057851234</v>
      </c>
      <c r="W32" s="925">
        <f t="shared" si="13"/>
        <v>129.36533057851253</v>
      </c>
      <c r="X32" s="926">
        <f t="shared" si="13"/>
        <v>40.947830578512395</v>
      </c>
      <c r="Y32" s="926">
        <f t="shared" si="13"/>
        <v>-36.052169421487605</v>
      </c>
      <c r="Z32" s="926">
        <f t="shared" si="13"/>
        <v>-62.875</v>
      </c>
      <c r="AA32" s="926">
        <f t="shared" si="13"/>
        <v>-47.59375</v>
      </c>
      <c r="AB32" s="927">
        <f t="shared" si="13"/>
        <v>-22.59375</v>
      </c>
    </row>
  </sheetData>
  <sheetProtection formatCells="0"/>
  <pageMargins left="0.5" right="0.5" top="1" bottom="1" header="0.5" footer="0.5"/>
  <pageSetup paperSize="5" scale="83" orientation="landscape" r:id="rId1"/>
  <headerFooter alignWithMargins="0">
    <oddHeader>&amp;C&amp;A</oddHeader>
    <oddFooter>&amp;L&amp;F&amp;R&amp;D  &amp;T</oddFooter>
  </headerFooter>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B34"/>
  <sheetViews>
    <sheetView zoomScaleNormal="100" workbookViewId="0">
      <pane xSplit="2" ySplit="4" topLeftCell="P5" activePane="bottomRight" state="frozen"/>
      <selection activeCell="W35" sqref="W35"/>
      <selection pane="topRight" activeCell="W35" sqref="W35"/>
      <selection pane="bottomLeft" activeCell="W35" sqref="W35"/>
      <selection pane="bottomRight" activeCell="A20" sqref="A20"/>
    </sheetView>
  </sheetViews>
  <sheetFormatPr defaultRowHeight="12.75" outlineLevelCol="2" x14ac:dyDescent="0.2"/>
  <cols>
    <col min="1" max="1" width="41.140625" style="569" customWidth="1"/>
    <col min="2" max="2" width="20.28515625" style="569" customWidth="1"/>
    <col min="3" max="8" width="11.5703125" style="569" hidden="1" customWidth="1" outlineLevel="1"/>
    <col min="9" max="9" width="11.140625" style="569" hidden="1" customWidth="1" outlineLevel="1"/>
    <col min="10" max="10" width="13" style="569" hidden="1" customWidth="1" outlineLevel="1"/>
    <col min="11" max="11" width="12.85546875" style="569" hidden="1" customWidth="1" outlineLevel="1"/>
    <col min="12" max="12" width="12.85546875" style="571" hidden="1" customWidth="1" outlineLevel="1"/>
    <col min="13" max="13" width="13.5703125" style="571" hidden="1" customWidth="1" outlineLevel="1"/>
    <col min="14" max="15" width="13.7109375" style="571" hidden="1" customWidth="1" outlineLevel="1"/>
    <col min="16" max="16" width="19.140625" style="571" bestFit="1" customWidth="1" collapsed="1"/>
    <col min="17" max="22" width="15.5703125" style="571" bestFit="1" customWidth="1"/>
    <col min="23" max="23" width="17.28515625" style="888" customWidth="1"/>
    <col min="24" max="26" width="15.5703125" style="889" bestFit="1" customWidth="1" outlineLevel="2"/>
    <col min="27" max="27" width="17.28515625" style="889" bestFit="1" customWidth="1" outlineLevel="2"/>
    <col min="28" max="28" width="17.7109375" style="890" customWidth="1" outlineLevel="2"/>
    <col min="29" max="16384" width="9.140625" style="569"/>
  </cols>
  <sheetData>
    <row r="1" spans="1:28" ht="15.75" x14ac:dyDescent="0.25">
      <c r="A1" s="886" t="s">
        <v>574</v>
      </c>
    </row>
    <row r="2" spans="1:28" x14ac:dyDescent="0.2">
      <c r="A2" s="570" t="s">
        <v>195</v>
      </c>
      <c r="W2" s="891" t="s">
        <v>575</v>
      </c>
      <c r="X2" s="892" t="s">
        <v>485</v>
      </c>
      <c r="Y2" s="892" t="s">
        <v>576</v>
      </c>
      <c r="Z2" s="892" t="s">
        <v>576</v>
      </c>
      <c r="AA2" s="929" t="s">
        <v>576</v>
      </c>
      <c r="AB2" s="930" t="s">
        <v>576</v>
      </c>
    </row>
    <row r="3" spans="1:28" x14ac:dyDescent="0.2">
      <c r="V3" s="895" t="s">
        <v>577</v>
      </c>
      <c r="W3" s="891" t="s">
        <v>578</v>
      </c>
      <c r="X3" s="892" t="s">
        <v>579</v>
      </c>
      <c r="Y3" s="892" t="s">
        <v>580</v>
      </c>
      <c r="Z3" s="929" t="s">
        <v>317</v>
      </c>
      <c r="AA3" s="929" t="s">
        <v>318</v>
      </c>
      <c r="AB3" s="930" t="s">
        <v>319</v>
      </c>
    </row>
    <row r="4" spans="1:28" s="570" customFormat="1" ht="13.5" thickBot="1" x14ac:dyDescent="0.25">
      <c r="A4" s="674" t="s">
        <v>582</v>
      </c>
      <c r="B4" s="896" t="s">
        <v>26</v>
      </c>
      <c r="C4" s="897" t="s">
        <v>38</v>
      </c>
      <c r="D4" s="897" t="s">
        <v>39</v>
      </c>
      <c r="E4" s="897" t="s">
        <v>40</v>
      </c>
      <c r="F4" s="897" t="s">
        <v>41</v>
      </c>
      <c r="G4" s="897" t="s">
        <v>295</v>
      </c>
      <c r="H4" s="897" t="s">
        <v>43</v>
      </c>
      <c r="I4" s="897" t="s">
        <v>44</v>
      </c>
      <c r="J4" s="897" t="s">
        <v>45</v>
      </c>
      <c r="K4" s="897" t="s">
        <v>168</v>
      </c>
      <c r="L4" s="898" t="s">
        <v>169</v>
      </c>
      <c r="M4" s="898" t="s">
        <v>170</v>
      </c>
      <c r="N4" s="898" t="s">
        <v>171</v>
      </c>
      <c r="O4" s="898" t="s">
        <v>172</v>
      </c>
      <c r="P4" s="898" t="s">
        <v>173</v>
      </c>
      <c r="Q4" s="898" t="s">
        <v>174</v>
      </c>
      <c r="R4" s="898" t="s">
        <v>175</v>
      </c>
      <c r="S4" s="898" t="s">
        <v>176</v>
      </c>
      <c r="T4" s="898" t="s">
        <v>177</v>
      </c>
      <c r="U4" s="898" t="s">
        <v>178</v>
      </c>
      <c r="V4" s="898" t="s">
        <v>294</v>
      </c>
      <c r="W4" s="899" t="s">
        <v>309</v>
      </c>
      <c r="X4" s="900" t="s">
        <v>315</v>
      </c>
      <c r="Y4" s="900" t="s">
        <v>316</v>
      </c>
      <c r="Z4" s="931" t="s">
        <v>317</v>
      </c>
      <c r="AA4" s="932" t="str">
        <f>+AA3</f>
        <v>2019-20</v>
      </c>
      <c r="AB4" s="933" t="str">
        <f>+AB3</f>
        <v>2020-21</v>
      </c>
    </row>
    <row r="6" spans="1:28" s="3" customFormat="1" x14ac:dyDescent="0.2">
      <c r="A6" s="12" t="s">
        <v>236</v>
      </c>
      <c r="L6" s="121"/>
      <c r="M6" s="121"/>
      <c r="N6" s="121"/>
      <c r="O6" s="121"/>
      <c r="P6" s="121"/>
      <c r="Q6" s="121"/>
      <c r="R6" s="121"/>
      <c r="S6" s="121"/>
      <c r="T6" s="121"/>
      <c r="U6" s="121"/>
      <c r="V6" s="301"/>
      <c r="W6" s="917"/>
      <c r="X6" s="548"/>
      <c r="Y6" s="548"/>
      <c r="Z6" s="904"/>
      <c r="AA6" s="904"/>
      <c r="AB6" s="905"/>
    </row>
    <row r="7" spans="1:28" s="3" customFormat="1" x14ac:dyDescent="0.2">
      <c r="L7" s="121"/>
      <c r="M7" s="121"/>
      <c r="N7" s="121"/>
      <c r="O7" s="121"/>
      <c r="P7" s="121"/>
      <c r="Q7" s="121"/>
      <c r="R7" s="121"/>
      <c r="S7" s="121"/>
      <c r="T7" s="121"/>
      <c r="U7" s="121"/>
      <c r="V7" s="301"/>
      <c r="W7" s="917"/>
      <c r="X7" s="548"/>
      <c r="Y7" s="548"/>
      <c r="Z7" s="904"/>
      <c r="AA7" s="904"/>
      <c r="AB7" s="905"/>
    </row>
    <row r="8" spans="1:28" s="3" customFormat="1" x14ac:dyDescent="0.2">
      <c r="A8" s="3" t="s">
        <v>197</v>
      </c>
      <c r="B8" s="3" t="s">
        <v>238</v>
      </c>
      <c r="C8" s="3">
        <f t="shared" ref="C8:H9" si="0">C27/2</f>
        <v>2841.5</v>
      </c>
      <c r="D8" s="3">
        <f t="shared" si="0"/>
        <v>2829.5</v>
      </c>
      <c r="E8" s="3">
        <f t="shared" si="0"/>
        <v>3131</v>
      </c>
      <c r="F8" s="3">
        <f t="shared" si="0"/>
        <v>3408.5</v>
      </c>
      <c r="G8" s="3">
        <f t="shared" si="0"/>
        <v>3418.5</v>
      </c>
      <c r="H8" s="3">
        <f t="shared" si="0"/>
        <v>3830</v>
      </c>
      <c r="I8" s="3">
        <f>ROUND(I27/2,0)</f>
        <v>3934</v>
      </c>
      <c r="J8" s="3">
        <f t="shared" ref="J8:AB9" si="1">J27/2</f>
        <v>4228</v>
      </c>
      <c r="K8" s="3">
        <f t="shared" si="1"/>
        <v>4443.5</v>
      </c>
      <c r="L8" s="121">
        <f t="shared" si="1"/>
        <v>4703.5</v>
      </c>
      <c r="M8" s="121">
        <f t="shared" si="1"/>
        <v>4938</v>
      </c>
      <c r="N8" s="121">
        <f t="shared" si="1"/>
        <v>5179.5</v>
      </c>
      <c r="O8" s="121">
        <f t="shared" si="1"/>
        <v>5478</v>
      </c>
      <c r="P8" s="121">
        <f t="shared" si="1"/>
        <v>5774</v>
      </c>
      <c r="Q8" s="121">
        <f t="shared" si="1"/>
        <v>6114.5</v>
      </c>
      <c r="R8" s="121">
        <f t="shared" si="1"/>
        <v>6421</v>
      </c>
      <c r="S8" s="121">
        <f t="shared" si="1"/>
        <v>6710</v>
      </c>
      <c r="T8" s="121">
        <f t="shared" si="1"/>
        <v>7066.5</v>
      </c>
      <c r="U8" s="121">
        <f t="shared" si="1"/>
        <v>7196</v>
      </c>
      <c r="V8" s="301">
        <f t="shared" si="1"/>
        <v>7566.5</v>
      </c>
      <c r="W8" s="917">
        <f t="shared" si="1"/>
        <v>7778.5</v>
      </c>
      <c r="X8" s="548">
        <f t="shared" si="1"/>
        <v>8044</v>
      </c>
      <c r="Y8" s="548">
        <f t="shared" si="1"/>
        <v>8306.5</v>
      </c>
      <c r="Z8" s="548">
        <f t="shared" si="1"/>
        <v>8567.5</v>
      </c>
      <c r="AA8" s="548">
        <f t="shared" si="1"/>
        <v>8826</v>
      </c>
      <c r="AB8" s="918">
        <f t="shared" si="1"/>
        <v>9081</v>
      </c>
    </row>
    <row r="9" spans="1:28" s="3" customFormat="1" x14ac:dyDescent="0.2">
      <c r="A9" s="3" t="s">
        <v>198</v>
      </c>
      <c r="B9" s="3" t="s">
        <v>238</v>
      </c>
      <c r="C9" s="3">
        <f t="shared" si="0"/>
        <v>-2740</v>
      </c>
      <c r="D9" s="3">
        <f t="shared" si="0"/>
        <v>-3088</v>
      </c>
      <c r="E9" s="3">
        <f t="shared" si="0"/>
        <v>-3482.5</v>
      </c>
      <c r="F9" s="3">
        <f t="shared" si="0"/>
        <v>-3852.5</v>
      </c>
      <c r="G9" s="3">
        <f t="shared" si="0"/>
        <v>-4321.5</v>
      </c>
      <c r="H9" s="3">
        <f t="shared" si="0"/>
        <v>-4648</v>
      </c>
      <c r="I9" s="3">
        <f>ROUND(I28/2,0)</f>
        <v>-4858</v>
      </c>
      <c r="J9" s="3">
        <f t="shared" si="1"/>
        <v>-4758</v>
      </c>
      <c r="K9" s="3">
        <f t="shared" si="1"/>
        <v>-4857.5</v>
      </c>
      <c r="L9" s="121">
        <f t="shared" si="1"/>
        <v>-4984</v>
      </c>
      <c r="M9" s="121">
        <f t="shared" si="1"/>
        <v>-5315.5</v>
      </c>
      <c r="N9" s="121">
        <f t="shared" si="1"/>
        <v>-5899</v>
      </c>
      <c r="O9" s="121">
        <f t="shared" si="1"/>
        <v>-6516</v>
      </c>
      <c r="P9" s="121">
        <f t="shared" si="1"/>
        <v>-6707</v>
      </c>
      <c r="Q9" s="121">
        <f t="shared" si="1"/>
        <v>-6770.5</v>
      </c>
      <c r="R9" s="121">
        <f t="shared" si="1"/>
        <v>-6879.4</v>
      </c>
      <c r="S9" s="121">
        <f t="shared" si="1"/>
        <v>-6969.9</v>
      </c>
      <c r="T9" s="121">
        <f t="shared" si="1"/>
        <v>-7104</v>
      </c>
      <c r="U9" s="121">
        <f t="shared" si="1"/>
        <v>-7605</v>
      </c>
      <c r="V9" s="301">
        <f t="shared" si="1"/>
        <v>-8185</v>
      </c>
      <c r="W9" s="917">
        <f t="shared" si="1"/>
        <v>-8690</v>
      </c>
      <c r="X9" s="548">
        <f t="shared" si="1"/>
        <v>-9283</v>
      </c>
      <c r="Y9" s="548">
        <f t="shared" si="1"/>
        <v>-9849.5</v>
      </c>
      <c r="Z9" s="548">
        <f t="shared" si="1"/>
        <v>-10356</v>
      </c>
      <c r="AA9" s="548">
        <f t="shared" si="1"/>
        <v>-10789.5</v>
      </c>
      <c r="AB9" s="918">
        <f t="shared" si="1"/>
        <v>-11203.5</v>
      </c>
    </row>
    <row r="10" spans="1:28" s="3" customFormat="1" x14ac:dyDescent="0.2">
      <c r="A10" s="3" t="s">
        <v>196</v>
      </c>
      <c r="B10" s="3" t="s">
        <v>238</v>
      </c>
      <c r="C10" s="3">
        <f>C30/2</f>
        <v>136.08175000000028</v>
      </c>
      <c r="D10" s="3">
        <f>D30/2</f>
        <v>528.56900000000041</v>
      </c>
      <c r="E10" s="3">
        <f>E30/2</f>
        <v>558.53250000000025</v>
      </c>
      <c r="F10" s="3">
        <f>F30/2</f>
        <v>578.40000000000009</v>
      </c>
      <c r="G10" s="3">
        <f>G30/2</f>
        <v>889.47299999999996</v>
      </c>
      <c r="H10" s="3">
        <f>(H30/2)-1</f>
        <v>689.72300000000041</v>
      </c>
      <c r="I10" s="3">
        <f>ROUND(I30/2,0)</f>
        <v>649</v>
      </c>
      <c r="J10" s="68">
        <f t="shared" ref="J10:U10" si="2">J30/2</f>
        <v>213.63300000000027</v>
      </c>
      <c r="K10" s="68">
        <f t="shared" si="2"/>
        <v>70.66800000000012</v>
      </c>
      <c r="L10" s="153">
        <f t="shared" si="2"/>
        <v>-82.310749999999189</v>
      </c>
      <c r="M10" s="153">
        <f t="shared" si="2"/>
        <v>27.841750000000957</v>
      </c>
      <c r="N10" s="153">
        <f t="shared" si="2"/>
        <v>319.96175000000085</v>
      </c>
      <c r="O10" s="153">
        <f t="shared" si="2"/>
        <v>542.08112500000107</v>
      </c>
      <c r="P10" s="153">
        <f t="shared" si="2"/>
        <v>303.95487500000081</v>
      </c>
      <c r="Q10" s="153">
        <f t="shared" si="2"/>
        <v>-62.91512499999908</v>
      </c>
      <c r="R10" s="153">
        <f t="shared" si="2"/>
        <v>-323.48075000000017</v>
      </c>
      <c r="S10" s="153">
        <f t="shared" si="2"/>
        <v>-567.90149999999949</v>
      </c>
      <c r="T10" s="153">
        <f t="shared" si="2"/>
        <v>-787.43099999999913</v>
      </c>
      <c r="U10" s="153">
        <f t="shared" si="2"/>
        <v>-366.9472499999988</v>
      </c>
      <c r="V10" s="934">
        <f>V30/2</f>
        <v>-183.03974999999946</v>
      </c>
      <c r="W10" s="935">
        <f>W30/2</f>
        <v>47.762750000000324</v>
      </c>
      <c r="X10" s="936">
        <f>X30/2</f>
        <v>264.85650000000032</v>
      </c>
      <c r="Y10" s="936">
        <f>Y30/2</f>
        <v>417.95025000000032</v>
      </c>
      <c r="Z10" s="936">
        <f>Z30/2</f>
        <v>489.01275000000032</v>
      </c>
      <c r="AA10" s="936">
        <f t="shared" ref="AA10:AB10" si="3">AA30/2</f>
        <v>493.21587500000032</v>
      </c>
      <c r="AB10" s="937">
        <f t="shared" si="3"/>
        <v>489.41900000000032</v>
      </c>
    </row>
    <row r="11" spans="1:28" s="3" customFormat="1" x14ac:dyDescent="0.2">
      <c r="A11" s="3" t="s">
        <v>203</v>
      </c>
      <c r="B11" s="3" t="s">
        <v>238</v>
      </c>
      <c r="C11" s="938">
        <f>C32/2-1</f>
        <v>37.5</v>
      </c>
      <c r="D11" s="3">
        <f>D32/2</f>
        <v>32.499999999999659</v>
      </c>
      <c r="E11" s="3">
        <f>E32/2</f>
        <v>31.499999999999545</v>
      </c>
      <c r="F11" s="938">
        <f>F32/2+1</f>
        <v>35.499999999999659</v>
      </c>
      <c r="G11" s="938">
        <f>G32/2+1</f>
        <v>60.499999999999829</v>
      </c>
      <c r="H11" s="3">
        <f>H32/2</f>
        <v>78.499999999999972</v>
      </c>
      <c r="I11" s="3">
        <f>ROUND(I32/2,0)</f>
        <v>92</v>
      </c>
      <c r="J11" s="68">
        <f t="shared" ref="J11:U11" si="4">J32/2</f>
        <v>102.77325699999975</v>
      </c>
      <c r="K11" s="68">
        <f t="shared" si="4"/>
        <v>125.94968799999964</v>
      </c>
      <c r="L11" s="153">
        <f t="shared" si="4"/>
        <v>143.97964319499982</v>
      </c>
      <c r="M11" s="153">
        <f t="shared" si="4"/>
        <v>160.91199619499915</v>
      </c>
      <c r="N11" s="153">
        <f t="shared" si="4"/>
        <v>168.6467996792552</v>
      </c>
      <c r="O11" s="153">
        <f t="shared" si="4"/>
        <v>171.91077396851151</v>
      </c>
      <c r="P11" s="153">
        <f t="shared" si="4"/>
        <v>181.0897570777675</v>
      </c>
      <c r="Q11" s="153">
        <f t="shared" si="4"/>
        <v>191.3798233670239</v>
      </c>
      <c r="R11" s="153">
        <f t="shared" si="4"/>
        <v>203.47607456628006</v>
      </c>
      <c r="S11" s="153">
        <f t="shared" si="4"/>
        <v>215.59801759090894</v>
      </c>
      <c r="T11" s="153">
        <f t="shared" si="4"/>
        <v>228.12933496016444</v>
      </c>
      <c r="U11" s="153">
        <f t="shared" si="4"/>
        <v>252.18101006442055</v>
      </c>
      <c r="V11" s="934">
        <f>V32/2</f>
        <v>271.37153350367646</v>
      </c>
      <c r="W11" s="935">
        <f>W32/2</f>
        <v>291.30187129793347</v>
      </c>
      <c r="X11" s="936">
        <f>X32/2</f>
        <v>307.68203658718988</v>
      </c>
      <c r="Y11" s="936">
        <f>Y32/2</f>
        <v>323.56220187644607</v>
      </c>
      <c r="Z11" s="936">
        <f>Z32/2</f>
        <v>346.06220187644607</v>
      </c>
      <c r="AA11" s="936">
        <f t="shared" ref="AA11:AB11" si="5">AA32/2</f>
        <v>369.06220187644607</v>
      </c>
      <c r="AB11" s="937">
        <f t="shared" si="5"/>
        <v>393.06220187644607</v>
      </c>
    </row>
    <row r="12" spans="1:28" s="3" customFormat="1" x14ac:dyDescent="0.2">
      <c r="A12" s="3" t="s">
        <v>248</v>
      </c>
      <c r="B12" s="3" t="s">
        <v>239</v>
      </c>
      <c r="C12" s="3">
        <f>'[1]initial ufl'!D12</f>
        <v>178.5</v>
      </c>
      <c r="D12" s="3">
        <f>'[1]initial ufl'!E12</f>
        <v>163.5</v>
      </c>
      <c r="E12" s="3">
        <f>'[1]initial ufl'!F12</f>
        <v>148.5</v>
      </c>
      <c r="F12" s="3">
        <f>'[1]initial ufl'!G12</f>
        <v>133.5</v>
      </c>
      <c r="G12" s="3">
        <f>'[1]initial ufl'!H12</f>
        <v>118.5</v>
      </c>
      <c r="H12" s="3">
        <f>'[1]initial ufl'!I12</f>
        <v>104</v>
      </c>
      <c r="I12" s="3">
        <f>ROUND('[1]initial ufl'!J12,0)</f>
        <v>89</v>
      </c>
      <c r="J12" s="68">
        <f>ROUND('[1]initial ufl'!K12,0)</f>
        <v>74</v>
      </c>
      <c r="K12" s="68">
        <f>ROUND('[1]initial ufl'!L12,0)</f>
        <v>59</v>
      </c>
      <c r="L12" s="153">
        <f>ROUND('[1]initial ufl'!M12,0)</f>
        <v>44</v>
      </c>
      <c r="M12" s="153">
        <f>ROUND('[1]initial ufl'!N12,0)</f>
        <v>29</v>
      </c>
      <c r="N12" s="153">
        <f>ROUND('[1]initial ufl'!O12,0)</f>
        <v>14</v>
      </c>
      <c r="O12" s="153">
        <f>ROUND('[1]initial ufl'!P12,0)</f>
        <v>0</v>
      </c>
      <c r="P12" s="153">
        <f>ROUND('[1]initial ufl'!Q12,0)</f>
        <v>0</v>
      </c>
      <c r="Q12" s="153">
        <f>ROUND('[1]initial ufl'!R12,0)</f>
        <v>0</v>
      </c>
      <c r="R12" s="153">
        <f>ROUND('[1]initial ufl'!S12,0)</f>
        <v>0</v>
      </c>
      <c r="S12" s="153">
        <f>ROUND('[1]initial ufl'!T12,0)</f>
        <v>0</v>
      </c>
      <c r="T12" s="153">
        <f>ROUND('[1]initial ufl'!U12,0)</f>
        <v>0</v>
      </c>
      <c r="U12" s="153">
        <f>ROUND('[1]initial ufl'!V12,0)</f>
        <v>0</v>
      </c>
      <c r="V12" s="934">
        <f>ROUND('[1]initial ufl'!W12,0)</f>
        <v>0</v>
      </c>
      <c r="W12" s="935">
        <f>ROUND('[1]initial ufl'!X12,0)</f>
        <v>0</v>
      </c>
      <c r="X12" s="936">
        <f>ROUND('[1]initial ufl'!Y12,0)</f>
        <v>0</v>
      </c>
      <c r="Y12" s="936">
        <f>ROUND('[1]initial ufl'!Z12,0)</f>
        <v>0</v>
      </c>
      <c r="Z12" s="936">
        <f>ROUND('[1]initial ufl'!AA12,0)</f>
        <v>0</v>
      </c>
      <c r="AA12" s="936">
        <f>ROUND('[1]initial ufl'!AB12,0)</f>
        <v>0</v>
      </c>
      <c r="AB12" s="937">
        <f>ROUND('[1]initial ufl'!AC12,0)</f>
        <v>0</v>
      </c>
    </row>
    <row r="13" spans="1:28" s="3" customFormat="1" x14ac:dyDescent="0.2">
      <c r="A13" s="3" t="s">
        <v>249</v>
      </c>
      <c r="B13" s="3" t="s">
        <v>240</v>
      </c>
      <c r="C13" s="24">
        <f>[1]contributions!C49*-1</f>
        <v>47.5</v>
      </c>
      <c r="D13" s="24">
        <f>[1]contributions!D49*-1</f>
        <v>72.5</v>
      </c>
      <c r="E13" s="24">
        <f>[1]contributions!E49*-1</f>
        <v>53.5</v>
      </c>
      <c r="F13" s="24">
        <f>[1]contributions!F49*-1</f>
        <v>34.5</v>
      </c>
      <c r="G13" s="24">
        <f>[1]contributions!G49*-1</f>
        <v>12</v>
      </c>
      <c r="H13" s="24">
        <f>[1]contributions!H49*-1</f>
        <v>-37.5</v>
      </c>
      <c r="I13" s="24">
        <f>ROUND([1]contributions!I49*-1,0)</f>
        <v>-124</v>
      </c>
      <c r="J13" s="939">
        <f>[1]contributions!J49*-1</f>
        <v>-142.93319400000001</v>
      </c>
      <c r="K13" s="939">
        <f>[1]contributions!K49*-1</f>
        <v>-147.75676300000003</v>
      </c>
      <c r="L13" s="940">
        <f>[1]contributions!L49*-1</f>
        <v>-147.72680780500002</v>
      </c>
      <c r="M13" s="940">
        <f>[1]contributions!M49*-1</f>
        <v>-130.29445480500002</v>
      </c>
      <c r="N13" s="940">
        <f>[1]contributions!N49*-1</f>
        <v>-110.93981661000001</v>
      </c>
      <c r="O13" s="940">
        <f>[1]contributions!O49*-1</f>
        <v>-87.556007609999995</v>
      </c>
      <c r="P13" s="940">
        <f>[1]contributions!P49*-1</f>
        <v>-64.757189789999984</v>
      </c>
      <c r="Q13" s="940">
        <f>[1]contributions!Q49*-1</f>
        <v>-40.847288789999993</v>
      </c>
      <c r="R13" s="940">
        <f>[1]contributions!R49*-1</f>
        <v>-14.131202879999989</v>
      </c>
      <c r="S13" s="940">
        <f>[1]contributions!S49*-1</f>
        <v>9.6105748553720218</v>
      </c>
      <c r="T13" s="940">
        <f>[1]contributions!T49*-1</f>
        <v>27.261726935372025</v>
      </c>
      <c r="U13" s="940">
        <f>[1]contributions!U49*-1</f>
        <v>33.433236750372018</v>
      </c>
      <c r="V13" s="941">
        <f>[1]contributions!V49*-1</f>
        <v>43.243594900372017</v>
      </c>
      <c r="W13" s="942">
        <f>[1]contributions!W49*-1</f>
        <v>51.793767405372023</v>
      </c>
      <c r="X13" s="943">
        <f>[1]contributions!X49*-1</f>
        <v>51.293767405372023</v>
      </c>
      <c r="Y13" s="943">
        <f>[1]contributions!Y49*-1</f>
        <v>50.793767405372023</v>
      </c>
      <c r="Z13" s="943">
        <f>[1]contributions!Z49*-1</f>
        <v>50.293767405372023</v>
      </c>
      <c r="AA13" s="943">
        <f>[1]contributions!AA49*-1</f>
        <v>48.793767405372023</v>
      </c>
      <c r="AB13" s="944">
        <f>[1]contributions!AB49*-1</f>
        <v>47.793767405372023</v>
      </c>
    </row>
    <row r="14" spans="1:28" s="49" customFormat="1" ht="15.75" x14ac:dyDescent="0.25">
      <c r="A14" s="52" t="s">
        <v>583</v>
      </c>
      <c r="B14" s="296" t="s">
        <v>241</v>
      </c>
      <c r="C14" s="56">
        <f t="shared" ref="C14:K14" si="6">SUM(C8:C13)</f>
        <v>501.08175000000028</v>
      </c>
      <c r="D14" s="56">
        <f t="shared" si="6"/>
        <v>538.56900000000007</v>
      </c>
      <c r="E14" s="56">
        <f t="shared" si="6"/>
        <v>440.5324999999998</v>
      </c>
      <c r="F14" s="56">
        <f t="shared" si="6"/>
        <v>337.89999999999975</v>
      </c>
      <c r="G14" s="56">
        <f t="shared" si="6"/>
        <v>177.47299999999979</v>
      </c>
      <c r="H14" s="56">
        <f t="shared" si="6"/>
        <v>16.723000000000383</v>
      </c>
      <c r="I14" s="56">
        <f t="shared" si="6"/>
        <v>-218</v>
      </c>
      <c r="J14" s="56">
        <f t="shared" si="6"/>
        <v>-282.52693699999998</v>
      </c>
      <c r="K14" s="56">
        <f t="shared" si="6"/>
        <v>-306.13907500000028</v>
      </c>
      <c r="L14" s="145">
        <f t="shared" ref="L14:AB14" si="7">SUM(L8:L13)</f>
        <v>-322.55791460999939</v>
      </c>
      <c r="M14" s="145">
        <f t="shared" si="7"/>
        <v>-290.04070860999991</v>
      </c>
      <c r="N14" s="145">
        <f t="shared" si="7"/>
        <v>-327.83126693074394</v>
      </c>
      <c r="O14" s="145">
        <f t="shared" si="7"/>
        <v>-411.56410864148739</v>
      </c>
      <c r="P14" s="145">
        <f t="shared" si="7"/>
        <v>-512.71255771223173</v>
      </c>
      <c r="Q14" s="145">
        <f t="shared" si="7"/>
        <v>-568.38259042297523</v>
      </c>
      <c r="R14" s="145">
        <f t="shared" si="7"/>
        <v>-592.53587831371965</v>
      </c>
      <c r="S14" s="145">
        <f t="shared" si="7"/>
        <v>-602.59290755371808</v>
      </c>
      <c r="T14" s="145">
        <f t="shared" si="7"/>
        <v>-569.53993810446264</v>
      </c>
      <c r="U14" s="145">
        <f t="shared" si="7"/>
        <v>-490.33300318520622</v>
      </c>
      <c r="V14" s="145">
        <f t="shared" si="7"/>
        <v>-486.92462159595095</v>
      </c>
      <c r="W14" s="945">
        <f t="shared" si="7"/>
        <v>-520.64161129669412</v>
      </c>
      <c r="X14" s="946">
        <f t="shared" si="7"/>
        <v>-615.16769600743771</v>
      </c>
      <c r="Y14" s="946">
        <f t="shared" si="7"/>
        <v>-750.69378071818153</v>
      </c>
      <c r="Z14" s="946">
        <f t="shared" si="7"/>
        <v>-903.13128071818153</v>
      </c>
      <c r="AA14" s="946">
        <f t="shared" si="7"/>
        <v>-1052.4281557181816</v>
      </c>
      <c r="AB14" s="947">
        <f t="shared" si="7"/>
        <v>-1192.2250307181816</v>
      </c>
    </row>
    <row r="15" spans="1:28" s="296" customFormat="1" x14ac:dyDescent="0.2">
      <c r="L15" s="301"/>
      <c r="M15" s="301"/>
      <c r="N15" s="301"/>
      <c r="O15" s="301"/>
      <c r="P15" s="301"/>
      <c r="Q15" s="301"/>
      <c r="R15" s="301"/>
      <c r="S15" s="301"/>
      <c r="T15" s="301"/>
      <c r="U15" s="301"/>
      <c r="V15" s="301"/>
      <c r="W15" s="917"/>
      <c r="X15" s="548"/>
      <c r="Y15" s="548"/>
      <c r="Z15" s="548"/>
      <c r="AA15" s="548"/>
      <c r="AB15" s="918"/>
    </row>
    <row r="16" spans="1:28" s="296" customFormat="1" x14ac:dyDescent="0.2">
      <c r="I16" s="296" t="s">
        <v>307</v>
      </c>
      <c r="J16" s="296">
        <f t="shared" ref="J16:P16" si="8">(J14*1000000)-1</f>
        <v>-282526938</v>
      </c>
      <c r="K16" s="296">
        <f t="shared" si="8"/>
        <v>-306139076.0000003</v>
      </c>
      <c r="L16" s="296">
        <f t="shared" si="8"/>
        <v>-322557915.60999936</v>
      </c>
      <c r="M16" s="296">
        <f t="shared" si="8"/>
        <v>-290040709.6099999</v>
      </c>
      <c r="N16" s="296">
        <f t="shared" si="8"/>
        <v>-327831267.93074393</v>
      </c>
      <c r="O16" s="296">
        <f t="shared" si="8"/>
        <v>-411564109.64148742</v>
      </c>
      <c r="P16" s="296">
        <f t="shared" si="8"/>
        <v>-512712558.71223176</v>
      </c>
      <c r="Q16" s="948">
        <f>(Q14*1000000)</f>
        <v>-568382590.42297518</v>
      </c>
      <c r="R16" s="948">
        <f>(R14*1000000)</f>
        <v>-592535878.31371963</v>
      </c>
      <c r="S16" s="948">
        <f>(S14*1000000)</f>
        <v>-602592907.55371809</v>
      </c>
      <c r="T16" s="948">
        <f>(T14*1000000)</f>
        <v>-569539938.10446262</v>
      </c>
      <c r="U16" s="948">
        <f t="shared" ref="U16:AB16" si="9">(U14*1000000)</f>
        <v>-490333003.18520623</v>
      </c>
      <c r="V16" s="948">
        <f t="shared" si="9"/>
        <v>-486924621.59595096</v>
      </c>
      <c r="W16" s="948">
        <f t="shared" si="9"/>
        <v>-520641611.2966941</v>
      </c>
      <c r="X16" s="948">
        <f t="shared" si="9"/>
        <v>-615167696.00743771</v>
      </c>
      <c r="Y16" s="948">
        <f t="shared" si="9"/>
        <v>-750693780.71818149</v>
      </c>
      <c r="Z16" s="948">
        <f t="shared" si="9"/>
        <v>-903131280.71818149</v>
      </c>
      <c r="AA16" s="948">
        <f t="shared" si="9"/>
        <v>-1052428155.7181816</v>
      </c>
      <c r="AB16" s="948">
        <f t="shared" si="9"/>
        <v>-1192225030.7181816</v>
      </c>
    </row>
    <row r="17" spans="1:28" s="296" customFormat="1" x14ac:dyDescent="0.2">
      <c r="A17" s="12" t="s">
        <v>255</v>
      </c>
      <c r="L17" s="301"/>
      <c r="M17" s="301"/>
      <c r="N17" s="301"/>
      <c r="O17" s="301"/>
      <c r="P17" s="301"/>
      <c r="Q17" s="301"/>
      <c r="R17" s="301"/>
      <c r="S17" s="301"/>
      <c r="T17" s="301"/>
      <c r="U17" s="301"/>
      <c r="V17" s="301"/>
      <c r="W17" s="917"/>
      <c r="X17" s="548"/>
      <c r="Y17" s="548"/>
      <c r="Z17" s="548"/>
      <c r="AA17" s="548"/>
      <c r="AB17" s="918"/>
    </row>
    <row r="18" spans="1:28" s="296" customFormat="1" x14ac:dyDescent="0.2">
      <c r="A18" s="296" t="s">
        <v>252</v>
      </c>
      <c r="B18" s="296" t="s">
        <v>66</v>
      </c>
      <c r="C18" s="949">
        <f>[1]split!$D$14</f>
        <v>389</v>
      </c>
      <c r="D18" s="296">
        <f t="shared" ref="D18:I18" si="10">+C14</f>
        <v>501.08175000000028</v>
      </c>
      <c r="E18" s="296">
        <f t="shared" si="10"/>
        <v>538.56900000000007</v>
      </c>
      <c r="F18" s="296">
        <f t="shared" si="10"/>
        <v>440.5324999999998</v>
      </c>
      <c r="G18" s="296">
        <f t="shared" si="10"/>
        <v>337.89999999999975</v>
      </c>
      <c r="H18" s="296">
        <f t="shared" si="10"/>
        <v>177.47299999999979</v>
      </c>
      <c r="I18" s="296">
        <f t="shared" si="10"/>
        <v>16.723000000000383</v>
      </c>
      <c r="J18" s="296">
        <f t="shared" ref="J18:AB18" si="11">I14-0.314925</f>
        <v>-218.31492499999999</v>
      </c>
      <c r="K18" s="296">
        <f t="shared" si="11"/>
        <v>-282.84186199999999</v>
      </c>
      <c r="L18" s="301">
        <f t="shared" si="11"/>
        <v>-306.45400000000029</v>
      </c>
      <c r="M18" s="301">
        <f t="shared" si="11"/>
        <v>-322.8728396099994</v>
      </c>
      <c r="N18" s="301">
        <f t="shared" si="11"/>
        <v>-290.35563360999993</v>
      </c>
      <c r="O18" s="301">
        <f t="shared" si="11"/>
        <v>-328.14619193074395</v>
      </c>
      <c r="P18" s="301">
        <f t="shared" si="11"/>
        <v>-411.87903364148741</v>
      </c>
      <c r="Q18" s="301">
        <f>P14</f>
        <v>-512.71255771223173</v>
      </c>
      <c r="R18" s="301">
        <f t="shared" si="11"/>
        <v>-568.69751542297524</v>
      </c>
      <c r="S18" s="301">
        <f t="shared" si="11"/>
        <v>-592.85080331371967</v>
      </c>
      <c r="T18" s="301">
        <f t="shared" si="11"/>
        <v>-602.90783255371809</v>
      </c>
      <c r="U18" s="301">
        <f t="shared" si="11"/>
        <v>-569.85486310446265</v>
      </c>
      <c r="V18" s="301">
        <f t="shared" si="11"/>
        <v>-490.64792818520624</v>
      </c>
      <c r="W18" s="917">
        <f t="shared" si="11"/>
        <v>-487.23954659595097</v>
      </c>
      <c r="X18" s="548">
        <f t="shared" si="11"/>
        <v>-520.95653629669414</v>
      </c>
      <c r="Y18" s="548">
        <f t="shared" si="11"/>
        <v>-615.48262100743773</v>
      </c>
      <c r="Z18" s="548">
        <f t="shared" si="11"/>
        <v>-751.00870571818155</v>
      </c>
      <c r="AA18" s="548">
        <f t="shared" si="11"/>
        <v>-903.44620571818155</v>
      </c>
      <c r="AB18" s="918">
        <f t="shared" si="11"/>
        <v>-1052.7430807181815</v>
      </c>
    </row>
    <row r="19" spans="1:28" s="296" customFormat="1" x14ac:dyDescent="0.2">
      <c r="A19" s="296" t="s">
        <v>211</v>
      </c>
      <c r="B19" s="296" t="s">
        <v>227</v>
      </c>
      <c r="C19" s="296">
        <f>'OPSEU expense'!C18</f>
        <v>156.58175</v>
      </c>
      <c r="D19" s="296">
        <f>'OPSEU expense'!D18</f>
        <v>95.987249999999989</v>
      </c>
      <c r="E19" s="296">
        <f>'OPSEU expense'!E18</f>
        <v>62.963499999999982</v>
      </c>
      <c r="F19" s="296">
        <f>'OPSEU expense'!F18</f>
        <v>63.367500000000007</v>
      </c>
      <c r="G19" s="296">
        <f>'OPSEU expense'!G18</f>
        <v>1.5730000000000075</v>
      </c>
      <c r="H19" s="296">
        <f>'OPSEU expense'!H18</f>
        <v>-5.2499999999999716</v>
      </c>
      <c r="I19" s="296">
        <f>'OPSEU expense'!I18</f>
        <v>10.755625000000009</v>
      </c>
      <c r="J19" s="296">
        <f>'OPSEU expense'!J18</f>
        <v>54.654374999999959</v>
      </c>
      <c r="K19" s="296">
        <f>'OPSEU expense'!K18</f>
        <v>94.035000000000025</v>
      </c>
      <c r="L19" s="301">
        <f>'OPSEU expense'!L18</f>
        <v>118.52125000000001</v>
      </c>
      <c r="M19" s="301">
        <f>'OPSEU expense'!M18</f>
        <v>175.65249999999997</v>
      </c>
      <c r="N19" s="301">
        <f>'OPSEU expense'!N18</f>
        <v>105.5001652892562</v>
      </c>
      <c r="O19" s="301">
        <f>'OPSEU expense'!O18</f>
        <v>69.499540289256188</v>
      </c>
      <c r="P19" s="301">
        <f>'OPSEU expense'!P18</f>
        <v>56.25391528925617</v>
      </c>
      <c r="Q19" s="301">
        <f>'OPSEU expense'!Q18</f>
        <v>101.51016528925619</v>
      </c>
      <c r="R19" s="301">
        <f>'OPSEU expense'!R18</f>
        <v>159.41454028925622</v>
      </c>
      <c r="S19" s="301">
        <f>'OPSEU expense'!S18</f>
        <v>201.45941528925627</v>
      </c>
      <c r="T19" s="301">
        <f>'OPSEU expense'!T18</f>
        <v>263.75066528925618</v>
      </c>
      <c r="U19" s="301">
        <f>'OPSEU expense'!U18</f>
        <v>297.86391528925623</v>
      </c>
      <c r="V19" s="301">
        <f>'OPSEU expense'!V18</f>
        <v>221.78766528925618</v>
      </c>
      <c r="W19" s="917">
        <f>'OPSEU expense'!W18</f>
        <v>180.18266528925628</v>
      </c>
      <c r="X19" s="548">
        <f>'OPSEU expense'!X18</f>
        <v>134.47391528925621</v>
      </c>
      <c r="Y19" s="548">
        <f>'OPSEU expense'!Y18</f>
        <v>98.473915289256198</v>
      </c>
      <c r="Z19" s="548">
        <f>'OPSEU expense'!Z18</f>
        <v>88.5625</v>
      </c>
      <c r="AA19" s="548">
        <f>'OPSEU expense'!AA18</f>
        <v>98.703125</v>
      </c>
      <c r="AB19" s="918">
        <f>'OPSEU expense'!AB18</f>
        <v>115.203125</v>
      </c>
    </row>
    <row r="20" spans="1:28" s="296" customFormat="1" x14ac:dyDescent="0.2">
      <c r="A20" s="296" t="s">
        <v>251</v>
      </c>
      <c r="B20" s="296" t="s">
        <v>254</v>
      </c>
      <c r="C20" s="950">
        <f>'[1]Data Input'!C42*-1</f>
        <v>-44</v>
      </c>
      <c r="D20" s="950">
        <f>'[1]Data Input'!D42*-1</f>
        <v>-59</v>
      </c>
      <c r="E20" s="950">
        <f>'[1]Data Input'!E42*-1</f>
        <v>-161</v>
      </c>
      <c r="F20" s="950">
        <f>'[1]Data Input'!F42*-1</f>
        <v>-167</v>
      </c>
      <c r="G20" s="950">
        <f>'[1]Data Input'!G42*-1</f>
        <v>-162</v>
      </c>
      <c r="H20" s="950">
        <f>'[1]Data Input'!H42*-1</f>
        <v>-155</v>
      </c>
      <c r="I20" s="950">
        <f>'[1]Data Input'!I42*-1</f>
        <v>-247</v>
      </c>
      <c r="J20" s="950">
        <f>'[1]Data Input'!J42*-1</f>
        <v>-118.866388</v>
      </c>
      <c r="K20" s="950">
        <f>'[1]Data Input'!K42*-1</f>
        <v>-117.64713800000001</v>
      </c>
      <c r="L20" s="906">
        <f>'[1]Data Input'!L42*-1</f>
        <v>-134.94008961</v>
      </c>
      <c r="M20" s="906">
        <f>'[1]Data Input'!M42*-1</f>
        <v>-143.13529399999999</v>
      </c>
      <c r="N20" s="906">
        <f>'[1]Data Input'!N42*-1</f>
        <v>-143.29072360999999</v>
      </c>
      <c r="O20" s="906">
        <f>'[1]Data Input'!O42*-1</f>
        <v>-153.232382</v>
      </c>
      <c r="P20" s="906">
        <f>'[1]Data Input'!P42*-1</f>
        <v>-157.40236436000001</v>
      </c>
      <c r="Q20" s="906">
        <f>'[1]Data Input'!Q42*-1</f>
        <v>-157.18019799999999</v>
      </c>
      <c r="R20" s="906">
        <f>'[1]Data Input'!R42*-1</f>
        <v>-183.56782817999999</v>
      </c>
      <c r="S20" s="906">
        <f>'[1]Data Input'!S42*-1</f>
        <v>-211.51644452925601</v>
      </c>
      <c r="T20" s="906">
        <f>'[1]Data Input'!T42*-1</f>
        <v>-230.69769583999999</v>
      </c>
      <c r="U20" s="906">
        <f>'[1]Data Input'!U42*-1</f>
        <v>-218.65698037000001</v>
      </c>
      <c r="V20" s="906">
        <f>'[1]Data Input'!V42*-1</f>
        <v>-218.3792837</v>
      </c>
      <c r="W20" s="951">
        <f>'[1]Data Input'!W42*-1</f>
        <v>-213.89965498999999</v>
      </c>
      <c r="X20" s="952">
        <f>'[1]Data Input'!X42*-1</f>
        <v>-229</v>
      </c>
      <c r="Y20" s="952">
        <f>'[1]Data Input'!Y42*-1</f>
        <v>-234</v>
      </c>
      <c r="Z20" s="952">
        <f>'[1]Data Input'!Z42*-1</f>
        <v>-241</v>
      </c>
      <c r="AA20" s="952">
        <f>'[1]Data Input'!AA42*-1</f>
        <v>-248</v>
      </c>
      <c r="AB20" s="953">
        <f>'[1]Data Input'!AB42*-1</f>
        <v>-255</v>
      </c>
    </row>
    <row r="21" spans="1:28" s="8" customFormat="1" x14ac:dyDescent="0.2">
      <c r="A21" s="8" t="s">
        <v>253</v>
      </c>
      <c r="B21" s="8" t="s">
        <v>31</v>
      </c>
      <c r="C21" s="21">
        <f t="shared" ref="C21:I21" si="12">SUM(C18:C20)</f>
        <v>501.58175000000006</v>
      </c>
      <c r="D21" s="21">
        <f t="shared" si="12"/>
        <v>538.0690000000003</v>
      </c>
      <c r="E21" s="21">
        <f t="shared" si="12"/>
        <v>440.53250000000003</v>
      </c>
      <c r="F21" s="21">
        <f t="shared" si="12"/>
        <v>336.89999999999981</v>
      </c>
      <c r="G21" s="21">
        <f t="shared" si="12"/>
        <v>177.47299999999973</v>
      </c>
      <c r="H21" s="21">
        <f t="shared" si="12"/>
        <v>17.222999999999814</v>
      </c>
      <c r="I21" s="21">
        <f t="shared" si="12"/>
        <v>-219.52137499999961</v>
      </c>
      <c r="J21" s="21">
        <f t="shared" ref="J21:AB21" si="13">SUM(J18:J20)</f>
        <v>-282.52693800000003</v>
      </c>
      <c r="K21" s="21">
        <f t="shared" si="13"/>
        <v>-306.45399999999995</v>
      </c>
      <c r="L21" s="140">
        <f t="shared" si="13"/>
        <v>-322.87283961000026</v>
      </c>
      <c r="M21" s="140">
        <f t="shared" si="13"/>
        <v>-290.35563360999942</v>
      </c>
      <c r="N21" s="140">
        <f t="shared" si="13"/>
        <v>-328.14619193074373</v>
      </c>
      <c r="O21" s="140">
        <f t="shared" si="13"/>
        <v>-411.87903364148781</v>
      </c>
      <c r="P21" s="140">
        <f t="shared" si="13"/>
        <v>-513.02748271223129</v>
      </c>
      <c r="Q21" s="140">
        <f t="shared" si="13"/>
        <v>-568.38259042297557</v>
      </c>
      <c r="R21" s="140">
        <f t="shared" si="13"/>
        <v>-592.85080331371898</v>
      </c>
      <c r="S21" s="140">
        <f t="shared" si="13"/>
        <v>-602.90783255371935</v>
      </c>
      <c r="T21" s="140">
        <f t="shared" si="13"/>
        <v>-569.85486310446186</v>
      </c>
      <c r="U21" s="140">
        <f t="shared" si="13"/>
        <v>-490.64792818520641</v>
      </c>
      <c r="V21" s="140">
        <f t="shared" si="13"/>
        <v>-487.23954659595006</v>
      </c>
      <c r="W21" s="954">
        <f t="shared" si="13"/>
        <v>-520.95653629669459</v>
      </c>
      <c r="X21" s="955">
        <f t="shared" si="13"/>
        <v>-615.48262100743796</v>
      </c>
      <c r="Y21" s="955">
        <f t="shared" si="13"/>
        <v>-751.00870571818155</v>
      </c>
      <c r="Z21" s="955">
        <f t="shared" si="13"/>
        <v>-903.44620571818155</v>
      </c>
      <c r="AA21" s="955">
        <f t="shared" si="13"/>
        <v>-1052.7430807181815</v>
      </c>
      <c r="AB21" s="956">
        <f t="shared" si="13"/>
        <v>-1192.5399557181815</v>
      </c>
    </row>
    <row r="22" spans="1:28" s="296" customFormat="1" x14ac:dyDescent="0.2">
      <c r="A22" s="296" t="s">
        <v>217</v>
      </c>
      <c r="C22" s="296">
        <f t="shared" ref="C22:X22" si="14">C21-C14</f>
        <v>0.49999999999977263</v>
      </c>
      <c r="D22" s="296">
        <f t="shared" si="14"/>
        <v>-0.49999999999977263</v>
      </c>
      <c r="E22" s="296">
        <f t="shared" si="14"/>
        <v>0</v>
      </c>
      <c r="F22" s="296">
        <f t="shared" si="14"/>
        <v>-0.99999999999994316</v>
      </c>
      <c r="G22" s="296">
        <f t="shared" si="14"/>
        <v>0</v>
      </c>
      <c r="H22" s="296">
        <f t="shared" si="14"/>
        <v>0.49999999999943157</v>
      </c>
      <c r="I22" s="296">
        <f t="shared" si="14"/>
        <v>-1.5213749999996082</v>
      </c>
      <c r="J22" s="296">
        <f t="shared" si="14"/>
        <v>-1.0000000543186616E-6</v>
      </c>
      <c r="K22" s="296">
        <f t="shared" si="14"/>
        <v>-0.31492499999967549</v>
      </c>
      <c r="L22" s="301">
        <f t="shared" si="14"/>
        <v>-0.3149250000008692</v>
      </c>
      <c r="M22" s="301">
        <f t="shared" si="14"/>
        <v>-0.31492499999950496</v>
      </c>
      <c r="N22" s="301">
        <f t="shared" si="14"/>
        <v>-0.31492499999978918</v>
      </c>
      <c r="O22" s="301">
        <f t="shared" si="14"/>
        <v>-0.31492500000041446</v>
      </c>
      <c r="P22" s="301">
        <f t="shared" si="14"/>
        <v>-0.31492499999956181</v>
      </c>
      <c r="Q22" s="301">
        <f t="shared" si="14"/>
        <v>0</v>
      </c>
      <c r="R22" s="301">
        <f t="shared" si="14"/>
        <v>-0.31492499999933443</v>
      </c>
      <c r="S22" s="301">
        <f t="shared" si="14"/>
        <v>-0.31492500000126711</v>
      </c>
      <c r="T22" s="301">
        <f t="shared" si="14"/>
        <v>-0.31492499999922074</v>
      </c>
      <c r="U22" s="301">
        <f t="shared" si="14"/>
        <v>-0.31492500000018708</v>
      </c>
      <c r="V22" s="301">
        <f t="shared" si="14"/>
        <v>-0.31492499999910706</v>
      </c>
      <c r="W22" s="917">
        <f t="shared" si="14"/>
        <v>-0.3149250000004713</v>
      </c>
      <c r="X22" s="548">
        <f t="shared" si="14"/>
        <v>-0.31492500000024393</v>
      </c>
      <c r="Y22" s="548">
        <f>Y21-Y14</f>
        <v>-0.31492500000001655</v>
      </c>
      <c r="Z22" s="548">
        <f>Z21-Z14</f>
        <v>-0.31492500000001655</v>
      </c>
      <c r="AA22" s="548">
        <f t="shared" ref="AA22:AB22" si="15">AA21-AA14</f>
        <v>-0.31492499999990287</v>
      </c>
      <c r="AB22" s="918">
        <f t="shared" si="15"/>
        <v>-0.31492499999990287</v>
      </c>
    </row>
    <row r="23" spans="1:28" s="296" customFormat="1" x14ac:dyDescent="0.2">
      <c r="L23" s="301"/>
      <c r="M23" s="301"/>
      <c r="N23" s="301"/>
      <c r="O23" s="301"/>
      <c r="P23" s="301"/>
      <c r="Q23" s="301"/>
      <c r="R23" s="301"/>
      <c r="S23" s="301"/>
      <c r="T23" s="301"/>
      <c r="U23" s="301"/>
      <c r="V23" s="301"/>
      <c r="W23" s="917"/>
      <c r="X23" s="548"/>
      <c r="Y23" s="548"/>
      <c r="Z23" s="548"/>
      <c r="AA23" s="548"/>
      <c r="AB23" s="918"/>
    </row>
    <row r="24" spans="1:28" s="296" customFormat="1" x14ac:dyDescent="0.2">
      <c r="J24" s="957"/>
      <c r="K24" s="957"/>
      <c r="L24" s="934"/>
      <c r="M24" s="934"/>
      <c r="N24" s="934"/>
      <c r="O24" s="934"/>
      <c r="P24" s="934"/>
      <c r="Q24" s="934"/>
      <c r="R24" s="934"/>
      <c r="S24" s="934"/>
      <c r="T24" s="934"/>
      <c r="U24" s="934"/>
      <c r="V24" s="934"/>
      <c r="W24" s="935"/>
      <c r="X24" s="936"/>
      <c r="Y24" s="936"/>
      <c r="Z24" s="548"/>
      <c r="AA24" s="548"/>
      <c r="AB24" s="918"/>
    </row>
    <row r="25" spans="1:28" s="3" customFormat="1" x14ac:dyDescent="0.2">
      <c r="A25" s="575" t="s">
        <v>194</v>
      </c>
      <c r="L25" s="121"/>
      <c r="M25" s="121"/>
      <c r="N25" s="121"/>
      <c r="O25" s="121"/>
      <c r="P25" s="121"/>
      <c r="Q25" s="121"/>
      <c r="R25" s="121"/>
      <c r="S25" s="121"/>
      <c r="T25" s="121"/>
      <c r="U25" s="121"/>
      <c r="V25" s="301"/>
      <c r="W25" s="917"/>
      <c r="X25" s="548"/>
      <c r="Y25" s="548"/>
      <c r="Z25" s="904"/>
      <c r="AA25" s="904"/>
      <c r="AB25" s="905"/>
    </row>
    <row r="26" spans="1:28" s="3" customFormat="1" x14ac:dyDescent="0.2">
      <c r="L26" s="121"/>
      <c r="M26" s="121"/>
      <c r="N26" s="121"/>
      <c r="O26" s="121"/>
      <c r="P26" s="121"/>
      <c r="Q26" s="121"/>
      <c r="R26" s="121"/>
      <c r="S26" s="121"/>
      <c r="T26" s="121"/>
      <c r="U26" s="121"/>
      <c r="V26" s="301"/>
      <c r="W26" s="917"/>
      <c r="X26" s="548"/>
      <c r="Y26" s="548"/>
      <c r="Z26" s="904"/>
      <c r="AA26" s="904"/>
      <c r="AB26" s="905"/>
    </row>
    <row r="27" spans="1:28" s="3" customFormat="1" x14ac:dyDescent="0.2">
      <c r="A27" s="3" t="s">
        <v>197</v>
      </c>
      <c r="B27" s="3" t="s">
        <v>201</v>
      </c>
      <c r="C27" s="3">
        <f>'[1]Data Input'!C12</f>
        <v>5683</v>
      </c>
      <c r="D27" s="3">
        <f>'[1]Data Input'!D12</f>
        <v>5659</v>
      </c>
      <c r="E27" s="3">
        <f>'[1]Data Input'!E12</f>
        <v>6262</v>
      </c>
      <c r="F27" s="3">
        <f>'[1]Data Input'!F12</f>
        <v>6817</v>
      </c>
      <c r="G27" s="3">
        <f>'[1]Data Input'!G12</f>
        <v>6837</v>
      </c>
      <c r="H27" s="3">
        <f>'[1]Data Input'!H12</f>
        <v>7660</v>
      </c>
      <c r="I27" s="3">
        <f>'[1]Data Input'!I12</f>
        <v>7867</v>
      </c>
      <c r="J27" s="3">
        <f>'[1]Data Input'!J12</f>
        <v>8456</v>
      </c>
      <c r="K27" s="3">
        <f>'[1]Data Input'!K12</f>
        <v>8887</v>
      </c>
      <c r="L27" s="121">
        <f>'[1]Data Input'!L12</f>
        <v>9407</v>
      </c>
      <c r="M27" s="121">
        <f>'[1]Data Input'!M12</f>
        <v>9876</v>
      </c>
      <c r="N27" s="121">
        <f>'[1]Data Input'!N12</f>
        <v>10359</v>
      </c>
      <c r="O27" s="121">
        <f>'[1]Data Input'!O12</f>
        <v>10956</v>
      </c>
      <c r="P27" s="121">
        <f>'[1]Data Input'!P12</f>
        <v>11548</v>
      </c>
      <c r="Q27" s="121">
        <f>'[1]Data Input'!Q12</f>
        <v>12229</v>
      </c>
      <c r="R27" s="121">
        <f>'[1]Data Input'!R12</f>
        <v>12842</v>
      </c>
      <c r="S27" s="121">
        <f>'[1]Data Input'!S12</f>
        <v>13420</v>
      </c>
      <c r="T27" s="121">
        <f>'[1]Data Input'!T12</f>
        <v>14133</v>
      </c>
      <c r="U27" s="121">
        <f>'[1]Data Input'!U12</f>
        <v>14392</v>
      </c>
      <c r="V27" s="301">
        <f>'[1]Data Input'!V12</f>
        <v>15133</v>
      </c>
      <c r="W27" s="917">
        <f>'[1]Data Input'!W12</f>
        <v>15557</v>
      </c>
      <c r="X27" s="548">
        <f>'[1]Data Input'!X12</f>
        <v>16088</v>
      </c>
      <c r="Y27" s="548">
        <f>'[1]Data Input'!Y12</f>
        <v>16613</v>
      </c>
      <c r="Z27" s="548">
        <f>'[1]Data Input'!Z12</f>
        <v>17135</v>
      </c>
      <c r="AA27" s="548">
        <f>'[1]Data Input'!AA12</f>
        <v>17652</v>
      </c>
      <c r="AB27" s="918">
        <f>'[1]Data Input'!AB12</f>
        <v>18162</v>
      </c>
    </row>
    <row r="28" spans="1:28" s="3" customFormat="1" x14ac:dyDescent="0.2">
      <c r="A28" s="3" t="s">
        <v>198</v>
      </c>
      <c r="B28" s="3" t="s">
        <v>201</v>
      </c>
      <c r="C28" s="6">
        <f>'[1]Data Input'!C28*-1</f>
        <v>-5480</v>
      </c>
      <c r="D28" s="6">
        <f>'[1]Data Input'!D28*-1</f>
        <v>-6176</v>
      </c>
      <c r="E28" s="6">
        <f>'[1]Data Input'!E28*-1</f>
        <v>-6965</v>
      </c>
      <c r="F28" s="6">
        <f>'[1]Data Input'!F28*-1</f>
        <v>-7705</v>
      </c>
      <c r="G28" s="6">
        <f>'[1]Data Input'!G28*-1</f>
        <v>-8643</v>
      </c>
      <c r="H28" s="6">
        <f>'[1]Data Input'!H28*-1</f>
        <v>-9296</v>
      </c>
      <c r="I28" s="6">
        <f>'[1]Data Input'!I28*-1</f>
        <v>-9716</v>
      </c>
      <c r="J28" s="6">
        <f>'[1]Data Input'!J28*-1</f>
        <v>-9516</v>
      </c>
      <c r="K28" s="6">
        <f>'[1]Data Input'!K28*-1</f>
        <v>-9715</v>
      </c>
      <c r="L28" s="125">
        <f>'[1]Data Input'!L28*-1</f>
        <v>-9968</v>
      </c>
      <c r="M28" s="125">
        <f>'[1]Data Input'!M28*-1</f>
        <v>-10631</v>
      </c>
      <c r="N28" s="125">
        <f>'[1]Data Input'!N28*-1</f>
        <v>-11798</v>
      </c>
      <c r="O28" s="125">
        <f>'[1]Data Input'!O28*-1</f>
        <v>-13032</v>
      </c>
      <c r="P28" s="125">
        <f>'[1]Data Input'!P28*-1</f>
        <v>-13414</v>
      </c>
      <c r="Q28" s="125">
        <f>'[1]Data Input'!Q28*-1</f>
        <v>-13541</v>
      </c>
      <c r="R28" s="125">
        <f>'[1]Data Input'!R28*-1</f>
        <v>-13758.8</v>
      </c>
      <c r="S28" s="125">
        <f>'[1]Data Input'!S28*-1</f>
        <v>-13939.8</v>
      </c>
      <c r="T28" s="125">
        <f>'[1]Data Input'!T28*-1</f>
        <v>-14208</v>
      </c>
      <c r="U28" s="125">
        <f>'[1]Data Input'!U28*-1</f>
        <v>-15210</v>
      </c>
      <c r="V28" s="906">
        <f>'[1]Data Input'!V28*-1</f>
        <v>-16370</v>
      </c>
      <c r="W28" s="951">
        <f>'[1]Data Input'!W28*-1</f>
        <v>-17380</v>
      </c>
      <c r="X28" s="952">
        <f>'[1]Data Input'!X28*-1</f>
        <v>-18566</v>
      </c>
      <c r="Y28" s="952">
        <f>'[1]Data Input'!Y28*-1</f>
        <v>-19699</v>
      </c>
      <c r="Z28" s="952">
        <f>'[1]Data Input'!Z28*-1</f>
        <v>-20712</v>
      </c>
      <c r="AA28" s="952">
        <f>'[1]Data Input'!AA28*-1</f>
        <v>-21579</v>
      </c>
      <c r="AB28" s="953">
        <f>'[1]Data Input'!AB28*-1</f>
        <v>-22407</v>
      </c>
    </row>
    <row r="29" spans="1:28" s="8" customFormat="1" x14ac:dyDescent="0.2">
      <c r="A29" s="8" t="s">
        <v>202</v>
      </c>
      <c r="B29" s="8" t="s">
        <v>31</v>
      </c>
      <c r="C29" s="8">
        <f t="shared" ref="C29:K29" si="16">SUM(C27:C28)</f>
        <v>203</v>
      </c>
      <c r="D29" s="8">
        <f t="shared" si="16"/>
        <v>-517</v>
      </c>
      <c r="E29" s="8">
        <f t="shared" si="16"/>
        <v>-703</v>
      </c>
      <c r="F29" s="8">
        <f t="shared" si="16"/>
        <v>-888</v>
      </c>
      <c r="G29" s="8">
        <f t="shared" si="16"/>
        <v>-1806</v>
      </c>
      <c r="H29" s="8">
        <f t="shared" si="16"/>
        <v>-1636</v>
      </c>
      <c r="I29" s="8">
        <f t="shared" si="16"/>
        <v>-1849</v>
      </c>
      <c r="J29" s="8">
        <f t="shared" si="16"/>
        <v>-1060</v>
      </c>
      <c r="K29" s="8">
        <f t="shared" si="16"/>
        <v>-828</v>
      </c>
      <c r="L29" s="119">
        <f t="shared" ref="L29:AB29" si="17">SUM(L27:L28)</f>
        <v>-561</v>
      </c>
      <c r="M29" s="119">
        <f t="shared" si="17"/>
        <v>-755</v>
      </c>
      <c r="N29" s="119">
        <f t="shared" si="17"/>
        <v>-1439</v>
      </c>
      <c r="O29" s="119">
        <f t="shared" si="17"/>
        <v>-2076</v>
      </c>
      <c r="P29" s="119">
        <f t="shared" si="17"/>
        <v>-1866</v>
      </c>
      <c r="Q29" s="119">
        <f t="shared" si="17"/>
        <v>-1312</v>
      </c>
      <c r="R29" s="119">
        <f t="shared" si="17"/>
        <v>-916.79999999999927</v>
      </c>
      <c r="S29" s="119">
        <f t="shared" si="17"/>
        <v>-519.79999999999927</v>
      </c>
      <c r="T29" s="119">
        <f t="shared" si="17"/>
        <v>-75</v>
      </c>
      <c r="U29" s="119">
        <f t="shared" si="17"/>
        <v>-818</v>
      </c>
      <c r="V29" s="119">
        <f t="shared" si="17"/>
        <v>-1237</v>
      </c>
      <c r="W29" s="958">
        <f t="shared" si="17"/>
        <v>-1823</v>
      </c>
      <c r="X29" s="319">
        <f t="shared" si="17"/>
        <v>-2478</v>
      </c>
      <c r="Y29" s="319">
        <f t="shared" si="17"/>
        <v>-3086</v>
      </c>
      <c r="Z29" s="319">
        <f t="shared" si="17"/>
        <v>-3577</v>
      </c>
      <c r="AA29" s="319">
        <f t="shared" si="17"/>
        <v>-3927</v>
      </c>
      <c r="AB29" s="959">
        <f t="shared" si="17"/>
        <v>-4245</v>
      </c>
    </row>
    <row r="30" spans="1:28" s="3" customFormat="1" x14ac:dyDescent="0.2">
      <c r="A30" s="3" t="s">
        <v>196</v>
      </c>
      <c r="B30" s="3" t="s">
        <v>108</v>
      </c>
      <c r="C30" s="6">
        <f>'[1]experience g(l)'!C98</f>
        <v>272.16350000000057</v>
      </c>
      <c r="D30" s="6">
        <f>'[1]experience g(l)'!D98</f>
        <v>1057.1380000000008</v>
      </c>
      <c r="E30" s="6">
        <f>'[1]experience g(l)'!E98</f>
        <v>1117.0650000000005</v>
      </c>
      <c r="F30" s="6">
        <f>'[1]experience g(l)'!F98</f>
        <v>1156.8000000000002</v>
      </c>
      <c r="G30" s="6">
        <f>'[1]experience g(l)'!G98</f>
        <v>1778.9459999999999</v>
      </c>
      <c r="H30" s="6">
        <f>'[1]experience g(l)'!H98</f>
        <v>1381.4460000000008</v>
      </c>
      <c r="I30" s="6">
        <f>'[1]experience g(l)'!I98</f>
        <v>1297.9572500000004</v>
      </c>
      <c r="J30" s="6">
        <f>'[1]experience g(l)'!J98</f>
        <v>427.26600000000053</v>
      </c>
      <c r="K30" s="6">
        <f>'[1]experience g(l)'!K98</f>
        <v>141.33600000000024</v>
      </c>
      <c r="L30" s="125">
        <f>'[1]experience g(l)'!L98</f>
        <v>-164.62149999999838</v>
      </c>
      <c r="M30" s="125">
        <f>'[1]experience g(l)'!M98</f>
        <v>55.683500000001914</v>
      </c>
      <c r="N30" s="125">
        <f>'[1]experience g(l)'!N98</f>
        <v>639.9235000000017</v>
      </c>
      <c r="O30" s="125">
        <f>'[1]experience g(l)'!O98</f>
        <v>1084.1622500000021</v>
      </c>
      <c r="P30" s="125">
        <f>'[1]experience g(l)'!P98</f>
        <v>607.90975000000162</v>
      </c>
      <c r="Q30" s="125">
        <f>'[1]experience g(l)'!Q98</f>
        <v>-125.83024999999816</v>
      </c>
      <c r="R30" s="125">
        <f>'[1]experience g(l)'!R98</f>
        <v>-646.96150000000034</v>
      </c>
      <c r="S30" s="125">
        <f>'[1]experience g(l)'!S98</f>
        <v>-1135.802999999999</v>
      </c>
      <c r="T30" s="125">
        <f>'[1]experience g(l)'!T98</f>
        <v>-1574.8619999999983</v>
      </c>
      <c r="U30" s="125">
        <f>'[1]experience g(l)'!U98</f>
        <v>-733.89449999999761</v>
      </c>
      <c r="V30" s="906">
        <f>'[1]experience g(l)'!V98</f>
        <v>-366.07949999999892</v>
      </c>
      <c r="W30" s="951">
        <f>'[1]experience g(l)'!W98</f>
        <v>95.525500000000648</v>
      </c>
      <c r="X30" s="952">
        <f>'[1]experience g(l)'!X98</f>
        <v>529.71300000000065</v>
      </c>
      <c r="Y30" s="952">
        <f>'[1]experience g(l)'!Y98</f>
        <v>835.90050000000065</v>
      </c>
      <c r="Z30" s="952">
        <f>'[1]experience g(l)'!Z98</f>
        <v>978.02550000000065</v>
      </c>
      <c r="AA30" s="952">
        <f>'[1]experience g(l)'!AA98</f>
        <v>986.43175000000065</v>
      </c>
      <c r="AB30" s="953">
        <f>'[1]experience g(l)'!AB98</f>
        <v>978.83800000000065</v>
      </c>
    </row>
    <row r="31" spans="1:28" s="8" customFormat="1" x14ac:dyDescent="0.2">
      <c r="A31" s="8" t="s">
        <v>200</v>
      </c>
      <c r="B31" s="8" t="s">
        <v>31</v>
      </c>
      <c r="C31" s="8">
        <f t="shared" ref="C31:AB31" si="18">SUM(C29:C30)</f>
        <v>475.16350000000057</v>
      </c>
      <c r="D31" s="8">
        <f t="shared" si="18"/>
        <v>540.13800000000083</v>
      </c>
      <c r="E31" s="8">
        <f t="shared" si="18"/>
        <v>414.06500000000051</v>
      </c>
      <c r="F31" s="8">
        <f t="shared" si="18"/>
        <v>268.80000000000018</v>
      </c>
      <c r="G31" s="8">
        <f t="shared" si="18"/>
        <v>-27.054000000000087</v>
      </c>
      <c r="H31" s="8">
        <f t="shared" si="18"/>
        <v>-254.55399999999918</v>
      </c>
      <c r="I31" s="8">
        <f t="shared" si="18"/>
        <v>-551.04274999999961</v>
      </c>
      <c r="J31" s="8">
        <f t="shared" si="18"/>
        <v>-632.73399999999947</v>
      </c>
      <c r="K31" s="8">
        <f t="shared" si="18"/>
        <v>-686.66399999999976</v>
      </c>
      <c r="L31" s="119">
        <f t="shared" si="18"/>
        <v>-725.62149999999838</v>
      </c>
      <c r="M31" s="119">
        <f t="shared" si="18"/>
        <v>-699.31649999999809</v>
      </c>
      <c r="N31" s="119">
        <f t="shared" si="18"/>
        <v>-799.0764999999983</v>
      </c>
      <c r="O31" s="119">
        <f t="shared" si="18"/>
        <v>-991.83774999999787</v>
      </c>
      <c r="P31" s="119">
        <f t="shared" si="18"/>
        <v>-1258.0902499999984</v>
      </c>
      <c r="Q31" s="119">
        <f t="shared" si="18"/>
        <v>-1437.8302499999982</v>
      </c>
      <c r="R31" s="119">
        <f t="shared" si="18"/>
        <v>-1563.7614999999996</v>
      </c>
      <c r="S31" s="119">
        <f t="shared" si="18"/>
        <v>-1655.6029999999982</v>
      </c>
      <c r="T31" s="119">
        <f t="shared" si="18"/>
        <v>-1649.8619999999983</v>
      </c>
      <c r="U31" s="119">
        <f t="shared" si="18"/>
        <v>-1551.8944999999976</v>
      </c>
      <c r="V31" s="119">
        <f t="shared" si="18"/>
        <v>-1603.0794999999989</v>
      </c>
      <c r="W31" s="958">
        <f t="shared" si="18"/>
        <v>-1727.4744999999994</v>
      </c>
      <c r="X31" s="319">
        <f t="shared" si="18"/>
        <v>-1948.2869999999994</v>
      </c>
      <c r="Y31" s="319">
        <f t="shared" si="18"/>
        <v>-2250.0994999999994</v>
      </c>
      <c r="Z31" s="319">
        <f t="shared" si="18"/>
        <v>-2598.9744999999994</v>
      </c>
      <c r="AA31" s="319">
        <f t="shared" si="18"/>
        <v>-2940.5682499999994</v>
      </c>
      <c r="AB31" s="959">
        <f t="shared" si="18"/>
        <v>-3266.1619999999994</v>
      </c>
    </row>
    <row r="32" spans="1:28" s="3" customFormat="1" x14ac:dyDescent="0.2">
      <c r="A32" s="3" t="s">
        <v>203</v>
      </c>
      <c r="B32" s="3" t="s">
        <v>204</v>
      </c>
      <c r="C32" s="6">
        <f>'[1]year end'!C22</f>
        <v>77</v>
      </c>
      <c r="D32" s="6">
        <f>'[1]year end'!D22</f>
        <v>64.999999999999318</v>
      </c>
      <c r="E32" s="6">
        <f>'[1]year end'!E22</f>
        <v>62.999999999999091</v>
      </c>
      <c r="F32" s="6">
        <f>'[1]year end'!F22</f>
        <v>68.999999999999318</v>
      </c>
      <c r="G32" s="6">
        <f>'[1]year end'!G22</f>
        <v>118.99999999999966</v>
      </c>
      <c r="H32" s="6">
        <f>'[1]year end'!H22</f>
        <v>156.99999999999994</v>
      </c>
      <c r="I32" s="6">
        <f>'[1]year end'!I22</f>
        <v>183.99999999999909</v>
      </c>
      <c r="J32" s="6">
        <f>'[1]year end'!J22</f>
        <v>205.54651399999949</v>
      </c>
      <c r="K32" s="6">
        <f>'[1]year end'!K22</f>
        <v>251.89937599999928</v>
      </c>
      <c r="L32" s="125">
        <f>'[1]year end'!L22</f>
        <v>287.95928638999965</v>
      </c>
      <c r="M32" s="125">
        <f>'[1]year end'!M22</f>
        <v>321.8239923899983</v>
      </c>
      <c r="N32" s="125">
        <f>'[1]year end'!N22+'[1]year end'!N30</f>
        <v>337.29359935851039</v>
      </c>
      <c r="O32" s="125">
        <f>'[1]year end'!O22+'[1]year end'!O30</f>
        <v>343.82154793702301</v>
      </c>
      <c r="P32" s="125">
        <f>'[1]year end'!P22+'[1]year end'!P30</f>
        <v>362.179514155535</v>
      </c>
      <c r="Q32" s="125">
        <f>'[1]year end'!Q22+'[1]year end'!Q30</f>
        <v>382.75964673404781</v>
      </c>
      <c r="R32" s="125">
        <f>'[1]year end'!R22+'[1]year end'!R30</f>
        <v>406.95214913256012</v>
      </c>
      <c r="S32" s="125">
        <f>'[1]year end'!S22+'[1]year end'!S30</f>
        <v>431.19603518181788</v>
      </c>
      <c r="T32" s="125">
        <f>'[1]year end'!T22+'[1]year end'!T30</f>
        <v>456.25866992032888</v>
      </c>
      <c r="U32" s="125">
        <f>'[1]year end'!U22+'[1]year end'!U30</f>
        <v>504.3620201288411</v>
      </c>
      <c r="V32" s="906">
        <f>'[1]year end'!V22+'[1]year end'!V30</f>
        <v>542.74306700735292</v>
      </c>
      <c r="W32" s="951">
        <f>'[1]year end'!W22+'[1]year end'!W30</f>
        <v>582.60374259586695</v>
      </c>
      <c r="X32" s="952">
        <f>'[1]year end'!X22+'[1]year end'!X30</f>
        <v>615.36407317437977</v>
      </c>
      <c r="Y32" s="952">
        <f>'[1]year end'!Y22+'[1]year end'!Y30</f>
        <v>647.12440375289214</v>
      </c>
      <c r="Z32" s="952">
        <f>'[1]year end'!Z22+'[1]year end'!Z30</f>
        <v>692.12440375289214</v>
      </c>
      <c r="AA32" s="952">
        <f>'[1]year end'!AA22+'[1]year end'!AA30</f>
        <v>738.12440375289214</v>
      </c>
      <c r="AB32" s="953">
        <f>'[1]year end'!AB22+'[1]year end'!AB30</f>
        <v>786.12440375289214</v>
      </c>
    </row>
    <row r="33" spans="1:28" s="3" customFormat="1" ht="13.5" thickBot="1" x14ac:dyDescent="0.25">
      <c r="A33" s="8" t="s">
        <v>205</v>
      </c>
      <c r="B33" s="8" t="s">
        <v>31</v>
      </c>
      <c r="C33" s="51">
        <f t="shared" ref="C33:K33" si="19">SUM(C31:C32)</f>
        <v>552.16350000000057</v>
      </c>
      <c r="D33" s="51">
        <f t="shared" si="19"/>
        <v>605.13800000000015</v>
      </c>
      <c r="E33" s="51">
        <f t="shared" si="19"/>
        <v>477.0649999999996</v>
      </c>
      <c r="F33" s="51">
        <f t="shared" si="19"/>
        <v>337.7999999999995</v>
      </c>
      <c r="G33" s="51">
        <f t="shared" si="19"/>
        <v>91.945999999999572</v>
      </c>
      <c r="H33" s="51">
        <f t="shared" si="19"/>
        <v>-97.553999999999235</v>
      </c>
      <c r="I33" s="51">
        <f t="shared" si="19"/>
        <v>-367.04275000000052</v>
      </c>
      <c r="J33" s="51">
        <f t="shared" si="19"/>
        <v>-427.18748599999998</v>
      </c>
      <c r="K33" s="51">
        <f t="shared" si="19"/>
        <v>-434.76462400000048</v>
      </c>
      <c r="L33" s="148">
        <f t="shared" ref="L33:AB33" si="20">SUM(L31:L32)</f>
        <v>-437.66221360999873</v>
      </c>
      <c r="M33" s="148">
        <f t="shared" si="20"/>
        <v>-377.49250760999979</v>
      </c>
      <c r="N33" s="148">
        <f t="shared" si="20"/>
        <v>-461.78290064148791</v>
      </c>
      <c r="O33" s="148">
        <f t="shared" si="20"/>
        <v>-648.0162020629748</v>
      </c>
      <c r="P33" s="148">
        <f t="shared" si="20"/>
        <v>-895.91073584446337</v>
      </c>
      <c r="Q33" s="148">
        <f t="shared" si="20"/>
        <v>-1055.0706032659505</v>
      </c>
      <c r="R33" s="148">
        <f t="shared" si="20"/>
        <v>-1156.8093508674394</v>
      </c>
      <c r="S33" s="148">
        <f t="shared" si="20"/>
        <v>-1224.4069648181803</v>
      </c>
      <c r="T33" s="148">
        <f t="shared" si="20"/>
        <v>-1193.6033300796694</v>
      </c>
      <c r="U33" s="148">
        <f t="shared" si="20"/>
        <v>-1047.5324798711565</v>
      </c>
      <c r="V33" s="960">
        <f t="shared" si="20"/>
        <v>-1060.336432992646</v>
      </c>
      <c r="W33" s="961">
        <f t="shared" si="20"/>
        <v>-1144.8707574041323</v>
      </c>
      <c r="X33" s="962">
        <f t="shared" si="20"/>
        <v>-1332.9229268256195</v>
      </c>
      <c r="Y33" s="962">
        <f t="shared" si="20"/>
        <v>-1602.9750962471071</v>
      </c>
      <c r="Z33" s="962">
        <f t="shared" si="20"/>
        <v>-1906.8500962471071</v>
      </c>
      <c r="AA33" s="962">
        <f t="shared" si="20"/>
        <v>-2202.4438462471071</v>
      </c>
      <c r="AB33" s="963">
        <f t="shared" si="20"/>
        <v>-2480.0375962471071</v>
      </c>
    </row>
    <row r="34" spans="1:28" s="3" customFormat="1" ht="13.5" thickTop="1" x14ac:dyDescent="0.2">
      <c r="L34" s="121"/>
      <c r="M34" s="121"/>
      <c r="N34" s="121"/>
      <c r="O34" s="121"/>
      <c r="P34" s="121"/>
      <c r="Q34" s="121"/>
      <c r="R34" s="121"/>
      <c r="S34" s="121"/>
      <c r="T34" s="121"/>
      <c r="U34" s="121"/>
      <c r="V34" s="301"/>
      <c r="W34" s="917"/>
      <c r="X34" s="548"/>
      <c r="Y34" s="548"/>
      <c r="Z34" s="904"/>
      <c r="AA34" s="904"/>
      <c r="AB34" s="905"/>
    </row>
  </sheetData>
  <sheetProtection formatCells="0"/>
  <pageMargins left="0.5" right="0.5" top="1" bottom="1" header="0.5" footer="0.5"/>
  <pageSetup paperSize="5" scale="86" orientation="landscape" r:id="rId1"/>
  <headerFooter alignWithMargins="0">
    <oddFooter>&amp;L&amp;F&amp;C&amp;A&amp;R&amp;D  &amp;T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X32"/>
  <sheetViews>
    <sheetView workbookViewId="0">
      <pane xSplit="1" ySplit="4" topLeftCell="F5" activePane="bottomRight" state="frozen"/>
      <selection activeCell="A46" sqref="A46"/>
      <selection pane="topRight" activeCell="A46" sqref="A46"/>
      <selection pane="bottomLeft" activeCell="A46" sqref="A46"/>
      <selection pane="bottomRight" activeCell="W19" sqref="W19"/>
    </sheetView>
  </sheetViews>
  <sheetFormatPr defaultRowHeight="12.75" x14ac:dyDescent="0.2"/>
  <cols>
    <col min="1" max="1" width="64.5703125" style="614" customWidth="1"/>
    <col min="2" max="2" width="20.28515625" style="614" customWidth="1"/>
    <col min="3" max="16" width="10.28515625" style="887" customWidth="1"/>
    <col min="17" max="17" width="10.28515625" style="980" customWidth="1"/>
    <col min="18" max="22" width="10.28515625" style="981" customWidth="1"/>
    <col min="23" max="23" width="10.28515625" style="887" customWidth="1"/>
    <col min="24" max="256" width="9.140625" style="614"/>
    <col min="257" max="257" width="64.5703125" style="614" customWidth="1"/>
    <col min="258" max="258" width="20.28515625" style="614" customWidth="1"/>
    <col min="259" max="279" width="10.28515625" style="614" customWidth="1"/>
    <col min="280" max="512" width="9.140625" style="614"/>
    <col min="513" max="513" width="64.5703125" style="614" customWidth="1"/>
    <col min="514" max="514" width="20.28515625" style="614" customWidth="1"/>
    <col min="515" max="535" width="10.28515625" style="614" customWidth="1"/>
    <col min="536" max="768" width="9.140625" style="614"/>
    <col min="769" max="769" width="64.5703125" style="614" customWidth="1"/>
    <col min="770" max="770" width="20.28515625" style="614" customWidth="1"/>
    <col min="771" max="791" width="10.28515625" style="614" customWidth="1"/>
    <col min="792" max="1024" width="9.140625" style="614"/>
    <col min="1025" max="1025" width="64.5703125" style="614" customWidth="1"/>
    <col min="1026" max="1026" width="20.28515625" style="614" customWidth="1"/>
    <col min="1027" max="1047" width="10.28515625" style="614" customWidth="1"/>
    <col min="1048" max="1280" width="9.140625" style="614"/>
    <col min="1281" max="1281" width="64.5703125" style="614" customWidth="1"/>
    <col min="1282" max="1282" width="20.28515625" style="614" customWidth="1"/>
    <col min="1283" max="1303" width="10.28515625" style="614" customWidth="1"/>
    <col min="1304" max="1536" width="9.140625" style="614"/>
    <col min="1537" max="1537" width="64.5703125" style="614" customWidth="1"/>
    <col min="1538" max="1538" width="20.28515625" style="614" customWidth="1"/>
    <col min="1539" max="1559" width="10.28515625" style="614" customWidth="1"/>
    <col min="1560" max="1792" width="9.140625" style="614"/>
    <col min="1793" max="1793" width="64.5703125" style="614" customWidth="1"/>
    <col min="1794" max="1794" width="20.28515625" style="614" customWidth="1"/>
    <col min="1795" max="1815" width="10.28515625" style="614" customWidth="1"/>
    <col min="1816" max="2048" width="9.140625" style="614"/>
    <col min="2049" max="2049" width="64.5703125" style="614" customWidth="1"/>
    <col min="2050" max="2050" width="20.28515625" style="614" customWidth="1"/>
    <col min="2051" max="2071" width="10.28515625" style="614" customWidth="1"/>
    <col min="2072" max="2304" width="9.140625" style="614"/>
    <col min="2305" max="2305" width="64.5703125" style="614" customWidth="1"/>
    <col min="2306" max="2306" width="20.28515625" style="614" customWidth="1"/>
    <col min="2307" max="2327" width="10.28515625" style="614" customWidth="1"/>
    <col min="2328" max="2560" width="9.140625" style="614"/>
    <col min="2561" max="2561" width="64.5703125" style="614" customWidth="1"/>
    <col min="2562" max="2562" width="20.28515625" style="614" customWidth="1"/>
    <col min="2563" max="2583" width="10.28515625" style="614" customWidth="1"/>
    <col min="2584" max="2816" width="9.140625" style="614"/>
    <col min="2817" max="2817" width="64.5703125" style="614" customWidth="1"/>
    <col min="2818" max="2818" width="20.28515625" style="614" customWidth="1"/>
    <col min="2819" max="2839" width="10.28515625" style="614" customWidth="1"/>
    <col min="2840" max="3072" width="9.140625" style="614"/>
    <col min="3073" max="3073" width="64.5703125" style="614" customWidth="1"/>
    <col min="3074" max="3074" width="20.28515625" style="614" customWidth="1"/>
    <col min="3075" max="3095" width="10.28515625" style="614" customWidth="1"/>
    <col min="3096" max="3328" width="9.140625" style="614"/>
    <col min="3329" max="3329" width="64.5703125" style="614" customWidth="1"/>
    <col min="3330" max="3330" width="20.28515625" style="614" customWidth="1"/>
    <col min="3331" max="3351" width="10.28515625" style="614" customWidth="1"/>
    <col min="3352" max="3584" width="9.140625" style="614"/>
    <col min="3585" max="3585" width="64.5703125" style="614" customWidth="1"/>
    <col min="3586" max="3586" width="20.28515625" style="614" customWidth="1"/>
    <col min="3587" max="3607" width="10.28515625" style="614" customWidth="1"/>
    <col min="3608" max="3840" width="9.140625" style="614"/>
    <col min="3841" max="3841" width="64.5703125" style="614" customWidth="1"/>
    <col min="3842" max="3842" width="20.28515625" style="614" customWidth="1"/>
    <col min="3843" max="3863" width="10.28515625" style="614" customWidth="1"/>
    <col min="3864" max="4096" width="9.140625" style="614"/>
    <col min="4097" max="4097" width="64.5703125" style="614" customWidth="1"/>
    <col min="4098" max="4098" width="20.28515625" style="614" customWidth="1"/>
    <col min="4099" max="4119" width="10.28515625" style="614" customWidth="1"/>
    <col min="4120" max="4352" width="9.140625" style="614"/>
    <col min="4353" max="4353" width="64.5703125" style="614" customWidth="1"/>
    <col min="4354" max="4354" width="20.28515625" style="614" customWidth="1"/>
    <col min="4355" max="4375" width="10.28515625" style="614" customWidth="1"/>
    <col min="4376" max="4608" width="9.140625" style="614"/>
    <col min="4609" max="4609" width="64.5703125" style="614" customWidth="1"/>
    <col min="4610" max="4610" width="20.28515625" style="614" customWidth="1"/>
    <col min="4611" max="4631" width="10.28515625" style="614" customWidth="1"/>
    <col min="4632" max="4864" width="9.140625" style="614"/>
    <col min="4865" max="4865" width="64.5703125" style="614" customWidth="1"/>
    <col min="4866" max="4866" width="20.28515625" style="614" customWidth="1"/>
    <col min="4867" max="4887" width="10.28515625" style="614" customWidth="1"/>
    <col min="4888" max="5120" width="9.140625" style="614"/>
    <col min="5121" max="5121" width="64.5703125" style="614" customWidth="1"/>
    <col min="5122" max="5122" width="20.28515625" style="614" customWidth="1"/>
    <col min="5123" max="5143" width="10.28515625" style="614" customWidth="1"/>
    <col min="5144" max="5376" width="9.140625" style="614"/>
    <col min="5377" max="5377" width="64.5703125" style="614" customWidth="1"/>
    <col min="5378" max="5378" width="20.28515625" style="614" customWidth="1"/>
    <col min="5379" max="5399" width="10.28515625" style="614" customWidth="1"/>
    <col min="5400" max="5632" width="9.140625" style="614"/>
    <col min="5633" max="5633" width="64.5703125" style="614" customWidth="1"/>
    <col min="5634" max="5634" width="20.28515625" style="614" customWidth="1"/>
    <col min="5635" max="5655" width="10.28515625" style="614" customWidth="1"/>
    <col min="5656" max="5888" width="9.140625" style="614"/>
    <col min="5889" max="5889" width="64.5703125" style="614" customWidth="1"/>
    <col min="5890" max="5890" width="20.28515625" style="614" customWidth="1"/>
    <col min="5891" max="5911" width="10.28515625" style="614" customWidth="1"/>
    <col min="5912" max="6144" width="9.140625" style="614"/>
    <col min="6145" max="6145" width="64.5703125" style="614" customWidth="1"/>
    <col min="6146" max="6146" width="20.28515625" style="614" customWidth="1"/>
    <col min="6147" max="6167" width="10.28515625" style="614" customWidth="1"/>
    <col min="6168" max="6400" width="9.140625" style="614"/>
    <col min="6401" max="6401" width="64.5703125" style="614" customWidth="1"/>
    <col min="6402" max="6402" width="20.28515625" style="614" customWidth="1"/>
    <col min="6403" max="6423" width="10.28515625" style="614" customWidth="1"/>
    <col min="6424" max="6656" width="9.140625" style="614"/>
    <col min="6657" max="6657" width="64.5703125" style="614" customWidth="1"/>
    <col min="6658" max="6658" width="20.28515625" style="614" customWidth="1"/>
    <col min="6659" max="6679" width="10.28515625" style="614" customWidth="1"/>
    <col min="6680" max="6912" width="9.140625" style="614"/>
    <col min="6913" max="6913" width="64.5703125" style="614" customWidth="1"/>
    <col min="6914" max="6914" width="20.28515625" style="614" customWidth="1"/>
    <col min="6915" max="6935" width="10.28515625" style="614" customWidth="1"/>
    <col min="6936" max="7168" width="9.140625" style="614"/>
    <col min="7169" max="7169" width="64.5703125" style="614" customWidth="1"/>
    <col min="7170" max="7170" width="20.28515625" style="614" customWidth="1"/>
    <col min="7171" max="7191" width="10.28515625" style="614" customWidth="1"/>
    <col min="7192" max="7424" width="9.140625" style="614"/>
    <col min="7425" max="7425" width="64.5703125" style="614" customWidth="1"/>
    <col min="7426" max="7426" width="20.28515625" style="614" customWidth="1"/>
    <col min="7427" max="7447" width="10.28515625" style="614" customWidth="1"/>
    <col min="7448" max="7680" width="9.140625" style="614"/>
    <col min="7681" max="7681" width="64.5703125" style="614" customWidth="1"/>
    <col min="7682" max="7682" width="20.28515625" style="614" customWidth="1"/>
    <col min="7683" max="7703" width="10.28515625" style="614" customWidth="1"/>
    <col min="7704" max="7936" width="9.140625" style="614"/>
    <col min="7937" max="7937" width="64.5703125" style="614" customWidth="1"/>
    <col min="7938" max="7938" width="20.28515625" style="614" customWidth="1"/>
    <col min="7939" max="7959" width="10.28515625" style="614" customWidth="1"/>
    <col min="7960" max="8192" width="9.140625" style="614"/>
    <col min="8193" max="8193" width="64.5703125" style="614" customWidth="1"/>
    <col min="8194" max="8194" width="20.28515625" style="614" customWidth="1"/>
    <col min="8195" max="8215" width="10.28515625" style="614" customWidth="1"/>
    <col min="8216" max="8448" width="9.140625" style="614"/>
    <col min="8449" max="8449" width="64.5703125" style="614" customWidth="1"/>
    <col min="8450" max="8450" width="20.28515625" style="614" customWidth="1"/>
    <col min="8451" max="8471" width="10.28515625" style="614" customWidth="1"/>
    <col min="8472" max="8704" width="9.140625" style="614"/>
    <col min="8705" max="8705" width="64.5703125" style="614" customWidth="1"/>
    <col min="8706" max="8706" width="20.28515625" style="614" customWidth="1"/>
    <col min="8707" max="8727" width="10.28515625" style="614" customWidth="1"/>
    <col min="8728" max="8960" width="9.140625" style="614"/>
    <col min="8961" max="8961" width="64.5703125" style="614" customWidth="1"/>
    <col min="8962" max="8962" width="20.28515625" style="614" customWidth="1"/>
    <col min="8963" max="8983" width="10.28515625" style="614" customWidth="1"/>
    <col min="8984" max="9216" width="9.140625" style="614"/>
    <col min="9217" max="9217" width="64.5703125" style="614" customWidth="1"/>
    <col min="9218" max="9218" width="20.28515625" style="614" customWidth="1"/>
    <col min="9219" max="9239" width="10.28515625" style="614" customWidth="1"/>
    <col min="9240" max="9472" width="9.140625" style="614"/>
    <col min="9473" max="9473" width="64.5703125" style="614" customWidth="1"/>
    <col min="9474" max="9474" width="20.28515625" style="614" customWidth="1"/>
    <col min="9475" max="9495" width="10.28515625" style="614" customWidth="1"/>
    <col min="9496" max="9728" width="9.140625" style="614"/>
    <col min="9729" max="9729" width="64.5703125" style="614" customWidth="1"/>
    <col min="9730" max="9730" width="20.28515625" style="614" customWidth="1"/>
    <col min="9731" max="9751" width="10.28515625" style="614" customWidth="1"/>
    <col min="9752" max="9984" width="9.140625" style="614"/>
    <col min="9985" max="9985" width="64.5703125" style="614" customWidth="1"/>
    <col min="9986" max="9986" width="20.28515625" style="614" customWidth="1"/>
    <col min="9987" max="10007" width="10.28515625" style="614" customWidth="1"/>
    <col min="10008" max="10240" width="9.140625" style="614"/>
    <col min="10241" max="10241" width="64.5703125" style="614" customWidth="1"/>
    <col min="10242" max="10242" width="20.28515625" style="614" customWidth="1"/>
    <col min="10243" max="10263" width="10.28515625" style="614" customWidth="1"/>
    <col min="10264" max="10496" width="9.140625" style="614"/>
    <col min="10497" max="10497" width="64.5703125" style="614" customWidth="1"/>
    <col min="10498" max="10498" width="20.28515625" style="614" customWidth="1"/>
    <col min="10499" max="10519" width="10.28515625" style="614" customWidth="1"/>
    <col min="10520" max="10752" width="9.140625" style="614"/>
    <col min="10753" max="10753" width="64.5703125" style="614" customWidth="1"/>
    <col min="10754" max="10754" width="20.28515625" style="614" customWidth="1"/>
    <col min="10755" max="10775" width="10.28515625" style="614" customWidth="1"/>
    <col min="10776" max="11008" width="9.140625" style="614"/>
    <col min="11009" max="11009" width="64.5703125" style="614" customWidth="1"/>
    <col min="11010" max="11010" width="20.28515625" style="614" customWidth="1"/>
    <col min="11011" max="11031" width="10.28515625" style="614" customWidth="1"/>
    <col min="11032" max="11264" width="9.140625" style="614"/>
    <col min="11265" max="11265" width="64.5703125" style="614" customWidth="1"/>
    <col min="11266" max="11266" width="20.28515625" style="614" customWidth="1"/>
    <col min="11267" max="11287" width="10.28515625" style="614" customWidth="1"/>
    <col min="11288" max="11520" width="9.140625" style="614"/>
    <col min="11521" max="11521" width="64.5703125" style="614" customWidth="1"/>
    <col min="11522" max="11522" width="20.28515625" style="614" customWidth="1"/>
    <col min="11523" max="11543" width="10.28515625" style="614" customWidth="1"/>
    <col min="11544" max="11776" width="9.140625" style="614"/>
    <col min="11777" max="11777" width="64.5703125" style="614" customWidth="1"/>
    <col min="11778" max="11778" width="20.28515625" style="614" customWidth="1"/>
    <col min="11779" max="11799" width="10.28515625" style="614" customWidth="1"/>
    <col min="11800" max="12032" width="9.140625" style="614"/>
    <col min="12033" max="12033" width="64.5703125" style="614" customWidth="1"/>
    <col min="12034" max="12034" width="20.28515625" style="614" customWidth="1"/>
    <col min="12035" max="12055" width="10.28515625" style="614" customWidth="1"/>
    <col min="12056" max="12288" width="9.140625" style="614"/>
    <col min="12289" max="12289" width="64.5703125" style="614" customWidth="1"/>
    <col min="12290" max="12290" width="20.28515625" style="614" customWidth="1"/>
    <col min="12291" max="12311" width="10.28515625" style="614" customWidth="1"/>
    <col min="12312" max="12544" width="9.140625" style="614"/>
    <col min="12545" max="12545" width="64.5703125" style="614" customWidth="1"/>
    <col min="12546" max="12546" width="20.28515625" style="614" customWidth="1"/>
    <col min="12547" max="12567" width="10.28515625" style="614" customWidth="1"/>
    <col min="12568" max="12800" width="9.140625" style="614"/>
    <col min="12801" max="12801" width="64.5703125" style="614" customWidth="1"/>
    <col min="12802" max="12802" width="20.28515625" style="614" customWidth="1"/>
    <col min="12803" max="12823" width="10.28515625" style="614" customWidth="1"/>
    <col min="12824" max="13056" width="9.140625" style="614"/>
    <col min="13057" max="13057" width="64.5703125" style="614" customWidth="1"/>
    <col min="13058" max="13058" width="20.28515625" style="614" customWidth="1"/>
    <col min="13059" max="13079" width="10.28515625" style="614" customWidth="1"/>
    <col min="13080" max="13312" width="9.140625" style="614"/>
    <col min="13313" max="13313" width="64.5703125" style="614" customWidth="1"/>
    <col min="13314" max="13314" width="20.28515625" style="614" customWidth="1"/>
    <col min="13315" max="13335" width="10.28515625" style="614" customWidth="1"/>
    <col min="13336" max="13568" width="9.140625" style="614"/>
    <col min="13569" max="13569" width="64.5703125" style="614" customWidth="1"/>
    <col min="13570" max="13570" width="20.28515625" style="614" customWidth="1"/>
    <col min="13571" max="13591" width="10.28515625" style="614" customWidth="1"/>
    <col min="13592" max="13824" width="9.140625" style="614"/>
    <col min="13825" max="13825" width="64.5703125" style="614" customWidth="1"/>
    <col min="13826" max="13826" width="20.28515625" style="614" customWidth="1"/>
    <col min="13827" max="13847" width="10.28515625" style="614" customWidth="1"/>
    <col min="13848" max="14080" width="9.140625" style="614"/>
    <col min="14081" max="14081" width="64.5703125" style="614" customWidth="1"/>
    <col min="14082" max="14082" width="20.28515625" style="614" customWidth="1"/>
    <col min="14083" max="14103" width="10.28515625" style="614" customWidth="1"/>
    <col min="14104" max="14336" width="9.140625" style="614"/>
    <col min="14337" max="14337" width="64.5703125" style="614" customWidth="1"/>
    <col min="14338" max="14338" width="20.28515625" style="614" customWidth="1"/>
    <col min="14339" max="14359" width="10.28515625" style="614" customWidth="1"/>
    <col min="14360" max="14592" width="9.140625" style="614"/>
    <col min="14593" max="14593" width="64.5703125" style="614" customWidth="1"/>
    <col min="14594" max="14594" width="20.28515625" style="614" customWidth="1"/>
    <col min="14595" max="14615" width="10.28515625" style="614" customWidth="1"/>
    <col min="14616" max="14848" width="9.140625" style="614"/>
    <col min="14849" max="14849" width="64.5703125" style="614" customWidth="1"/>
    <col min="14850" max="14850" width="20.28515625" style="614" customWidth="1"/>
    <col min="14851" max="14871" width="10.28515625" style="614" customWidth="1"/>
    <col min="14872" max="15104" width="9.140625" style="614"/>
    <col min="15105" max="15105" width="64.5703125" style="614" customWidth="1"/>
    <col min="15106" max="15106" width="20.28515625" style="614" customWidth="1"/>
    <col min="15107" max="15127" width="10.28515625" style="614" customWidth="1"/>
    <col min="15128" max="15360" width="9.140625" style="614"/>
    <col min="15361" max="15361" width="64.5703125" style="614" customWidth="1"/>
    <col min="15362" max="15362" width="20.28515625" style="614" customWidth="1"/>
    <col min="15363" max="15383" width="10.28515625" style="614" customWidth="1"/>
    <col min="15384" max="15616" width="9.140625" style="614"/>
    <col min="15617" max="15617" width="64.5703125" style="614" customWidth="1"/>
    <col min="15618" max="15618" width="20.28515625" style="614" customWidth="1"/>
    <col min="15619" max="15639" width="10.28515625" style="614" customWidth="1"/>
    <col min="15640" max="15872" width="9.140625" style="614"/>
    <col min="15873" max="15873" width="64.5703125" style="614" customWidth="1"/>
    <col min="15874" max="15874" width="20.28515625" style="614" customWidth="1"/>
    <col min="15875" max="15895" width="10.28515625" style="614" customWidth="1"/>
    <col min="15896" max="16128" width="9.140625" style="614"/>
    <col min="16129" max="16129" width="64.5703125" style="614" customWidth="1"/>
    <col min="16130" max="16130" width="20.28515625" style="614" customWidth="1"/>
    <col min="16131" max="16151" width="10.28515625" style="614" customWidth="1"/>
    <col min="16152" max="16384" width="9.140625" style="614"/>
  </cols>
  <sheetData>
    <row r="1" spans="1:24" x14ac:dyDescent="0.2">
      <c r="A1" s="570" t="s">
        <v>598</v>
      </c>
    </row>
    <row r="2" spans="1:24" x14ac:dyDescent="0.2">
      <c r="A2" s="570" t="s">
        <v>599</v>
      </c>
      <c r="C2" s="423"/>
      <c r="D2" s="423"/>
      <c r="E2" s="423"/>
      <c r="F2" s="425"/>
      <c r="G2" s="425"/>
      <c r="H2" s="425"/>
      <c r="I2" s="425"/>
      <c r="J2" s="425"/>
      <c r="K2" s="425"/>
      <c r="L2" s="425" t="s">
        <v>483</v>
      </c>
      <c r="M2" s="425" t="s">
        <v>483</v>
      </c>
      <c r="N2" s="425" t="s">
        <v>483</v>
      </c>
      <c r="O2" s="425" t="s">
        <v>483</v>
      </c>
      <c r="P2" s="425" t="s">
        <v>483</v>
      </c>
      <c r="Q2" s="982" t="s">
        <v>484</v>
      </c>
      <c r="R2" s="983" t="s">
        <v>600</v>
      </c>
      <c r="S2" s="983" t="s">
        <v>601</v>
      </c>
      <c r="T2" s="983" t="s">
        <v>601</v>
      </c>
      <c r="U2" s="983" t="s">
        <v>601</v>
      </c>
      <c r="V2" s="983" t="s">
        <v>601</v>
      </c>
      <c r="W2" s="425" t="s">
        <v>601</v>
      </c>
    </row>
    <row r="3" spans="1:24" ht="13.5" thickBot="1" x14ac:dyDescent="0.25">
      <c r="C3" s="423"/>
      <c r="D3" s="423"/>
      <c r="E3" s="423"/>
      <c r="F3" s="898"/>
      <c r="G3" s="898"/>
      <c r="H3" s="898"/>
      <c r="I3" s="898"/>
      <c r="J3" s="898"/>
      <c r="K3" s="898"/>
      <c r="L3" s="898" t="s">
        <v>175</v>
      </c>
      <c r="M3" s="898" t="s">
        <v>176</v>
      </c>
      <c r="N3" s="898" t="s">
        <v>177</v>
      </c>
      <c r="O3" s="898" t="s">
        <v>178</v>
      </c>
      <c r="P3" s="898" t="s">
        <v>294</v>
      </c>
      <c r="Q3" s="984" t="s">
        <v>309</v>
      </c>
      <c r="R3" s="985" t="s">
        <v>315</v>
      </c>
      <c r="S3" s="985" t="s">
        <v>316</v>
      </c>
      <c r="T3" s="985" t="s">
        <v>317</v>
      </c>
      <c r="U3" s="985" t="s">
        <v>318</v>
      </c>
      <c r="V3" s="985" t="s">
        <v>319</v>
      </c>
      <c r="W3" s="898" t="s">
        <v>330</v>
      </c>
    </row>
    <row r="4" spans="1:24" s="570" customFormat="1" ht="13.5" thickBot="1" x14ac:dyDescent="0.25">
      <c r="A4" s="674"/>
      <c r="B4" s="896" t="s">
        <v>26</v>
      </c>
      <c r="C4" s="986">
        <v>2001</v>
      </c>
      <c r="D4" s="986">
        <v>2002</v>
      </c>
      <c r="E4" s="986">
        <v>2003</v>
      </c>
      <c r="F4" s="986">
        <v>2004</v>
      </c>
      <c r="G4" s="986">
        <v>2005</v>
      </c>
      <c r="H4" s="986">
        <v>2006</v>
      </c>
      <c r="I4" s="986">
        <v>2007</v>
      </c>
      <c r="J4" s="986">
        <v>2008</v>
      </c>
      <c r="K4" s="986">
        <v>2009</v>
      </c>
      <c r="L4" s="986">
        <v>2010</v>
      </c>
      <c r="M4" s="986">
        <v>2011</v>
      </c>
      <c r="N4" s="986">
        <v>2012</v>
      </c>
      <c r="O4" s="986">
        <v>2013</v>
      </c>
      <c r="P4" s="986">
        <v>2014</v>
      </c>
      <c r="Q4" s="987">
        <v>2015</v>
      </c>
      <c r="R4" s="988">
        <v>2016</v>
      </c>
      <c r="S4" s="988">
        <v>2017</v>
      </c>
      <c r="T4" s="988">
        <v>2018</v>
      </c>
      <c r="U4" s="988">
        <v>2019</v>
      </c>
      <c r="V4" s="988">
        <v>2020</v>
      </c>
      <c r="W4" s="986">
        <v>2021</v>
      </c>
    </row>
    <row r="6" spans="1:24" s="990" customFormat="1" x14ac:dyDescent="0.2">
      <c r="A6" s="989" t="s">
        <v>602</v>
      </c>
      <c r="B6" s="990" t="s">
        <v>603</v>
      </c>
      <c r="C6" s="991"/>
      <c r="D6" s="991"/>
      <c r="E6" s="991"/>
      <c r="F6" s="991"/>
      <c r="G6" s="991"/>
      <c r="H6" s="991"/>
      <c r="I6" s="991"/>
      <c r="J6" s="991"/>
      <c r="K6" s="991"/>
      <c r="L6" s="991"/>
      <c r="M6" s="991"/>
      <c r="N6" s="991"/>
      <c r="O6" s="991"/>
      <c r="P6" s="992">
        <f>[2]expense!O29</f>
        <v>0.84399999999999997</v>
      </c>
      <c r="Q6" s="993">
        <f>[2]expense!P29</f>
        <v>0.85199999999999998</v>
      </c>
      <c r="R6" s="994">
        <f>[2]expense!Q29</f>
        <v>0.85199999999999998</v>
      </c>
      <c r="S6" s="994">
        <f>[2]expense!R29</f>
        <v>0.85199999999999998</v>
      </c>
      <c r="T6" s="994">
        <f>[2]expense!S29</f>
        <v>0.85199999999999998</v>
      </c>
      <c r="U6" s="994">
        <f>[2]expense!T29</f>
        <v>0.85199999999999998</v>
      </c>
      <c r="V6" s="994">
        <f>[2]expense!U29</f>
        <v>0.85199999999999998</v>
      </c>
      <c r="W6" s="992">
        <f>[2]expense!V29</f>
        <v>0.85199999999999998</v>
      </c>
      <c r="X6" s="989"/>
    </row>
    <row r="7" spans="1:24" s="990" customFormat="1" x14ac:dyDescent="0.2">
      <c r="C7" s="991"/>
      <c r="D7" s="991"/>
      <c r="E7" s="991"/>
      <c r="F7" s="991"/>
      <c r="G7" s="991"/>
      <c r="H7" s="991"/>
      <c r="I7" s="991"/>
      <c r="J7" s="991"/>
      <c r="K7" s="991"/>
      <c r="L7" s="991"/>
      <c r="M7" s="991"/>
      <c r="N7" s="991"/>
      <c r="O7" s="991"/>
      <c r="P7" s="991"/>
      <c r="Q7" s="995"/>
      <c r="R7" s="996"/>
      <c r="S7" s="996"/>
      <c r="T7" s="996"/>
      <c r="U7" s="996"/>
      <c r="V7" s="996"/>
      <c r="W7" s="991"/>
    </row>
    <row r="8" spans="1:24" s="990" customFormat="1" x14ac:dyDescent="0.2">
      <c r="A8" s="990" t="s">
        <v>197</v>
      </c>
      <c r="B8" s="990" t="s">
        <v>604</v>
      </c>
      <c r="C8" s="991"/>
      <c r="D8" s="991"/>
      <c r="E8" s="991"/>
      <c r="F8" s="997">
        <f>[2]liability!F25*0.885</f>
        <v>10672.746000000001</v>
      </c>
      <c r="G8" s="997">
        <f>[2]liability!G25*0.885</f>
        <v>11606.456400000001</v>
      </c>
      <c r="H8" s="997">
        <f>[2]liability!H25*0.885</f>
        <v>12716.600400000001</v>
      </c>
      <c r="I8" s="997">
        <f>[2]liability!I25*0.885</f>
        <v>14406.100800000002</v>
      </c>
      <c r="J8" s="997">
        <f>[2]liability!J25*0.885</f>
        <v>15579.186000000002</v>
      </c>
      <c r="K8" s="997">
        <f>[2]liability!K25*0.885</f>
        <v>16823.142</v>
      </c>
      <c r="L8" s="997">
        <f>[2]liability!L25*0.885</f>
        <v>18231.637200000001</v>
      </c>
      <c r="M8" s="997">
        <f>[2]liability!M25*0.866</f>
        <v>19308.197440000004</v>
      </c>
      <c r="N8" s="997">
        <f>[2]liability!N25*0.859</f>
        <v>20373.487120000002</v>
      </c>
      <c r="O8" s="998">
        <v>21800.324000000001</v>
      </c>
      <c r="P8" s="997">
        <f>[2]liability!P25*P$6</f>
        <v>23499.660800000001</v>
      </c>
      <c r="Q8" s="999">
        <f>[2]liability!Q25*Q$6</f>
        <v>25203.864000000001</v>
      </c>
      <c r="R8" s="1000">
        <f>[2]liability!R25*R$6</f>
        <v>26877.770726743216</v>
      </c>
      <c r="S8" s="1000">
        <f>[2]liability!S25*S$6</f>
        <v>28655.62885355152</v>
      </c>
      <c r="T8" s="1000">
        <f>[2]liability!T25*T$6</f>
        <v>30542.717665598033</v>
      </c>
      <c r="U8" s="1000">
        <f>[2]liability!U25*U$6</f>
        <v>32544.490648162107</v>
      </c>
      <c r="V8" s="1000">
        <f>[2]liability!V25*V$6</f>
        <v>34680.906781377817</v>
      </c>
      <c r="W8" s="997">
        <f>[2]liability!W25*W$6</f>
        <v>36960.399433097045</v>
      </c>
    </row>
    <row r="9" spans="1:24" s="990" customFormat="1" x14ac:dyDescent="0.2">
      <c r="A9" s="990" t="s">
        <v>198</v>
      </c>
      <c r="B9" s="990" t="s">
        <v>604</v>
      </c>
      <c r="C9" s="991"/>
      <c r="D9" s="991"/>
      <c r="E9" s="991"/>
      <c r="F9" s="997">
        <f>[2]liability!F26*0.885</f>
        <v>-10560.244800000002</v>
      </c>
      <c r="G9" s="997">
        <f>[2]liability!G26*0.885</f>
        <v>-11325.946800000002</v>
      </c>
      <c r="H9" s="997">
        <f>[2]liability!H26*0.885</f>
        <v>-12491.598000000002</v>
      </c>
      <c r="I9" s="997">
        <f>[2]liability!I26*0.885</f>
        <v>-14051.251200000001</v>
      </c>
      <c r="J9" s="997">
        <f>[2]liability!J26*0.885</f>
        <v>-15002.208480000001</v>
      </c>
      <c r="K9" s="997">
        <f>[2]liability!K26*0.885</f>
        <v>-16134.7536</v>
      </c>
      <c r="L9" s="997">
        <f>[2]liability!L26*0.885</f>
        <v>-17381.683200000003</v>
      </c>
      <c r="M9" s="997">
        <f>[2]liability!M26*0.866</f>
        <v>-18314.029440000002</v>
      </c>
      <c r="N9" s="997">
        <f>[2]liability!N26*0.859</f>
        <v>-20008.377760000003</v>
      </c>
      <c r="O9" s="998">
        <v>-22457.68</v>
      </c>
      <c r="P9" s="997">
        <f>[2]liability!P26*P$6</f>
        <v>-25462.629248000001</v>
      </c>
      <c r="Q9" s="999">
        <f>[2]liability!Q26*Q$6</f>
        <v>-28627.867968000006</v>
      </c>
      <c r="R9" s="1000">
        <f>[2]liability!R26*R$6</f>
        <v>-31335.299965493345</v>
      </c>
      <c r="S9" s="1000">
        <f>[2]liability!S26*S$6</f>
        <v>-33752.078988752124</v>
      </c>
      <c r="T9" s="1000">
        <f>[2]liability!T26*T$6</f>
        <v>-36237.699045915644</v>
      </c>
      <c r="U9" s="1000">
        <f>[2]liability!U26*U$6</f>
        <v>-38208.522233411335</v>
      </c>
      <c r="V9" s="1000">
        <f>[2]liability!V26*V$6</f>
        <v>-40409.570022485175</v>
      </c>
      <c r="W9" s="997">
        <f>[2]liability!W26*W$6</f>
        <v>-42737.675726766189</v>
      </c>
    </row>
    <row r="10" spans="1:24" s="990" customFormat="1" x14ac:dyDescent="0.2">
      <c r="A10" s="990" t="s">
        <v>196</v>
      </c>
      <c r="B10" s="990" t="s">
        <v>604</v>
      </c>
      <c r="C10" s="991"/>
      <c r="D10" s="991"/>
      <c r="E10" s="991"/>
      <c r="F10" s="997">
        <f>[2]liability!F27*0.885</f>
        <v>0</v>
      </c>
      <c r="G10" s="997">
        <f>[2]liability!G27*0.885</f>
        <v>-195.49189800000087</v>
      </c>
      <c r="H10" s="997">
        <f>[2]liability!H27*0.885</f>
        <v>-88.030950000001809</v>
      </c>
      <c r="I10" s="997">
        <f>[2]liability!I27*0.885</f>
        <v>-180.08865000000182</v>
      </c>
      <c r="J10" s="997">
        <f>[2]liability!J27*0.885</f>
        <v>-289.63793250000219</v>
      </c>
      <c r="K10" s="997">
        <f>[2]liability!K27*0.885</f>
        <v>-222.27040500000146</v>
      </c>
      <c r="L10" s="997">
        <f>[2]liability!L27*0.885</f>
        <v>-257.28764250000148</v>
      </c>
      <c r="M10" s="997">
        <f>[2]liability!M27*0.866</f>
        <v>-239.65510800000143</v>
      </c>
      <c r="N10" s="997">
        <f>[2]liability!N27*0.859</f>
        <v>568.97110549999866</v>
      </c>
      <c r="O10" s="998">
        <v>1698.4780749999989</v>
      </c>
      <c r="P10" s="997">
        <f>[2]liability!P27*P$6</f>
        <v>2935.6095968130057</v>
      </c>
      <c r="Q10" s="999">
        <f>[2]liability!Q27*Q$6</f>
        <v>4202.7318809990256</v>
      </c>
      <c r="R10" s="1000">
        <f>[2]liability!R27*R$6</f>
        <v>4861.6108366976841</v>
      </c>
      <c r="S10" s="1000">
        <f>[2]liability!S27*S$6</f>
        <v>4986.3532142684389</v>
      </c>
      <c r="T10" s="1000">
        <f>[2]liability!T27*T$6</f>
        <v>4996.9433990629959</v>
      </c>
      <c r="U10" s="1000">
        <f>[2]liability!U27*U$6</f>
        <v>4311.5594105065811</v>
      </c>
      <c r="V10" s="1000">
        <f>[2]liability!V27*V$6</f>
        <v>3747.1960908026344</v>
      </c>
      <c r="W10" s="997">
        <f>[2]liability!W27*W$6</f>
        <v>3175.1951684612341</v>
      </c>
    </row>
    <row r="11" spans="1:24" s="990" customFormat="1" x14ac:dyDescent="0.2">
      <c r="A11" s="990" t="s">
        <v>249</v>
      </c>
      <c r="B11" s="990" t="s">
        <v>604</v>
      </c>
      <c r="C11" s="1001"/>
      <c r="D11" s="1001"/>
      <c r="E11" s="1001"/>
      <c r="F11" s="997">
        <f>[2]liability!F28*0.885</f>
        <v>0</v>
      </c>
      <c r="G11" s="997">
        <f>[2]liability!G28*0.885</f>
        <v>7.8234000000000279</v>
      </c>
      <c r="H11" s="997">
        <f>[2]liability!H28*0.885</f>
        <v>16.284000000000081</v>
      </c>
      <c r="I11" s="997">
        <f>[2]liability!I28*0.885</f>
        <v>23.222400000000111</v>
      </c>
      <c r="J11" s="997">
        <f>[2]liability!J28*0.885</f>
        <v>29.983800000000198</v>
      </c>
      <c r="K11" s="997">
        <f>[2]liability!K28*0.885</f>
        <v>35.223000000000262</v>
      </c>
      <c r="L11" s="997">
        <f>[2]liability!L28*0.885</f>
        <v>41.488800000000296</v>
      </c>
      <c r="M11" s="997">
        <f>[2]liability!M28*0.866</f>
        <v>47.733920000000396</v>
      </c>
      <c r="N11" s="997">
        <f>[2]liability!N28*0.859</f>
        <v>57.175040000000443</v>
      </c>
      <c r="O11" s="998">
        <v>70.890000000000555</v>
      </c>
      <c r="P11" s="997">
        <f>[2]liability!P28*P$6</f>
        <v>82.914560000000677</v>
      </c>
      <c r="Q11" s="999">
        <f>[2]liability!Q28*Q$6</f>
        <v>93.242880000000724</v>
      </c>
      <c r="R11" s="1000">
        <f>[2]liability!R28*R$6</f>
        <v>98.749671766125445</v>
      </c>
      <c r="S11" s="1000">
        <f>[2]liability!S28*S$6</f>
        <v>102.77794059843274</v>
      </c>
      <c r="T11" s="1000">
        <f>[2]liability!T28*T$6</f>
        <v>107.04485885049115</v>
      </c>
      <c r="U11" s="1000">
        <f>[2]liability!U28*U$6</f>
        <v>109.86036840379289</v>
      </c>
      <c r="V11" s="1000">
        <f>[2]liability!V28*V$6</f>
        <v>112.99013755784941</v>
      </c>
      <c r="W11" s="997">
        <f>[2]liability!W28*W$6</f>
        <v>114.75174682322672</v>
      </c>
    </row>
    <row r="12" spans="1:24" s="989" customFormat="1" x14ac:dyDescent="0.2">
      <c r="A12" s="989" t="s">
        <v>605</v>
      </c>
      <c r="B12" s="990" t="s">
        <v>241</v>
      </c>
      <c r="C12" s="1002"/>
      <c r="D12" s="1002"/>
      <c r="E12" s="1002"/>
      <c r="F12" s="1003">
        <f t="shared" ref="F12:T12" si="0">SUM(F8:F11)</f>
        <v>112.50119999999879</v>
      </c>
      <c r="G12" s="1003">
        <f t="shared" si="0"/>
        <v>92.841101999998557</v>
      </c>
      <c r="H12" s="1003">
        <f t="shared" si="0"/>
        <v>153.25544999999767</v>
      </c>
      <c r="I12" s="1003">
        <f t="shared" si="0"/>
        <v>197.98334999999966</v>
      </c>
      <c r="J12" s="1003">
        <f t="shared" si="0"/>
        <v>317.32338749999838</v>
      </c>
      <c r="K12" s="1003">
        <f t="shared" si="0"/>
        <v>501.3409949999986</v>
      </c>
      <c r="L12" s="1003">
        <f t="shared" si="0"/>
        <v>634.15515749999668</v>
      </c>
      <c r="M12" s="1003">
        <f>SUM(M8:M11)</f>
        <v>802.24681200000043</v>
      </c>
      <c r="N12" s="1003">
        <f t="shared" si="0"/>
        <v>991.25550549999764</v>
      </c>
      <c r="O12" s="1004">
        <v>1112.0120749999996</v>
      </c>
      <c r="P12" s="1003">
        <f t="shared" si="0"/>
        <v>1055.5557088130067</v>
      </c>
      <c r="Q12" s="1005">
        <f t="shared" si="0"/>
        <v>871.9707929990218</v>
      </c>
      <c r="R12" s="1006">
        <f t="shared" si="0"/>
        <v>502.83126971368102</v>
      </c>
      <c r="S12" s="1006">
        <f t="shared" si="0"/>
        <v>-7.3189803337328954</v>
      </c>
      <c r="T12" s="1006">
        <f t="shared" si="0"/>
        <v>-590.99312240412405</v>
      </c>
      <c r="U12" s="1006">
        <f>SUM(U8:U11)</f>
        <v>-1242.6118063388537</v>
      </c>
      <c r="V12" s="1006">
        <f>SUM(V8:V11)</f>
        <v>-1868.4770127468748</v>
      </c>
      <c r="W12" s="1003">
        <f>SUM(W8:W11)</f>
        <v>-2487.3293783846825</v>
      </c>
    </row>
    <row r="13" spans="1:24" s="990" customFormat="1" x14ac:dyDescent="0.2">
      <c r="C13" s="997">
        <f>C12-[2]liability!C41</f>
        <v>0</v>
      </c>
      <c r="D13" s="997">
        <f>D12-[2]liability!D41</f>
        <v>0</v>
      </c>
      <c r="E13" s="997">
        <f>E12-[2]liability!E41</f>
        <v>0</v>
      </c>
      <c r="F13" s="997">
        <f>F12-[2]liability!F41</f>
        <v>112.50119999999879</v>
      </c>
      <c r="G13" s="997">
        <f>G12-[2]liability!G41</f>
        <v>-6.6791017161449417E-13</v>
      </c>
      <c r="H13" s="997">
        <f>H12-[2]liability!H41</f>
        <v>-7.9580786405131221E-13</v>
      </c>
      <c r="I13" s="997">
        <f>I12-[2]liability!I41</f>
        <v>1.5347723092418164E-12</v>
      </c>
      <c r="J13" s="997">
        <f>J12-[2]liability!J41</f>
        <v>-9.0949470177292824E-13</v>
      </c>
      <c r="K13" s="997">
        <f>K12-[2]liability!K41</f>
        <v>-6.8212102632969618E-13</v>
      </c>
      <c r="L13" s="997">
        <f>L12-[2]liability!L41</f>
        <v>-2.3874235921539366E-12</v>
      </c>
      <c r="M13" s="997">
        <f>M12-[2]liability!M41</f>
        <v>3.2969182939268649E-12</v>
      </c>
      <c r="N13" s="997">
        <f>N12-[2]liability!N41</f>
        <v>-1.7053025658242404E-12</v>
      </c>
      <c r="O13" s="998">
        <v>0</v>
      </c>
      <c r="P13" s="997">
        <f>P12-[2]liability!P41</f>
        <v>0</v>
      </c>
      <c r="Q13" s="999">
        <f>Q12-[2]liability!Q41</f>
        <v>-2.7284841053187847E-12</v>
      </c>
      <c r="R13" s="1000">
        <f>R12-[2]liability!R41</f>
        <v>-1.4210854715202004E-12</v>
      </c>
      <c r="S13" s="1000">
        <f>S12-[2]liability!S41</f>
        <v>-1.1396217303172307E-11</v>
      </c>
      <c r="T13" s="1000">
        <f>T12-[2]liability!T41</f>
        <v>1.602984411874786E-11</v>
      </c>
      <c r="U13" s="1000">
        <f>U12-[2]liability!U41</f>
        <v>-1.0913936421275139E-11</v>
      </c>
      <c r="V13" s="1000">
        <f>V12-[2]liability!V41</f>
        <v>0</v>
      </c>
      <c r="W13" s="997">
        <f>W12-[2]liability!W41</f>
        <v>0</v>
      </c>
    </row>
    <row r="14" spans="1:24" s="990" customFormat="1" x14ac:dyDescent="0.2">
      <c r="C14" s="991"/>
      <c r="D14" s="991"/>
      <c r="E14" s="991"/>
      <c r="F14" s="998"/>
      <c r="G14" s="998"/>
      <c r="H14" s="998"/>
      <c r="I14" s="998"/>
      <c r="J14" s="998"/>
      <c r="K14" s="998"/>
      <c r="L14" s="998"/>
      <c r="M14" s="998"/>
      <c r="N14" s="998"/>
      <c r="O14" s="998"/>
      <c r="P14" s="998"/>
      <c r="Q14" s="995"/>
      <c r="R14" s="1007"/>
      <c r="S14" s="1007"/>
      <c r="T14" s="1007"/>
      <c r="U14" s="1007"/>
      <c r="V14" s="1007"/>
      <c r="W14" s="998"/>
    </row>
    <row r="15" spans="1:24" s="990" customFormat="1" x14ac:dyDescent="0.2">
      <c r="C15" s="991"/>
      <c r="D15" s="991"/>
      <c r="E15" s="991"/>
      <c r="F15" s="998"/>
      <c r="G15" s="998"/>
      <c r="H15" s="998"/>
      <c r="I15" s="998"/>
      <c r="J15" s="998"/>
      <c r="K15" s="998"/>
      <c r="L15" s="998"/>
      <c r="M15" s="998"/>
      <c r="N15" s="998"/>
      <c r="O15" s="998"/>
      <c r="P15" s="998"/>
      <c r="Q15" s="1008"/>
      <c r="R15" s="1007"/>
      <c r="S15" s="1007"/>
      <c r="T15" s="1007"/>
      <c r="U15" s="1007"/>
      <c r="V15" s="1007"/>
      <c r="W15" s="998"/>
    </row>
    <row r="16" spans="1:24" s="990" customFormat="1" x14ac:dyDescent="0.2">
      <c r="A16" s="989" t="s">
        <v>606</v>
      </c>
      <c r="C16" s="991"/>
      <c r="D16" s="991"/>
      <c r="E16" s="991"/>
      <c r="F16" s="998"/>
      <c r="G16" s="998"/>
      <c r="H16" s="998"/>
      <c r="I16" s="998"/>
      <c r="J16" s="998"/>
      <c r="K16" s="998"/>
      <c r="L16" s="998"/>
      <c r="M16" s="998"/>
      <c r="N16" s="998"/>
      <c r="O16" s="998"/>
      <c r="P16" s="998"/>
      <c r="Q16" s="1008"/>
      <c r="R16" s="1007"/>
      <c r="S16" s="1007"/>
      <c r="T16" s="1007"/>
      <c r="U16" s="1007"/>
      <c r="V16" s="1007"/>
      <c r="W16" s="998"/>
    </row>
    <row r="17" spans="1:23" s="990" customFormat="1" x14ac:dyDescent="0.2">
      <c r="A17" s="990" t="s">
        <v>607</v>
      </c>
      <c r="B17" s="990" t="s">
        <v>66</v>
      </c>
      <c r="C17" s="991"/>
      <c r="D17" s="991"/>
      <c r="E17" s="991"/>
      <c r="F17" s="998"/>
      <c r="G17" s="997">
        <f t="shared" ref="G17:L17" si="1">F$12</f>
        <v>112.50119999999879</v>
      </c>
      <c r="H17" s="997">
        <f t="shared" si="1"/>
        <v>92.841101999998557</v>
      </c>
      <c r="I17" s="997">
        <f t="shared" si="1"/>
        <v>153.25544999999767</v>
      </c>
      <c r="J17" s="997">
        <f t="shared" si="1"/>
        <v>197.98334999999966</v>
      </c>
      <c r="K17" s="997">
        <f t="shared" si="1"/>
        <v>317.32338749999838</v>
      </c>
      <c r="L17" s="997">
        <f t="shared" si="1"/>
        <v>501.3409949999986</v>
      </c>
      <c r="M17" s="998">
        <v>621</v>
      </c>
      <c r="N17" s="998">
        <v>795.30266499999743</v>
      </c>
      <c r="O17" s="998">
        <v>991.25550549999764</v>
      </c>
      <c r="P17" s="997">
        <f>+O12</f>
        <v>1112.0120749999996</v>
      </c>
      <c r="Q17" s="999">
        <f t="shared" ref="Q17:W17" si="2">P$12</f>
        <v>1055.5557088130067</v>
      </c>
      <c r="R17" s="1000">
        <f t="shared" si="2"/>
        <v>871.9707929990218</v>
      </c>
      <c r="S17" s="1000">
        <f t="shared" si="2"/>
        <v>502.83126971368102</v>
      </c>
      <c r="T17" s="1000">
        <f t="shared" si="2"/>
        <v>-7.3189803337328954</v>
      </c>
      <c r="U17" s="1000">
        <f t="shared" si="2"/>
        <v>-590.99312240412405</v>
      </c>
      <c r="V17" s="1000">
        <f t="shared" si="2"/>
        <v>-1242.6118063388537</v>
      </c>
      <c r="W17" s="997">
        <f t="shared" si="2"/>
        <v>-1868.4770127468748</v>
      </c>
    </row>
    <row r="18" spans="1:23" s="990" customFormat="1" x14ac:dyDescent="0.2">
      <c r="A18" s="990" t="s">
        <v>211</v>
      </c>
      <c r="B18" s="990" t="s">
        <v>603</v>
      </c>
      <c r="C18" s="991"/>
      <c r="D18" s="991"/>
      <c r="E18" s="991"/>
      <c r="F18" s="998"/>
      <c r="G18" s="997">
        <f>[2]expense!F$26*0.885</f>
        <v>586.56490200000019</v>
      </c>
      <c r="H18" s="997">
        <f>[2]expense!G$26*0.885</f>
        <v>695.84434800000008</v>
      </c>
      <c r="I18" s="997">
        <f>[2]expense!H$26*0.885</f>
        <v>736.79790000000003</v>
      </c>
      <c r="J18" s="997">
        <f>[2]expense!I$26*0.885</f>
        <v>862.7400375000002</v>
      </c>
      <c r="K18" s="997">
        <f>[2]expense!J$26*0.885</f>
        <v>971.66760750000014</v>
      </c>
      <c r="L18" s="997">
        <f>[2]expense!K$26*0.885</f>
        <v>948.78416249999998</v>
      </c>
      <c r="M18" s="997">
        <f>[2]expense!L$26*0.866</f>
        <v>1007.8702850000002</v>
      </c>
      <c r="N18" s="997">
        <f>[2]expense!M$26*0.859</f>
        <v>1057.0703675000002</v>
      </c>
      <c r="O18" s="998">
        <v>1009.1922500000001</v>
      </c>
      <c r="P18" s="997">
        <f>([2]expense!O$26*P$6)</f>
        <v>858.693130813008</v>
      </c>
      <c r="Q18" s="999">
        <f>([2]expense!P$26*Q$6)</f>
        <v>751.27781680390262</v>
      </c>
      <c r="R18" s="1000">
        <f>([2]expense!Q$26*R$6)</f>
        <v>630.9275955539955</v>
      </c>
      <c r="S18" s="1000">
        <f>([2]expense!R$26*S$6)</f>
        <v>548.34071608079273</v>
      </c>
      <c r="T18" s="1000">
        <f>([2]expense!S$26*T$6)</f>
        <v>536.6537881942271</v>
      </c>
      <c r="U18" s="1000">
        <f>([2]expense!T$26*U$6)</f>
        <v>534.15872134834262</v>
      </c>
      <c r="V18" s="1000">
        <f>([2]expense!U$26*V$6)</f>
        <v>641.34067953796284</v>
      </c>
      <c r="W18" s="997">
        <f>([2]expense!V$26*W$6)</f>
        <v>735.37377345178368</v>
      </c>
    </row>
    <row r="19" spans="1:23" s="990" customFormat="1" x14ac:dyDescent="0.2">
      <c r="A19" s="990" t="s">
        <v>251</v>
      </c>
      <c r="B19" s="990" t="s">
        <v>608</v>
      </c>
      <c r="C19" s="1009"/>
      <c r="D19" s="1009"/>
      <c r="E19" s="1009"/>
      <c r="F19" s="1010"/>
      <c r="G19" s="1011">
        <f>'[2]Data Input'!G$31*-1*0.885</f>
        <v>-606.22500000000002</v>
      </c>
      <c r="H19" s="1011">
        <f>'[2]Data Input'!H$31*-1*0.885</f>
        <v>-635.42999999999995</v>
      </c>
      <c r="I19" s="1011">
        <f>'[2]Data Input'!I$31*-1*0.885</f>
        <v>-692.07</v>
      </c>
      <c r="J19" s="1011">
        <f>'[2]Data Input'!J$31*-1*0.885</f>
        <v>-743.4</v>
      </c>
      <c r="K19" s="1011">
        <f>'[2]Data Input'!K$31*-1*0.885</f>
        <v>-787.65</v>
      </c>
      <c r="L19" s="1011">
        <f>'[2]Data Input'!L$31*-1*0.885</f>
        <v>-815.97</v>
      </c>
      <c r="M19" s="1011">
        <f>'[2]Data Input'!M$31*-1*0.866</f>
        <v>-826.16399999999999</v>
      </c>
      <c r="N19" s="1011">
        <f>'[2]Data Input'!N$31*-1*0.859</f>
        <v>-861.577</v>
      </c>
      <c r="O19" s="1010">
        <v>-888.83664050000004</v>
      </c>
      <c r="P19" s="1012">
        <f>('[2]Data Input'!P$31*-1*P$6)+U14+-8</f>
        <v>-915.3</v>
      </c>
      <c r="Q19" s="1013">
        <f>'[2]Data Input'!Q$31*-1*Q$6</f>
        <v>-944.86799999999994</v>
      </c>
      <c r="R19" s="1014">
        <f>'[2]Data Input'!R$31*-1*R$6</f>
        <v>-1000.0671188393371</v>
      </c>
      <c r="S19" s="1014">
        <f>'[2]Data Input'!S$31*-1*S$6</f>
        <v>-1058.4909661281924</v>
      </c>
      <c r="T19" s="1014">
        <f>'[2]Data Input'!T$31*-1*T$6</f>
        <v>-1120.3279302646379</v>
      </c>
      <c r="U19" s="1014">
        <f>'[2]Data Input'!U$31*-1*U$6</f>
        <v>-1185.7774052830598</v>
      </c>
      <c r="V19" s="1014">
        <f>'[2]Data Input'!V$31*-1*V$6</f>
        <v>-1267.2058859459876</v>
      </c>
      <c r="W19" s="1011">
        <f>'[2]Data Input'!W$31*-1*W$6</f>
        <v>-1354.2261390895944</v>
      </c>
    </row>
    <row r="20" spans="1:23" s="990" customFormat="1" x14ac:dyDescent="0.2">
      <c r="A20" s="990" t="s">
        <v>609</v>
      </c>
      <c r="B20" s="990" t="s">
        <v>31</v>
      </c>
      <c r="C20" s="1015"/>
      <c r="D20" s="1015"/>
      <c r="E20" s="1015"/>
      <c r="F20" s="1016"/>
      <c r="G20" s="1017">
        <f t="shared" ref="G20:T20" si="3">SUM(G17:G19)</f>
        <v>92.841101999998955</v>
      </c>
      <c r="H20" s="1017">
        <f t="shared" si="3"/>
        <v>153.25544999999863</v>
      </c>
      <c r="I20" s="1017">
        <f t="shared" si="3"/>
        <v>197.98334999999759</v>
      </c>
      <c r="J20" s="1017">
        <f t="shared" si="3"/>
        <v>317.32338749999997</v>
      </c>
      <c r="K20" s="1017">
        <f t="shared" si="3"/>
        <v>501.34099499999854</v>
      </c>
      <c r="L20" s="1017">
        <f t="shared" si="3"/>
        <v>634.1551574999985</v>
      </c>
      <c r="M20" s="1017">
        <f t="shared" si="3"/>
        <v>802.70628500000021</v>
      </c>
      <c r="N20" s="1017">
        <f t="shared" si="3"/>
        <v>990.79603249999764</v>
      </c>
      <c r="O20" s="1016">
        <v>1111.6111149999974</v>
      </c>
      <c r="P20" s="1017">
        <f t="shared" si="3"/>
        <v>1055.4052058130076</v>
      </c>
      <c r="Q20" s="1018">
        <f t="shared" si="3"/>
        <v>861.96552561690942</v>
      </c>
      <c r="R20" s="1019">
        <f t="shared" si="3"/>
        <v>502.83126971368029</v>
      </c>
      <c r="S20" s="1019">
        <f t="shared" si="3"/>
        <v>-7.3189803337186277</v>
      </c>
      <c r="T20" s="1019">
        <f t="shared" si="3"/>
        <v>-590.99312240414361</v>
      </c>
      <c r="U20" s="1019">
        <f>SUM(U17:U19)</f>
        <v>-1242.6118063388412</v>
      </c>
      <c r="V20" s="1019">
        <f>SUM(V17:V19)</f>
        <v>-1868.4770127468785</v>
      </c>
      <c r="W20" s="1017">
        <f>SUM(W17:W19)</f>
        <v>-2487.3293783846857</v>
      </c>
    </row>
    <row r="21" spans="1:23" s="990" customFormat="1" x14ac:dyDescent="0.2">
      <c r="A21" s="990" t="s">
        <v>217</v>
      </c>
      <c r="C21" s="997">
        <f>C20-C12</f>
        <v>0</v>
      </c>
      <c r="D21" s="997">
        <f>D20-D12</f>
        <v>0</v>
      </c>
      <c r="E21" s="997">
        <f>E20-E12</f>
        <v>0</v>
      </c>
      <c r="F21" s="997">
        <f>F20-F12</f>
        <v>-112.50119999999879</v>
      </c>
      <c r="G21" s="997">
        <f t="shared" ref="G21:T21" si="4">G20-G12</f>
        <v>3.979039320256561E-13</v>
      </c>
      <c r="H21" s="997">
        <f t="shared" si="4"/>
        <v>9.6633812063373625E-13</v>
      </c>
      <c r="I21" s="997">
        <f t="shared" si="4"/>
        <v>-2.0747847884194925E-12</v>
      </c>
      <c r="J21" s="997">
        <f t="shared" si="4"/>
        <v>1.5916157281026244E-12</v>
      </c>
      <c r="K21" s="997">
        <f t="shared" si="4"/>
        <v>0</v>
      </c>
      <c r="L21" s="997">
        <f t="shared" si="4"/>
        <v>1.8189894035458565E-12</v>
      </c>
      <c r="M21" s="997">
        <f t="shared" si="4"/>
        <v>0.45947299999977531</v>
      </c>
      <c r="N21" s="997">
        <f t="shared" si="4"/>
        <v>-0.45947300000000268</v>
      </c>
      <c r="O21" s="998">
        <v>-0.40096000000221466</v>
      </c>
      <c r="P21" s="997">
        <f>P20-P12</f>
        <v>-0.15050299999916206</v>
      </c>
      <c r="Q21" s="999">
        <f t="shared" si="4"/>
        <v>-10.005267382112379</v>
      </c>
      <c r="R21" s="1000">
        <f t="shared" si="4"/>
        <v>-7.3896444519050419E-13</v>
      </c>
      <c r="S21" s="1000">
        <f t="shared" si="4"/>
        <v>1.4267698134062812E-11</v>
      </c>
      <c r="T21" s="1000">
        <f t="shared" si="4"/>
        <v>-1.9554136088117957E-11</v>
      </c>
      <c r="U21" s="1000">
        <f>U20-U12</f>
        <v>1.2505552149377763E-11</v>
      </c>
      <c r="V21" s="1000">
        <f>V20-V12</f>
        <v>-3.637978807091713E-12</v>
      </c>
      <c r="W21" s="997">
        <f>W20-W12</f>
        <v>0</v>
      </c>
    </row>
    <row r="22" spans="1:23" s="990" customFormat="1" x14ac:dyDescent="0.2">
      <c r="C22" s="991"/>
      <c r="D22" s="991"/>
      <c r="E22" s="991"/>
      <c r="F22" s="998"/>
      <c r="G22" s="998"/>
      <c r="H22" s="998"/>
      <c r="I22" s="998"/>
      <c r="J22" s="998"/>
      <c r="K22" s="998"/>
      <c r="L22" s="998"/>
      <c r="M22" s="998"/>
      <c r="N22" s="998"/>
      <c r="O22" s="998"/>
      <c r="P22" s="998"/>
      <c r="Q22" s="1008"/>
      <c r="R22" s="1007"/>
      <c r="S22" s="1007"/>
      <c r="T22" s="1007"/>
      <c r="U22" s="1007"/>
      <c r="V22" s="1007"/>
      <c r="W22" s="998"/>
    </row>
    <row r="23" spans="1:23" s="990" customFormat="1" x14ac:dyDescent="0.2">
      <c r="C23" s="991"/>
      <c r="D23" s="991"/>
      <c r="E23" s="991"/>
      <c r="F23" s="998"/>
      <c r="G23" s="998"/>
      <c r="H23" s="998"/>
      <c r="I23" s="998"/>
      <c r="J23" s="998"/>
      <c r="K23" s="998"/>
      <c r="L23" s="998"/>
      <c r="M23" s="998"/>
      <c r="N23" s="998"/>
      <c r="O23" s="998"/>
      <c r="P23" s="998"/>
      <c r="Q23" s="1008"/>
      <c r="R23" s="1007"/>
      <c r="S23" s="1007"/>
      <c r="T23" s="1007"/>
      <c r="U23" s="1007"/>
      <c r="V23" s="1007"/>
      <c r="W23" s="998"/>
    </row>
    <row r="24" spans="1:23" s="990" customFormat="1" x14ac:dyDescent="0.2">
      <c r="C24" s="991"/>
      <c r="D24" s="991"/>
      <c r="E24" s="991"/>
      <c r="F24" s="998"/>
      <c r="G24" s="998"/>
      <c r="H24" s="998"/>
      <c r="I24" s="998"/>
      <c r="J24" s="998"/>
      <c r="K24" s="998"/>
      <c r="L24" s="998"/>
      <c r="M24" s="998"/>
      <c r="N24" s="998"/>
      <c r="O24" s="998"/>
      <c r="P24" s="998"/>
      <c r="Q24" s="1008"/>
      <c r="R24" s="1007"/>
      <c r="S24" s="1007"/>
      <c r="T24" s="1007"/>
      <c r="U24" s="1007"/>
      <c r="V24" s="1007"/>
      <c r="W24" s="998"/>
    </row>
    <row r="25" spans="1:23" s="990" customFormat="1" x14ac:dyDescent="0.2">
      <c r="A25" s="990" t="s">
        <v>218</v>
      </c>
      <c r="B25" s="990" t="s">
        <v>603</v>
      </c>
      <c r="C25" s="991"/>
      <c r="D25" s="991"/>
      <c r="E25" s="991"/>
      <c r="F25" s="998"/>
      <c r="G25" s="997">
        <f>[2]expense!F20*0.885</f>
        <v>580.34760000000006</v>
      </c>
      <c r="H25" s="997">
        <f>[2]expense!G20*0.885</f>
        <v>660.63480000000004</v>
      </c>
      <c r="I25" s="997">
        <f>[2]expense!H20*0.885</f>
        <v>714.65520000000004</v>
      </c>
      <c r="J25" s="997">
        <f>[2]expense!I20*0.885</f>
        <v>822.69600000000014</v>
      </c>
      <c r="K25" s="997">
        <f>[2]expense!J20*0.885</f>
        <v>906.94800000000021</v>
      </c>
      <c r="L25" s="997">
        <f>[2]expense!K20*0.885</f>
        <v>882.66360000000009</v>
      </c>
      <c r="M25" s="997">
        <f>[2]expense!L20*0.866</f>
        <v>928.21344000000011</v>
      </c>
      <c r="N25" s="997">
        <f>[2]expense!M20*0.859</f>
        <v>967.37144000000001</v>
      </c>
      <c r="O25" s="998">
        <v>1021.02</v>
      </c>
      <c r="P25" s="997">
        <f>[2]expense!O20*P$6</f>
        <v>990.18079999999998</v>
      </c>
      <c r="Q25" s="999">
        <f>[2]expense!P20*Q$6</f>
        <v>1100.2387200000001</v>
      </c>
      <c r="R25" s="1000">
        <f>[2]expense!Q20*R$6</f>
        <v>1179.44064</v>
      </c>
      <c r="S25" s="1000">
        <f>[2]expense!R20*S$6</f>
        <v>1248.343475159307</v>
      </c>
      <c r="T25" s="1000">
        <f>[2]expense!S20*T$6</f>
        <v>1321.2716088643638</v>
      </c>
      <c r="U25" s="1000">
        <f>[2]expense!T20*U$6</f>
        <v>1398.4601987591918</v>
      </c>
      <c r="V25" s="1000">
        <f>[2]expense!U20*V$6</f>
        <v>1494.493812441815</v>
      </c>
      <c r="W25" s="997">
        <f>[2]expense!V20*W$6</f>
        <v>1597.12214720776</v>
      </c>
    </row>
    <row r="26" spans="1:23" s="990" customFormat="1" x14ac:dyDescent="0.2">
      <c r="A26" s="990" t="s">
        <v>219</v>
      </c>
      <c r="B26" s="990" t="s">
        <v>603</v>
      </c>
      <c r="C26" s="991"/>
      <c r="D26" s="991"/>
      <c r="E26" s="991"/>
      <c r="F26" s="998"/>
      <c r="G26" s="997">
        <f>[2]expense!F21*0.885</f>
        <v>0</v>
      </c>
      <c r="H26" s="997">
        <f>[2]expense!G21*0.885</f>
        <v>17.346</v>
      </c>
      <c r="I26" s="997">
        <f>[2]expense!H21*0.885</f>
        <v>9.4164000000000012</v>
      </c>
      <c r="J26" s="997">
        <f>[2]expense!I21*0.885</f>
        <v>18.337200000000003</v>
      </c>
      <c r="K26" s="997">
        <f>[2]expense!J21*0.885</f>
        <v>28.744800000000005</v>
      </c>
      <c r="L26" s="997">
        <f>[2]expense!K21*0.885</f>
        <v>25.771200000000004</v>
      </c>
      <c r="M26" s="997">
        <f>[2]expense!L21*0.866</f>
        <v>30.067520000000005</v>
      </c>
      <c r="N26" s="997">
        <f>[2]expense!M21*0.859</f>
        <v>31.267600000000005</v>
      </c>
      <c r="O26" s="998">
        <v>-31.416</v>
      </c>
      <c r="P26" s="997">
        <f>[2]expense!O21*P$6</f>
        <v>-94.024619186991885</v>
      </c>
      <c r="Q26" s="999">
        <f>[2]expense!P21*Q$6</f>
        <v>-226.43416975609759</v>
      </c>
      <c r="R26" s="1000">
        <f>[2]expense!Q21*R$6</f>
        <v>-345.23704975609758</v>
      </c>
      <c r="S26" s="1000">
        <f>[2]expense!R21*S$6</f>
        <v>-435.88984975609759</v>
      </c>
      <c r="T26" s="1000">
        <f>[2]expense!S21*T$6</f>
        <v>-484.07896975609759</v>
      </c>
      <c r="U26" s="1000">
        <f>[2]expense!T21*U$6</f>
        <v>-527.97331745536735</v>
      </c>
      <c r="V26" s="1000">
        <f>[2]expense!U21*V$6</f>
        <v>-519.01544877559797</v>
      </c>
      <c r="W26" s="997">
        <f>[2]expense!V21*W$6</f>
        <v>-522.62944635932081</v>
      </c>
    </row>
    <row r="27" spans="1:23" s="990" customFormat="1" x14ac:dyDescent="0.2">
      <c r="A27" s="990" t="s">
        <v>221</v>
      </c>
      <c r="B27" s="990" t="s">
        <v>603</v>
      </c>
      <c r="C27" s="991"/>
      <c r="D27" s="991"/>
      <c r="E27" s="991"/>
      <c r="F27" s="998"/>
      <c r="G27" s="997">
        <f>[2]expense!F22*0.885</f>
        <v>6.2173020000000365</v>
      </c>
      <c r="H27" s="997">
        <f>[2]expense!G22*0.885</f>
        <v>18.748547999999964</v>
      </c>
      <c r="I27" s="997">
        <f>[2]expense!H22*0.885</f>
        <v>14.496300000000003</v>
      </c>
      <c r="J27" s="997">
        <f>[2]expense!I22*0.885</f>
        <v>24.361837500000004</v>
      </c>
      <c r="K27" s="997">
        <f>[2]expense!J22*0.885</f>
        <v>39.514807500000032</v>
      </c>
      <c r="L27" s="997">
        <f>[2]expense!K22*0.885</f>
        <v>44.774362500000009</v>
      </c>
      <c r="M27" s="997">
        <f>[2]expense!L22*0.866</f>
        <v>54.785325</v>
      </c>
      <c r="N27" s="997">
        <f>[2]expense!M22*0.859</f>
        <v>64.4443275</v>
      </c>
      <c r="O27" s="998">
        <v>26.388249999999999</v>
      </c>
      <c r="P27" s="997">
        <f>[2]expense!O22*P$6</f>
        <v>-29.023050000000001</v>
      </c>
      <c r="Q27" s="999">
        <f>[2]expense!P22*Q$6</f>
        <v>-113.15473343999993</v>
      </c>
      <c r="R27" s="1000">
        <f>[2]expense!Q22*R$6</f>
        <v>-192.19999468990702</v>
      </c>
      <c r="S27" s="1000">
        <f>[2]expense!R22*S$6</f>
        <v>-251.33290932241664</v>
      </c>
      <c r="T27" s="1000">
        <f>[2]expense!S22*T$6</f>
        <v>-287.7588509140391</v>
      </c>
      <c r="U27" s="1000">
        <f>[2]expense!T22*U$6</f>
        <v>-321.84415995548176</v>
      </c>
      <c r="V27" s="1000">
        <f>[2]expense!U22*V$6</f>
        <v>-319.65368412825404</v>
      </c>
      <c r="W27" s="997">
        <f>[2]expense!V22*W$6</f>
        <v>-322.93092739665542</v>
      </c>
    </row>
    <row r="28" spans="1:23" s="990" customFormat="1" x14ac:dyDescent="0.2">
      <c r="A28" s="990" t="s">
        <v>222</v>
      </c>
      <c r="B28" s="990" t="s">
        <v>603</v>
      </c>
      <c r="C28" s="991"/>
      <c r="D28" s="991"/>
      <c r="E28" s="991"/>
      <c r="F28" s="998"/>
      <c r="G28" s="997">
        <f>[2]expense!F23*0.885</f>
        <v>0</v>
      </c>
      <c r="H28" s="997">
        <f>[2]expense!G23*0.885</f>
        <v>0</v>
      </c>
      <c r="I28" s="997">
        <f>[2]expense!H23*0.885</f>
        <v>0</v>
      </c>
      <c r="J28" s="997">
        <f>[2]expense!I23*0.885</f>
        <v>0</v>
      </c>
      <c r="K28" s="997">
        <f>[2]expense!J23*0.885</f>
        <v>0</v>
      </c>
      <c r="L28" s="997">
        <f>[2]expense!K23*0.885</f>
        <v>0</v>
      </c>
      <c r="M28" s="997">
        <f>[2]expense!L23*0.866</f>
        <v>0</v>
      </c>
      <c r="N28" s="997">
        <f>[2]expense!M23*0.859</f>
        <v>0</v>
      </c>
      <c r="O28" s="998">
        <v>0</v>
      </c>
      <c r="P28" s="997">
        <f>[2]expense!O23*P$6</f>
        <v>314.77824000000004</v>
      </c>
      <c r="Q28" s="999">
        <f>[2]expense!P23*Q$6</f>
        <v>54.8688</v>
      </c>
      <c r="R28" s="1000">
        <f>[2]expense!Q23*R$6</f>
        <v>0</v>
      </c>
      <c r="S28" s="1000">
        <f>[2]expense!R23*S$6</f>
        <v>0</v>
      </c>
      <c r="T28" s="1000">
        <f>[2]expense!S23*T$6</f>
        <v>0</v>
      </c>
      <c r="U28" s="1000">
        <f>[2]expense!T23*U$6</f>
        <v>0</v>
      </c>
      <c r="V28" s="1000">
        <f>[2]expense!U23*V$6</f>
        <v>0</v>
      </c>
      <c r="W28" s="997">
        <f>[2]expense!V23*W$6</f>
        <v>0</v>
      </c>
    </row>
    <row r="29" spans="1:23" s="990" customFormat="1" x14ac:dyDescent="0.2">
      <c r="A29" s="990" t="s">
        <v>247</v>
      </c>
      <c r="B29" s="990" t="s">
        <v>603</v>
      </c>
      <c r="C29" s="991"/>
      <c r="D29" s="991"/>
      <c r="E29" s="991"/>
      <c r="F29" s="998"/>
      <c r="G29" s="997">
        <f>[2]expense!F24*0.885</f>
        <v>0</v>
      </c>
      <c r="H29" s="997">
        <f>[2]expense!G24*0.885</f>
        <v>0</v>
      </c>
      <c r="I29" s="997">
        <f>[2]expense!H24*0.885</f>
        <v>0</v>
      </c>
      <c r="J29" s="997">
        <f>[2]expense!I24*0.885</f>
        <v>0</v>
      </c>
      <c r="K29" s="997">
        <f>[2]expense!J24*0.885</f>
        <v>0</v>
      </c>
      <c r="L29" s="997">
        <f>[2]expense!K24*0.885</f>
        <v>0</v>
      </c>
      <c r="M29" s="997">
        <f>[2]expense!L24*0.866</f>
        <v>0</v>
      </c>
      <c r="N29" s="997">
        <f>[2]expense!M24*0.859</f>
        <v>0</v>
      </c>
      <c r="O29" s="998">
        <v>0</v>
      </c>
      <c r="P29" s="997">
        <f>[2]expense!O24*P$6</f>
        <v>-314.77824000000004</v>
      </c>
      <c r="Q29" s="999">
        <f>[2]expense!P24*Q$6</f>
        <v>-54.8688</v>
      </c>
      <c r="R29" s="1000">
        <f>[2]expense!Q24*R$6</f>
        <v>0</v>
      </c>
      <c r="S29" s="1000">
        <f>[2]expense!R24*S$6</f>
        <v>0</v>
      </c>
      <c r="T29" s="1000">
        <f>[2]expense!S24*T$6</f>
        <v>0</v>
      </c>
      <c r="U29" s="1000">
        <f>[2]expense!T24*U$6</f>
        <v>0</v>
      </c>
      <c r="V29" s="1000">
        <f>[2]expense!U24*V$6</f>
        <v>0</v>
      </c>
      <c r="W29" s="997">
        <f>[2]expense!V24*W$6</f>
        <v>0</v>
      </c>
    </row>
    <row r="30" spans="1:23" s="990" customFormat="1" x14ac:dyDescent="0.2">
      <c r="A30" s="990" t="s">
        <v>237</v>
      </c>
      <c r="B30" s="990" t="s">
        <v>603</v>
      </c>
      <c r="C30" s="1009"/>
      <c r="D30" s="1009"/>
      <c r="E30" s="1009"/>
      <c r="F30" s="998"/>
      <c r="G30" s="997">
        <f>[2]expense!F25*0.885</f>
        <v>0</v>
      </c>
      <c r="H30" s="997">
        <f>[2]expense!G25*0.885</f>
        <v>-0.88500000000000001</v>
      </c>
      <c r="I30" s="997">
        <f>[2]expense!H25*0.885</f>
        <v>-1.77</v>
      </c>
      <c r="J30" s="997">
        <f>[2]expense!I25*0.885</f>
        <v>-2.6550000000000002</v>
      </c>
      <c r="K30" s="997">
        <f>[2]expense!J25*0.885</f>
        <v>-3.54</v>
      </c>
      <c r="L30" s="997">
        <f>[2]expense!K25*0.885</f>
        <v>-4.4249999999999998</v>
      </c>
      <c r="M30" s="997">
        <f>[2]expense!L25*0.866</f>
        <v>-5.1959999999999997</v>
      </c>
      <c r="N30" s="997">
        <f>[2]expense!M25*0.859</f>
        <v>-6.0129999999999999</v>
      </c>
      <c r="O30" s="998">
        <v>-6.8</v>
      </c>
      <c r="P30" s="997">
        <f>[2]expense!O25*P$6</f>
        <v>-8.44</v>
      </c>
      <c r="Q30" s="999">
        <f>[2]expense!P25*Q$6</f>
        <v>-9.3719999999999999</v>
      </c>
      <c r="R30" s="1000">
        <f>[2]expense!Q25*R$6</f>
        <v>-11.076000000000001</v>
      </c>
      <c r="S30" s="1000">
        <f>[2]expense!R25*S$6</f>
        <v>-12.78</v>
      </c>
      <c r="T30" s="1000">
        <f>[2]expense!S25*T$6</f>
        <v>-12.78</v>
      </c>
      <c r="U30" s="1000">
        <f>[2]expense!T25*U$6</f>
        <v>-14.484</v>
      </c>
      <c r="V30" s="1000">
        <f>[2]expense!U25*V$6</f>
        <v>-14.484</v>
      </c>
      <c r="W30" s="997">
        <f>[2]expense!V25*W$6</f>
        <v>-16.187999999999999</v>
      </c>
    </row>
    <row r="31" spans="1:23" s="989" customFormat="1" ht="13.5" thickBot="1" x14ac:dyDescent="0.25">
      <c r="A31" s="989" t="s">
        <v>220</v>
      </c>
      <c r="B31" s="990" t="s">
        <v>241</v>
      </c>
      <c r="C31" s="1020"/>
      <c r="D31" s="1020"/>
      <c r="E31" s="1020"/>
      <c r="F31" s="1021"/>
      <c r="G31" s="1022">
        <f t="shared" ref="G31:T31" si="5">SUM(G25:G30)</f>
        <v>586.56490200000007</v>
      </c>
      <c r="H31" s="1022">
        <f t="shared" si="5"/>
        <v>695.84434799999997</v>
      </c>
      <c r="I31" s="1022">
        <f t="shared" si="5"/>
        <v>736.79790000000003</v>
      </c>
      <c r="J31" s="1022">
        <f t="shared" si="5"/>
        <v>862.7400375000002</v>
      </c>
      <c r="K31" s="1022">
        <f t="shared" si="5"/>
        <v>971.66760750000037</v>
      </c>
      <c r="L31" s="1022">
        <f t="shared" si="5"/>
        <v>948.78416250000021</v>
      </c>
      <c r="M31" s="1022">
        <f t="shared" si="5"/>
        <v>1007.8702850000001</v>
      </c>
      <c r="N31" s="1022">
        <f t="shared" si="5"/>
        <v>1057.0703675000002</v>
      </c>
      <c r="O31" s="1021">
        <v>1009.1922499999999</v>
      </c>
      <c r="P31" s="1022">
        <f t="shared" si="5"/>
        <v>858.69313081300788</v>
      </c>
      <c r="Q31" s="1023">
        <f t="shared" si="5"/>
        <v>751.27781680390251</v>
      </c>
      <c r="R31" s="1024">
        <f t="shared" si="5"/>
        <v>630.92759555399539</v>
      </c>
      <c r="S31" s="1024">
        <f t="shared" si="5"/>
        <v>548.34071608079273</v>
      </c>
      <c r="T31" s="1024">
        <f t="shared" si="5"/>
        <v>536.65378819422699</v>
      </c>
      <c r="U31" s="1024">
        <f>SUM(U25:U30)</f>
        <v>534.15872134834274</v>
      </c>
      <c r="V31" s="1024">
        <f>SUM(V25:V30)</f>
        <v>641.34067953796296</v>
      </c>
      <c r="W31" s="1022">
        <f>SUM(W25:W30)</f>
        <v>735.37377345178379</v>
      </c>
    </row>
    <row r="32" spans="1:23" ht="13.5" thickTop="1" x14ac:dyDescent="0.2">
      <c r="C32" s="1025">
        <f>C31-[2]expense!B30</f>
        <v>0</v>
      </c>
      <c r="D32" s="1025">
        <f>D31-[2]expense!C30</f>
        <v>0</v>
      </c>
      <c r="E32" s="1025">
        <f>E31-[2]expense!D30</f>
        <v>0</v>
      </c>
      <c r="F32" s="1025">
        <f>F31-[2]expense!E30</f>
        <v>0</v>
      </c>
      <c r="G32" s="1025">
        <f>G31-[2]expense!F30</f>
        <v>0</v>
      </c>
      <c r="H32" s="1025">
        <f>H31-[2]expense!G30</f>
        <v>0</v>
      </c>
      <c r="I32" s="1025">
        <f>I31-[2]expense!H30</f>
        <v>0</v>
      </c>
      <c r="J32" s="1025">
        <f>J31-[2]expense!I30</f>
        <v>0</v>
      </c>
      <c r="K32" s="1025">
        <f>K31-[2]expense!J30</f>
        <v>0</v>
      </c>
      <c r="L32" s="1025">
        <f>L31-[2]expense!K30</f>
        <v>0</v>
      </c>
      <c r="M32" s="1025">
        <f>M31-[2]expense!L30</f>
        <v>0</v>
      </c>
      <c r="N32" s="1025">
        <f>N31-[2]expense!M30</f>
        <v>0</v>
      </c>
      <c r="O32" s="1026">
        <v>0</v>
      </c>
      <c r="P32" s="1025">
        <f>P31-[2]expense!O30</f>
        <v>0</v>
      </c>
      <c r="Q32" s="1027">
        <f>Q31-[2]expense!P30</f>
        <v>0</v>
      </c>
      <c r="R32" s="1028">
        <f>R31-[2]expense!Q30</f>
        <v>0</v>
      </c>
      <c r="S32" s="1028">
        <f>S31-[2]expense!R30</f>
        <v>0</v>
      </c>
      <c r="T32" s="1028">
        <f>T31-[2]expense!S30</f>
        <v>0</v>
      </c>
      <c r="U32" s="1028">
        <f>U31-[2]expense!T30</f>
        <v>0</v>
      </c>
      <c r="V32" s="1028">
        <f>V31-[2]expense!U30</f>
        <v>0</v>
      </c>
      <c r="W32" s="1025">
        <f>W31-[2]expense!V30</f>
        <v>0</v>
      </c>
    </row>
  </sheetData>
  <printOptions headings="1"/>
  <pageMargins left="0.31" right="0.23" top="0.47" bottom="1" header="0.5" footer="0.5"/>
  <pageSetup paperSize="5" orientation="landscape" r:id="rId1"/>
  <headerFooter alignWithMargins="0">
    <oddFooter>&amp;L&amp;F&amp;C&amp;A&amp;R&amp;D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2"/>
  <sheetViews>
    <sheetView workbookViewId="0">
      <pane xSplit="1" ySplit="4" topLeftCell="B5"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48.140625" customWidth="1"/>
    <col min="2" max="2" width="20.28515625" customWidth="1"/>
    <col min="3" max="4" width="10.85546875" hidden="1" customWidth="1"/>
    <col min="5" max="6" width="0" hidden="1" customWidth="1"/>
    <col min="17" max="26" width="9.140625" style="115"/>
    <col min="27" max="27" width="9.140625" style="115" customWidth="1"/>
    <col min="28" max="28" width="9.140625" style="464" customWidth="1"/>
    <col min="29" max="31" width="9.140625" style="76" hidden="1" customWidth="1" outlineLevel="1"/>
    <col min="32" max="32" width="9.140625" style="238" hidden="1" customWidth="1" outlineLevel="1"/>
    <col min="33" max="33" width="9.140625" collapsed="1"/>
  </cols>
  <sheetData>
    <row r="1" spans="1:32" ht="15.75" x14ac:dyDescent="0.25">
      <c r="A1" s="18" t="s">
        <v>67</v>
      </c>
      <c r="B1" s="18"/>
    </row>
    <row r="2" spans="1:32" ht="15.75" x14ac:dyDescent="0.25">
      <c r="A2" s="2" t="s">
        <v>68</v>
      </c>
      <c r="B2" s="18"/>
    </row>
    <row r="3" spans="1:32" x14ac:dyDescent="0.2">
      <c r="Z3" s="339" t="s">
        <v>178</v>
      </c>
      <c r="AA3" s="339" t="s">
        <v>294</v>
      </c>
      <c r="AB3" s="461" t="s">
        <v>309</v>
      </c>
      <c r="AC3" s="309" t="s">
        <v>315</v>
      </c>
      <c r="AD3" s="309" t="s">
        <v>316</v>
      </c>
      <c r="AE3" s="309" t="s">
        <v>317</v>
      </c>
      <c r="AF3" s="310" t="s">
        <v>318</v>
      </c>
    </row>
    <row r="4" spans="1:32" s="2" customFormat="1" ht="13.5" thickBot="1" x14ac:dyDescent="0.25">
      <c r="A4" s="19" t="s">
        <v>1</v>
      </c>
      <c r="B4" s="20" t="s">
        <v>26</v>
      </c>
      <c r="C4" s="20">
        <v>1990</v>
      </c>
      <c r="D4" s="20">
        <v>1991</v>
      </c>
      <c r="E4" s="20">
        <v>1992</v>
      </c>
      <c r="F4" s="20">
        <v>1993</v>
      </c>
      <c r="G4" s="20">
        <v>1994</v>
      </c>
      <c r="H4" s="20">
        <v>1995</v>
      </c>
      <c r="I4" s="20">
        <v>1996</v>
      </c>
      <c r="J4" s="20">
        <v>1997</v>
      </c>
      <c r="K4" s="20">
        <v>1998</v>
      </c>
      <c r="L4" s="20">
        <v>1999</v>
      </c>
      <c r="M4" s="20">
        <v>2000</v>
      </c>
      <c r="N4" s="20">
        <v>2001</v>
      </c>
      <c r="O4" s="20">
        <v>2002</v>
      </c>
      <c r="P4" s="20">
        <v>2003</v>
      </c>
      <c r="Q4" s="116">
        <v>2004</v>
      </c>
      <c r="R4" s="116">
        <v>2005</v>
      </c>
      <c r="S4" s="116">
        <v>2006</v>
      </c>
      <c r="T4" s="116">
        <v>2007</v>
      </c>
      <c r="U4" s="116">
        <v>2008</v>
      </c>
      <c r="V4" s="116">
        <v>2009</v>
      </c>
      <c r="W4" s="116">
        <v>2010</v>
      </c>
      <c r="X4" s="116">
        <v>2011</v>
      </c>
      <c r="Y4" s="116">
        <v>2012</v>
      </c>
      <c r="Z4" s="116">
        <v>2013</v>
      </c>
      <c r="AA4" s="116">
        <v>2014</v>
      </c>
      <c r="AB4" s="475">
        <v>2015</v>
      </c>
      <c r="AC4" s="77">
        <v>2016</v>
      </c>
      <c r="AD4" s="77">
        <v>2017</v>
      </c>
      <c r="AE4" s="77">
        <v>2018</v>
      </c>
      <c r="AF4" s="239">
        <v>2019</v>
      </c>
    </row>
    <row r="7" spans="1:32" x14ac:dyDescent="0.2">
      <c r="A7" s="28" t="s">
        <v>47</v>
      </c>
    </row>
    <row r="8" spans="1:32" s="3" customFormat="1" x14ac:dyDescent="0.2">
      <c r="A8" s="3" t="s">
        <v>48</v>
      </c>
      <c r="B8" s="3" t="s">
        <v>49</v>
      </c>
      <c r="C8" s="3">
        <f>'Data Input'!C12</f>
        <v>21912</v>
      </c>
      <c r="D8" s="3">
        <f>'Data Input'!D12</f>
        <v>24391</v>
      </c>
      <c r="E8" s="3">
        <f>'Data Input'!E12</f>
        <v>27479</v>
      </c>
      <c r="F8" s="3">
        <f>'Data Input'!F12</f>
        <v>30781</v>
      </c>
      <c r="G8" s="3">
        <f>'Data Input'!G12</f>
        <v>33998</v>
      </c>
      <c r="H8" s="3">
        <f>'Data Input'!H12</f>
        <v>36848</v>
      </c>
      <c r="I8" s="3">
        <f>'Data Input'!I12</f>
        <v>39007</v>
      </c>
      <c r="J8" s="3">
        <f>'Data Input'!J12</f>
        <v>41833</v>
      </c>
      <c r="K8" s="3">
        <f>'Data Input'!K12</f>
        <v>46470</v>
      </c>
      <c r="L8" s="3">
        <f>'Data Input'!L12</f>
        <v>48635</v>
      </c>
      <c r="M8" s="3">
        <f>'Data Input'!M12</f>
        <v>50346</v>
      </c>
      <c r="N8" s="3">
        <f>'Data Input'!N12</f>
        <v>55087</v>
      </c>
      <c r="O8" s="3">
        <f>'Data Input'!O12</f>
        <v>64369</v>
      </c>
      <c r="P8" s="3">
        <f>'Data Input'!P12</f>
        <v>67319</v>
      </c>
      <c r="Q8" s="121">
        <f>'Data Input'!Q12</f>
        <v>71009</v>
      </c>
      <c r="R8" s="121">
        <f>'Data Input'!R12</f>
        <v>74089</v>
      </c>
      <c r="S8" s="121">
        <f>'Data Input'!S12</f>
        <v>80371</v>
      </c>
      <c r="T8" s="121">
        <f>'Data Input'!T12</f>
        <v>83120</v>
      </c>
      <c r="U8" s="121">
        <f>'Data Input'!U12</f>
        <v>88356</v>
      </c>
      <c r="V8" s="121">
        <f>'Data Input'!V12</f>
        <v>92022</v>
      </c>
      <c r="W8" s="121">
        <f>'Data Input'!W12</f>
        <v>96608</v>
      </c>
      <c r="X8" s="121">
        <f>'Data Input'!X12</f>
        <v>99117</v>
      </c>
      <c r="Y8" s="121">
        <f>'Data Input'!Y12</f>
        <v>103693</v>
      </c>
      <c r="Z8" s="121">
        <f>'Data Input'!Z12</f>
        <v>105954</v>
      </c>
      <c r="AA8" s="121">
        <f>'Data Input'!AA12</f>
        <v>109524</v>
      </c>
      <c r="AB8" s="481">
        <f>'Data Input'!AB12</f>
        <v>113801</v>
      </c>
      <c r="AC8" s="79">
        <f>'Data Input'!AC12</f>
        <v>116367</v>
      </c>
      <c r="AD8" s="79">
        <f>'Data Input'!AD12</f>
        <v>120891.15773981952</v>
      </c>
      <c r="AE8" s="79">
        <f>'Data Input'!AE12</f>
        <v>125674.54587496544</v>
      </c>
      <c r="AF8" s="240">
        <f>'Data Input'!AF12</f>
        <v>130724.77615093655</v>
      </c>
    </row>
    <row r="9" spans="1:32" s="3" customFormat="1" x14ac:dyDescent="0.2">
      <c r="A9" s="3" t="s">
        <v>51</v>
      </c>
      <c r="B9" s="3" t="s">
        <v>57</v>
      </c>
      <c r="C9" s="3">
        <f>'Data Input'!D14/2</f>
        <v>465</v>
      </c>
      <c r="D9" s="3">
        <f>'Data Input'!E14/2</f>
        <v>590</v>
      </c>
      <c r="E9" s="3">
        <f>'Data Input'!F14/2</f>
        <v>594</v>
      </c>
      <c r="F9" s="3">
        <f>'Data Input'!G14/2</f>
        <v>585</v>
      </c>
      <c r="G9" s="3">
        <f>'Data Input'!H14/2</f>
        <v>646</v>
      </c>
      <c r="H9" s="3">
        <f>'Data Input'!I14/2</f>
        <v>681.5</v>
      </c>
      <c r="I9" s="3">
        <f>'Data Input'!J14/2</f>
        <v>668.5</v>
      </c>
      <c r="J9" s="3">
        <f>'Data Input'!K14/2</f>
        <v>602</v>
      </c>
      <c r="K9" s="3">
        <f>'Data Input'!L14/2</f>
        <v>652.5</v>
      </c>
      <c r="L9" s="3">
        <f>'Data Input'!M14/2</f>
        <v>650.5</v>
      </c>
      <c r="M9" s="3">
        <f>'Data Input'!N14/2</f>
        <v>650</v>
      </c>
      <c r="N9" s="3">
        <f>'Data Input'!O14/2</f>
        <v>769.5</v>
      </c>
      <c r="O9" s="3">
        <f>'Data Input'!P14/2</f>
        <v>847.5</v>
      </c>
      <c r="P9" s="3">
        <f>'Data Input'!Q14/2</f>
        <v>867.5</v>
      </c>
      <c r="Q9" s="121">
        <f>'Data Input'!R14/2</f>
        <v>878</v>
      </c>
      <c r="R9" s="121">
        <f>'Data Input'!S14/2</f>
        <v>954.5</v>
      </c>
      <c r="S9" s="121">
        <f>'Data Input'!T14/2</f>
        <v>997.5</v>
      </c>
      <c r="T9" s="121">
        <f>'Data Input'!U14/2</f>
        <v>1051</v>
      </c>
      <c r="U9" s="121">
        <f>'Data Input'!V14/2</f>
        <v>1118</v>
      </c>
      <c r="V9" s="121">
        <f>'Data Input'!W14/2</f>
        <v>1174.5</v>
      </c>
      <c r="W9" s="121">
        <f>'Data Input'!X14/2</f>
        <v>1217</v>
      </c>
      <c r="X9" s="121">
        <f>'Data Input'!Y14/2</f>
        <v>1282.5</v>
      </c>
      <c r="Y9" s="121">
        <f>'Data Input'!Z14/2</f>
        <v>1395.5</v>
      </c>
      <c r="Z9" s="121">
        <f>'Data Input'!AA14/2</f>
        <v>1327</v>
      </c>
      <c r="AA9" s="121">
        <f>'Data Input'!AB14/2</f>
        <v>1462</v>
      </c>
      <c r="AB9" s="481">
        <f>'Data Input'!AC14/2</f>
        <v>1451</v>
      </c>
      <c r="AC9" s="79">
        <f>'Data Input'!AD14/2</f>
        <v>1511.796875</v>
      </c>
      <c r="AD9" s="79">
        <f>'Data Input'!AE14/2</f>
        <v>1631.0513452148434</v>
      </c>
      <c r="AE9" s="79">
        <f>'Data Input'!AF14/2</f>
        <v>1750.202044587707</v>
      </c>
      <c r="AF9" s="240">
        <f>'Data Input'!AG14/2</f>
        <v>1878.0037412594415</v>
      </c>
    </row>
    <row r="10" spans="1:32" s="121" customFormat="1" x14ac:dyDescent="0.2">
      <c r="A10" s="121" t="s">
        <v>340</v>
      </c>
      <c r="S10" s="121">
        <f>'Data Input'!T15/2</f>
        <v>8.5</v>
      </c>
      <c r="T10" s="121">
        <f>'Data Input'!U15/2</f>
        <v>9.5</v>
      </c>
      <c r="U10" s="121">
        <f>'Data Input'!V15/2</f>
        <v>8.5</v>
      </c>
      <c r="V10" s="121">
        <f>'Data Input'!W15/2</f>
        <v>6.5</v>
      </c>
      <c r="W10" s="121">
        <f>'Data Input'!X15/2</f>
        <v>5.5</v>
      </c>
      <c r="X10" s="121">
        <f>'Data Input'!Y15/2</f>
        <v>7.5</v>
      </c>
      <c r="Y10" s="121">
        <f>'Data Input'!Z15/2</f>
        <v>6.5</v>
      </c>
      <c r="Z10" s="121">
        <f>'Data Input'!AA15/2</f>
        <v>6.5</v>
      </c>
      <c r="AA10" s="121">
        <f>'Data Input'!AB15/2</f>
        <v>6.5</v>
      </c>
      <c r="AB10" s="481">
        <f>'Data Input'!AC15/2</f>
        <v>7</v>
      </c>
      <c r="AC10" s="79">
        <f>'Data Input'!AD15/2</f>
        <v>6.5</v>
      </c>
      <c r="AD10" s="79">
        <f>'Data Input'!AE15/2</f>
        <v>6.5</v>
      </c>
      <c r="AE10" s="79">
        <f>'Data Input'!AF15/2</f>
        <v>6.5</v>
      </c>
      <c r="AF10" s="240">
        <f>'Data Input'!AG15/2</f>
        <v>6.5</v>
      </c>
    </row>
    <row r="11" spans="1:32" s="3" customFormat="1" x14ac:dyDescent="0.2">
      <c r="A11" s="3" t="s">
        <v>52</v>
      </c>
      <c r="B11" s="3" t="s">
        <v>57</v>
      </c>
      <c r="C11" s="3">
        <f>'Data Input'!D16/2</f>
        <v>0</v>
      </c>
      <c r="D11" s="3">
        <f>'Data Input'!E16/2</f>
        <v>0</v>
      </c>
      <c r="E11" s="3">
        <f>'Data Input'!F16/2</f>
        <v>0</v>
      </c>
      <c r="F11" s="3">
        <f>'Data Input'!G16/2</f>
        <v>0</v>
      </c>
      <c r="G11" s="3">
        <f>'Data Input'!H16/2</f>
        <v>0</v>
      </c>
      <c r="H11" s="3">
        <f>'Data Input'!I16/2</f>
        <v>0</v>
      </c>
      <c r="I11" s="3">
        <f>'Data Input'!J16/2</f>
        <v>129</v>
      </c>
      <c r="J11" s="3">
        <f>'Data Input'!K16/2</f>
        <v>1006.5</v>
      </c>
      <c r="K11" s="3">
        <f>'Data Input'!L17/2</f>
        <v>190</v>
      </c>
      <c r="L11" s="3">
        <f>'Data Input'!M16/2</f>
        <v>0</v>
      </c>
      <c r="M11" s="3">
        <f>'Data Input'!N16/2</f>
        <v>0</v>
      </c>
      <c r="N11" s="3">
        <f>'Data Input'!O16/2</f>
        <v>2259.5</v>
      </c>
      <c r="O11" s="3">
        <f>'Data Input'!P16/2</f>
        <v>0</v>
      </c>
      <c r="P11" s="3">
        <f>'Data Input'!Q16/2</f>
        <v>0</v>
      </c>
      <c r="Q11" s="121">
        <f>'Data Input'!R16/2</f>
        <v>0</v>
      </c>
      <c r="R11" s="121">
        <f>'Data Input'!S16/2</f>
        <v>0</v>
      </c>
      <c r="S11" s="121">
        <f>'Data Input'!T16/2</f>
        <v>0</v>
      </c>
      <c r="T11" s="121">
        <f>'Data Input'!U16/2</f>
        <v>0</v>
      </c>
      <c r="U11" s="121">
        <f>'Data Input'!V16/2</f>
        <v>0</v>
      </c>
      <c r="V11" s="121">
        <f>'Data Input'!W16/2</f>
        <v>0</v>
      </c>
      <c r="W11" s="121">
        <f>'Data Input'!X16/2</f>
        <v>0</v>
      </c>
      <c r="X11" s="121">
        <f>'Data Input'!Y16/2</f>
        <v>0</v>
      </c>
      <c r="Y11" s="121">
        <f>'Data Input'!Z16/2</f>
        <v>0</v>
      </c>
      <c r="Z11" s="121">
        <f>'Data Input'!AA16/2</f>
        <v>0</v>
      </c>
      <c r="AA11" s="121">
        <f>'Data Input'!AB16/2</f>
        <v>0</v>
      </c>
      <c r="AB11" s="481">
        <f>'Data Input'!AC16/2</f>
        <v>0</v>
      </c>
      <c r="AC11" s="79">
        <f>'Data Input'!AD16/2</f>
        <v>0</v>
      </c>
      <c r="AD11" s="79">
        <f>'Data Input'!AE16/2</f>
        <v>0</v>
      </c>
      <c r="AE11" s="79">
        <f>'Data Input'!AF16/2</f>
        <v>0</v>
      </c>
      <c r="AF11" s="240">
        <f>'Data Input'!AG16/2</f>
        <v>0</v>
      </c>
    </row>
    <row r="12" spans="1:32" s="3" customFormat="1" x14ac:dyDescent="0.2">
      <c r="A12" s="3" t="s">
        <v>53</v>
      </c>
      <c r="B12" s="3" t="s">
        <v>57</v>
      </c>
      <c r="C12" s="6">
        <f>'Data Input'!D18/2</f>
        <v>-380</v>
      </c>
      <c r="D12" s="6">
        <f>'Data Input'!E18/2</f>
        <v>-414.5</v>
      </c>
      <c r="E12" s="6">
        <f>'Data Input'!F18/2</f>
        <v>-460.5</v>
      </c>
      <c r="F12" s="6">
        <f>'Data Input'!G18/2</f>
        <v>-500.5</v>
      </c>
      <c r="G12" s="6">
        <f>'Data Input'!H18/2</f>
        <v>-565</v>
      </c>
      <c r="H12" s="6">
        <f>'Data Input'!I18/2</f>
        <v>-630.5</v>
      </c>
      <c r="I12" s="6">
        <f>'Data Input'!J18/2</f>
        <v>-760</v>
      </c>
      <c r="J12" s="6">
        <f>'Data Input'!K18/2</f>
        <v>-901</v>
      </c>
      <c r="K12" s="6">
        <f>'Data Input'!L18/2</f>
        <v>-1051.5</v>
      </c>
      <c r="L12" s="6">
        <f>'Data Input'!M18/2</f>
        <v>-1139</v>
      </c>
      <c r="M12" s="6">
        <f>'Data Input'!N18/2</f>
        <v>-1270.5</v>
      </c>
      <c r="N12" s="6">
        <f>'Data Input'!O18/2</f>
        <v>-1540</v>
      </c>
      <c r="O12" s="6">
        <f>'Data Input'!P18/2</f>
        <v>-1538</v>
      </c>
      <c r="P12" s="6">
        <f>'Data Input'!Q18/2</f>
        <v>-1599.5</v>
      </c>
      <c r="Q12" s="125">
        <f>'Data Input'!R18/2</f>
        <v>-1714</v>
      </c>
      <c r="R12" s="125">
        <f>'Data Input'!S18/2</f>
        <v>-1810</v>
      </c>
      <c r="S12" s="125">
        <f>'Data Input'!T18/2</f>
        <v>-1909</v>
      </c>
      <c r="T12" s="125">
        <f>'Data Input'!U18/2</f>
        <v>-2010</v>
      </c>
      <c r="U12" s="125">
        <f>'Data Input'!V18/2</f>
        <v>-2097</v>
      </c>
      <c r="V12" s="125">
        <f>'Data Input'!W18/2</f>
        <v>-2196</v>
      </c>
      <c r="W12" s="125">
        <f>'Data Input'!X18/2</f>
        <v>-2250</v>
      </c>
      <c r="X12" s="125">
        <f>'Data Input'!Y18/2</f>
        <v>-2331.5</v>
      </c>
      <c r="Y12" s="125">
        <f>'Data Input'!Z18/2</f>
        <v>-2462</v>
      </c>
      <c r="Z12" s="125">
        <f>'Data Input'!AA18/2</f>
        <v>-2575</v>
      </c>
      <c r="AA12" s="125">
        <f>'Data Input'!AB18/2</f>
        <v>-2653</v>
      </c>
      <c r="AB12" s="482">
        <f>'Data Input'!AC18/2</f>
        <v>-2768</v>
      </c>
      <c r="AC12" s="81">
        <f>'Data Input'!AD18/2</f>
        <v>-2847.3898800902357</v>
      </c>
      <c r="AD12" s="81">
        <f>'Data Input'!AE18/2</f>
        <v>-2974.2801586714045</v>
      </c>
      <c r="AE12" s="81">
        <f>'Data Input'!AF18/2</f>
        <v>-3105.880039601253</v>
      </c>
      <c r="AF12" s="241">
        <f>'Data Input'!AG18/2</f>
        <v>-3241.89041757724</v>
      </c>
    </row>
    <row r="13" spans="1:32" s="8" customFormat="1" x14ac:dyDescent="0.2">
      <c r="A13" s="8" t="s">
        <v>54</v>
      </c>
      <c r="B13" s="8" t="s">
        <v>31</v>
      </c>
      <c r="C13" s="8">
        <f>SUM(C8:C12)</f>
        <v>21997</v>
      </c>
      <c r="D13" s="8">
        <f>SUM(D8:D12)</f>
        <v>24566.5</v>
      </c>
      <c r="E13" s="8">
        <f t="shared" ref="E13:R13" si="0">SUM(E8:E12)</f>
        <v>27612.5</v>
      </c>
      <c r="F13" s="8">
        <f t="shared" si="0"/>
        <v>30865.5</v>
      </c>
      <c r="G13" s="8">
        <f t="shared" si="0"/>
        <v>34079</v>
      </c>
      <c r="H13" s="8">
        <f t="shared" si="0"/>
        <v>36899</v>
      </c>
      <c r="I13" s="8">
        <f t="shared" si="0"/>
        <v>39044.5</v>
      </c>
      <c r="J13" s="8">
        <f t="shared" si="0"/>
        <v>42540.5</v>
      </c>
      <c r="K13" s="8">
        <f t="shared" si="0"/>
        <v>46261</v>
      </c>
      <c r="L13" s="8">
        <f t="shared" si="0"/>
        <v>48146.5</v>
      </c>
      <c r="M13" s="8">
        <f t="shared" si="0"/>
        <v>49725.5</v>
      </c>
      <c r="N13" s="8">
        <f t="shared" si="0"/>
        <v>56576</v>
      </c>
      <c r="O13" s="8">
        <f t="shared" si="0"/>
        <v>63678.5</v>
      </c>
      <c r="P13" s="8">
        <f t="shared" si="0"/>
        <v>66587</v>
      </c>
      <c r="Q13" s="119">
        <f t="shared" si="0"/>
        <v>70173</v>
      </c>
      <c r="R13" s="119">
        <f t="shared" si="0"/>
        <v>73233.5</v>
      </c>
      <c r="S13" s="119">
        <f t="shared" ref="S13:AD13" si="1">SUM(S8:S12)</f>
        <v>79468</v>
      </c>
      <c r="T13" s="119">
        <f t="shared" si="1"/>
        <v>82170.5</v>
      </c>
      <c r="U13" s="119">
        <f t="shared" si="1"/>
        <v>87385.5</v>
      </c>
      <c r="V13" s="119">
        <f t="shared" si="1"/>
        <v>91007</v>
      </c>
      <c r="W13" s="119">
        <f t="shared" si="1"/>
        <v>95580.5</v>
      </c>
      <c r="X13" s="119">
        <f t="shared" si="1"/>
        <v>98075.5</v>
      </c>
      <c r="Y13" s="119">
        <f t="shared" si="1"/>
        <v>102633</v>
      </c>
      <c r="Z13" s="119">
        <f t="shared" si="1"/>
        <v>104712.5</v>
      </c>
      <c r="AA13" s="119">
        <f t="shared" si="1"/>
        <v>108339.5</v>
      </c>
      <c r="AB13" s="478">
        <f t="shared" si="1"/>
        <v>112491</v>
      </c>
      <c r="AC13" s="78">
        <f t="shared" si="1"/>
        <v>115037.90699490976</v>
      </c>
      <c r="AD13" s="78">
        <f t="shared" si="1"/>
        <v>119554.42892636296</v>
      </c>
      <c r="AE13" s="78">
        <f>SUM(AE8:AE12)</f>
        <v>124325.3678799519</v>
      </c>
      <c r="AF13" s="242">
        <f>SUM(AF8:AF12)</f>
        <v>129367.38947461877</v>
      </c>
    </row>
    <row r="14" spans="1:32" s="1" customFormat="1" x14ac:dyDescent="0.2">
      <c r="A14" s="1" t="s">
        <v>55</v>
      </c>
      <c r="B14" s="1" t="s">
        <v>49</v>
      </c>
      <c r="C14" s="4">
        <f>'Data Input'!D6</f>
        <v>0.105</v>
      </c>
      <c r="D14" s="4">
        <f>'Data Input'!E6</f>
        <v>0.10249999999999999</v>
      </c>
      <c r="E14" s="4">
        <f>'Data Input'!F6</f>
        <v>9.5000000000000001E-2</v>
      </c>
      <c r="F14" s="4">
        <f>'Data Input'!G6</f>
        <v>8.7499999999999994E-2</v>
      </c>
      <c r="G14" s="4">
        <f>'Data Input'!H6</f>
        <v>8.7499999999999994E-2</v>
      </c>
      <c r="H14" s="4">
        <f>'Data Input'!I6</f>
        <v>8.2500000000000004E-2</v>
      </c>
      <c r="I14" s="4">
        <f>'Data Input'!J6</f>
        <v>8.2500000000000004E-2</v>
      </c>
      <c r="J14" s="4">
        <f>'Data Input'!K6</f>
        <v>7.7499999999999999E-2</v>
      </c>
      <c r="K14" s="4">
        <f>'Data Input'!L6</f>
        <v>7.2499999999999995E-2</v>
      </c>
      <c r="L14" s="4">
        <f>'Data Input'!M6</f>
        <v>7.2499999999999995E-2</v>
      </c>
      <c r="M14" s="4">
        <f>'Data Input'!N6</f>
        <v>7.0000000000000007E-2</v>
      </c>
      <c r="N14" s="4">
        <f>'Data Input'!O6</f>
        <v>7.0000000000000007E-2</v>
      </c>
      <c r="O14" s="4">
        <f>'Data Input'!P6</f>
        <v>7.0000000000000007E-2</v>
      </c>
      <c r="P14" s="4">
        <f>'Data Input'!Q6</f>
        <v>7.0000000000000007E-2</v>
      </c>
      <c r="Q14" s="128">
        <f>'Data Input'!R6</f>
        <v>7.0000000000000007E-2</v>
      </c>
      <c r="R14" s="406">
        <f>'Data Input'!S6</f>
        <v>7.0000000000000007E-2</v>
      </c>
      <c r="S14" s="406">
        <f>'Data Input'!T6</f>
        <v>6.7500000000000004E-2</v>
      </c>
      <c r="T14" s="128">
        <f>'Data Input'!U6</f>
        <v>6.7500000000000004E-2</v>
      </c>
      <c r="U14" s="128">
        <f>'Data Input'!V6</f>
        <v>6.7500000000000004E-2</v>
      </c>
      <c r="V14" s="128">
        <f>'Data Input'!W6</f>
        <v>6.7500000000000004E-2</v>
      </c>
      <c r="W14" s="128">
        <f>'Data Input'!X6</f>
        <v>6.7500000000000004E-2</v>
      </c>
      <c r="X14" s="128">
        <f>'Data Input'!Y6</f>
        <v>6.7500000000000004E-2</v>
      </c>
      <c r="Y14" s="128">
        <f>'Data Input'!Z6</f>
        <v>6.7500000000000004E-2</v>
      </c>
      <c r="Z14" s="128">
        <f>'Data Input'!AA6</f>
        <v>6.7500000000000004E-2</v>
      </c>
      <c r="AA14" s="128">
        <f>'Data Input'!AB6</f>
        <v>6.7500000000000004E-2</v>
      </c>
      <c r="AB14" s="483">
        <f>'Data Input'!AC6</f>
        <v>6.5000000000000002E-2</v>
      </c>
      <c r="AC14" s="82">
        <f>'Data Input'!AD6</f>
        <v>6.25E-2</v>
      </c>
      <c r="AD14" s="82">
        <f>'Data Input'!AE6</f>
        <v>6.25E-2</v>
      </c>
      <c r="AE14" s="82">
        <f>'Data Input'!AF6</f>
        <v>6.25E-2</v>
      </c>
      <c r="AF14" s="243">
        <f>'Data Input'!AG6</f>
        <v>6.25E-2</v>
      </c>
    </row>
    <row r="15" spans="1:32" s="25" customFormat="1" x14ac:dyDescent="0.2">
      <c r="A15" s="25" t="s">
        <v>56</v>
      </c>
      <c r="B15" s="8" t="s">
        <v>31</v>
      </c>
      <c r="C15" s="26">
        <f>C13*C14</f>
        <v>2309.6849999999999</v>
      </c>
      <c r="D15" s="26">
        <f>D13*D14</f>
        <v>2518.0662499999999</v>
      </c>
      <c r="E15" s="26">
        <f t="shared" ref="E15:R15" si="2">E13*E14</f>
        <v>2623.1875</v>
      </c>
      <c r="F15" s="26">
        <f t="shared" si="2"/>
        <v>2700.7312499999998</v>
      </c>
      <c r="G15" s="26">
        <f t="shared" si="2"/>
        <v>2981.9124999999999</v>
      </c>
      <c r="H15" s="26">
        <f t="shared" si="2"/>
        <v>3044.1675</v>
      </c>
      <c r="I15" s="26">
        <f t="shared" si="2"/>
        <v>3221.1712500000003</v>
      </c>
      <c r="J15" s="26">
        <f t="shared" si="2"/>
        <v>3296.8887500000001</v>
      </c>
      <c r="K15" s="26">
        <f t="shared" si="2"/>
        <v>3353.9224999999997</v>
      </c>
      <c r="L15" s="26">
        <f t="shared" si="2"/>
        <v>3490.6212499999997</v>
      </c>
      <c r="M15" s="26">
        <f t="shared" si="2"/>
        <v>3480.7850000000003</v>
      </c>
      <c r="N15" s="26">
        <f>ROUNDDOWN(N13*N14,0)</f>
        <v>3960</v>
      </c>
      <c r="O15" s="26">
        <f t="shared" si="2"/>
        <v>4457.4950000000008</v>
      </c>
      <c r="P15" s="26">
        <f t="shared" si="2"/>
        <v>4661.09</v>
      </c>
      <c r="Q15" s="129">
        <f t="shared" si="2"/>
        <v>4912.1100000000006</v>
      </c>
      <c r="R15" s="129">
        <f t="shared" si="2"/>
        <v>5126.3450000000003</v>
      </c>
      <c r="S15" s="129">
        <f t="shared" ref="S15:AD15" si="3">S13*S14</f>
        <v>5364.09</v>
      </c>
      <c r="T15" s="129">
        <f t="shared" si="3"/>
        <v>5546.50875</v>
      </c>
      <c r="U15" s="129">
        <f t="shared" si="3"/>
        <v>5898.5212500000007</v>
      </c>
      <c r="V15" s="129">
        <f t="shared" si="3"/>
        <v>6142.9725000000008</v>
      </c>
      <c r="W15" s="129">
        <f t="shared" si="3"/>
        <v>6451.6837500000001</v>
      </c>
      <c r="X15" s="129">
        <f t="shared" si="3"/>
        <v>6620.0962500000005</v>
      </c>
      <c r="Y15" s="129">
        <f t="shared" si="3"/>
        <v>6927.7275000000009</v>
      </c>
      <c r="Z15" s="129">
        <f t="shared" si="3"/>
        <v>7068.0937500000009</v>
      </c>
      <c r="AA15" s="129">
        <f t="shared" si="3"/>
        <v>7312.9162500000002</v>
      </c>
      <c r="AB15" s="484">
        <f t="shared" si="3"/>
        <v>7311.915</v>
      </c>
      <c r="AC15" s="83">
        <f t="shared" si="3"/>
        <v>7189.8691871818601</v>
      </c>
      <c r="AD15" s="83">
        <f t="shared" si="3"/>
        <v>7472.1518078976851</v>
      </c>
      <c r="AE15" s="83">
        <f>AE13*AE14</f>
        <v>7770.3354924969935</v>
      </c>
      <c r="AF15" s="244">
        <f>AF13*AF14</f>
        <v>8085.4618421636733</v>
      </c>
    </row>
    <row r="17" spans="1:32" x14ac:dyDescent="0.2">
      <c r="A17" s="28" t="s">
        <v>58</v>
      </c>
    </row>
    <row r="18" spans="1:32" s="3" customFormat="1" x14ac:dyDescent="0.2">
      <c r="A18" s="3" t="s">
        <v>296</v>
      </c>
      <c r="B18" s="3" t="s">
        <v>49</v>
      </c>
      <c r="C18" s="3">
        <f>'Data Input'!C28</f>
        <v>18540</v>
      </c>
      <c r="D18" s="3">
        <f>'Data Input'!D28</f>
        <v>20124</v>
      </c>
      <c r="E18" s="3">
        <f>'Data Input'!E28</f>
        <v>24697</v>
      </c>
      <c r="F18" s="3">
        <f>'Data Input'!F28</f>
        <v>27773</v>
      </c>
      <c r="G18" s="3">
        <f>'Data Input'!G28</f>
        <v>33711</v>
      </c>
      <c r="H18" s="3">
        <f>'Data Input'!H28</f>
        <v>34242</v>
      </c>
      <c r="I18" s="3">
        <f>'Data Input'!I28</f>
        <v>38092</v>
      </c>
      <c r="J18" s="3">
        <f>'Data Input'!J28</f>
        <v>43013</v>
      </c>
      <c r="K18" s="3">
        <f>'Data Input'!K28</f>
        <v>48901</v>
      </c>
      <c r="L18" s="3">
        <f>'Data Input'!L28</f>
        <v>54382</v>
      </c>
      <c r="M18" s="3">
        <f>'Data Input'!M28</f>
        <v>61039</v>
      </c>
      <c r="N18" s="3">
        <f>'Data Input'!N28</f>
        <v>68780</v>
      </c>
      <c r="O18" s="3">
        <f>'Data Input'!O28</f>
        <v>72429</v>
      </c>
      <c r="P18" s="3">
        <f>'Data Input'!P28</f>
        <v>75857</v>
      </c>
      <c r="Q18" s="121">
        <f>'Data Input'!Q28</f>
        <v>79157</v>
      </c>
      <c r="R18" s="121">
        <f>'Data Input'!R28</f>
        <v>82791</v>
      </c>
      <c r="S18" s="121">
        <f>'Data Input'!S28</f>
        <v>88694</v>
      </c>
      <c r="T18" s="121">
        <f>'Data Input'!T28</f>
        <v>94850</v>
      </c>
      <c r="U18" s="121">
        <f>'Data Input'!U28</f>
        <v>104917</v>
      </c>
      <c r="V18" s="121">
        <f>'Data Input'!V28</f>
        <v>106957</v>
      </c>
      <c r="W18" s="121">
        <f>'Data Input'!W28</f>
        <v>109112</v>
      </c>
      <c r="X18" s="121">
        <f>'Data Input'!X28</f>
        <v>114246</v>
      </c>
      <c r="Y18" s="121">
        <f>'Data Input'!Y28</f>
        <v>115685</v>
      </c>
      <c r="Z18" s="121">
        <f>'Data Input'!Z28</f>
        <v>119864</v>
      </c>
      <c r="AA18" s="121">
        <f>'Data Input'!AA28</f>
        <v>130867</v>
      </c>
      <c r="AB18" s="481">
        <f>'Data Input'!AB28</f>
        <v>143076</v>
      </c>
      <c r="AC18" s="79">
        <f>'Data Input'!AC28</f>
        <v>156998</v>
      </c>
      <c r="AD18" s="79">
        <f>'Data Input'!AD28</f>
        <v>170805.87488462828</v>
      </c>
      <c r="AE18" s="79">
        <f>'Data Input'!AE28</f>
        <v>183733.14824921408</v>
      </c>
      <c r="AF18" s="240">
        <f>'Data Input'!AF28</f>
        <v>196139.25039928145</v>
      </c>
    </row>
    <row r="19" spans="1:32" s="3" customFormat="1" x14ac:dyDescent="0.2">
      <c r="A19" s="3" t="s">
        <v>64</v>
      </c>
      <c r="C19" s="23" t="s">
        <v>12</v>
      </c>
      <c r="D19" s="23" t="s">
        <v>12</v>
      </c>
      <c r="E19" s="23" t="s">
        <v>12</v>
      </c>
      <c r="F19" s="23" t="s">
        <v>12</v>
      </c>
      <c r="G19" s="23">
        <v>-1474</v>
      </c>
      <c r="H19" s="23" t="s">
        <v>12</v>
      </c>
      <c r="I19" s="23" t="s">
        <v>12</v>
      </c>
      <c r="J19" s="23" t="s">
        <v>12</v>
      </c>
      <c r="K19" s="23" t="s">
        <v>12</v>
      </c>
      <c r="L19" s="23" t="s">
        <v>12</v>
      </c>
      <c r="M19" s="23" t="s">
        <v>12</v>
      </c>
      <c r="N19" s="23" t="s">
        <v>12</v>
      </c>
      <c r="O19" s="23" t="s">
        <v>12</v>
      </c>
      <c r="P19" s="23" t="s">
        <v>12</v>
      </c>
      <c r="Q19" s="130" t="s">
        <v>12</v>
      </c>
      <c r="R19" s="130" t="s">
        <v>12</v>
      </c>
      <c r="S19" s="130" t="s">
        <v>12</v>
      </c>
      <c r="T19" s="130" t="s">
        <v>12</v>
      </c>
      <c r="U19" s="130" t="s">
        <v>12</v>
      </c>
      <c r="V19" s="130" t="s">
        <v>12</v>
      </c>
      <c r="W19" s="130" t="s">
        <v>12</v>
      </c>
      <c r="X19" s="130" t="s">
        <v>12</v>
      </c>
      <c r="Y19" s="130" t="s">
        <v>12</v>
      </c>
      <c r="Z19" s="130" t="s">
        <v>12</v>
      </c>
      <c r="AA19" s="130" t="s">
        <v>12</v>
      </c>
      <c r="AB19" s="485" t="s">
        <v>12</v>
      </c>
      <c r="AC19" s="84" t="s">
        <v>12</v>
      </c>
      <c r="AD19" s="84" t="s">
        <v>12</v>
      </c>
      <c r="AE19" s="84" t="s">
        <v>12</v>
      </c>
      <c r="AF19" s="245" t="s">
        <v>12</v>
      </c>
    </row>
    <row r="20" spans="1:32" s="3" customFormat="1" x14ac:dyDescent="0.2">
      <c r="A20" s="3" t="s">
        <v>59</v>
      </c>
      <c r="B20" s="3" t="s">
        <v>57</v>
      </c>
      <c r="C20" s="3">
        <f>'Data Input'!D38/2</f>
        <v>650</v>
      </c>
      <c r="D20" s="3">
        <f>'Data Input'!E38/2</f>
        <v>765</v>
      </c>
      <c r="E20" s="3">
        <f>'Data Input'!F38/2</f>
        <v>944.5</v>
      </c>
      <c r="F20" s="3">
        <f>'Data Input'!G38/2</f>
        <v>700.5</v>
      </c>
      <c r="G20" s="3">
        <f>'Data Input'!H38/2</f>
        <v>718</v>
      </c>
      <c r="H20" s="3">
        <f>'Data Input'!I38/2</f>
        <v>652.5</v>
      </c>
      <c r="I20" s="3">
        <f>'Data Input'!J38/2</f>
        <v>722.5</v>
      </c>
      <c r="J20" s="3">
        <f>'Data Input'!K38/2</f>
        <v>848</v>
      </c>
      <c r="K20" s="3">
        <f>'Data Input'!L38/2</f>
        <v>878.5</v>
      </c>
      <c r="L20" s="3">
        <f>'Data Input'!M38/2</f>
        <v>706.5</v>
      </c>
      <c r="M20" s="3">
        <f>'Data Input'!N38/2</f>
        <v>640.5</v>
      </c>
      <c r="N20" s="3">
        <f>'Data Input'!O38/2</f>
        <v>656</v>
      </c>
      <c r="O20" s="3">
        <f>'Data Input'!P38/2</f>
        <v>691.5</v>
      </c>
      <c r="P20" s="3">
        <f>'Data Input'!Q38/2</f>
        <v>717.5</v>
      </c>
      <c r="Q20" s="121">
        <f>'Data Input'!R38/2</f>
        <v>747.5</v>
      </c>
      <c r="R20" s="121">
        <f>'Data Input'!S38/2</f>
        <v>787.5</v>
      </c>
      <c r="S20" s="121">
        <f>'Data Input'!T38/2</f>
        <v>823</v>
      </c>
      <c r="T20" s="121">
        <f>'Data Input'!U38/2</f>
        <v>1069</v>
      </c>
      <c r="U20" s="121">
        <f>'Data Input'!V38/2</f>
        <v>1155.5</v>
      </c>
      <c r="V20" s="121">
        <f>'Data Input'!W38/2</f>
        <v>1361.5</v>
      </c>
      <c r="W20" s="121">
        <f>'Data Input'!X38/2</f>
        <v>1348.5974285714287</v>
      </c>
      <c r="X20" s="121">
        <f>'Data Input'!Y38/2</f>
        <v>1411.5</v>
      </c>
      <c r="Y20" s="121">
        <f>'Data Input'!Z38/2</f>
        <v>1471.8581160714284</v>
      </c>
      <c r="Z20" s="121">
        <f>'Data Input'!AA38/2</f>
        <v>1540.5</v>
      </c>
      <c r="AA20" s="121">
        <f>'Data Input'!AB38/2</f>
        <v>1608</v>
      </c>
      <c r="AB20" s="481">
        <f>'Data Input'!AC38/2</f>
        <v>1649.5</v>
      </c>
      <c r="AC20" s="79">
        <f>'Data Input'!AD38/2</f>
        <v>1713.9523224043714</v>
      </c>
      <c r="AD20" s="79">
        <f>'Data Input'!AE38/2</f>
        <v>1782.0770008196719</v>
      </c>
      <c r="AE20" s="79">
        <f>'Data Input'!AF38/2</f>
        <v>1843.3014818469944</v>
      </c>
      <c r="AF20" s="240">
        <f>'Data Input'!AG38/2</f>
        <v>1906.6476124352184</v>
      </c>
    </row>
    <row r="21" spans="1:32" s="3" customFormat="1" x14ac:dyDescent="0.2">
      <c r="A21" s="3" t="s">
        <v>53</v>
      </c>
      <c r="B21" s="3" t="s">
        <v>57</v>
      </c>
      <c r="C21" s="6">
        <f>'Data Input'!D18/2</f>
        <v>-380</v>
      </c>
      <c r="D21" s="6">
        <f>'Data Input'!E18/2</f>
        <v>-414.5</v>
      </c>
      <c r="E21" s="6">
        <f>'Data Input'!F18/2</f>
        <v>-460.5</v>
      </c>
      <c r="F21" s="6">
        <f>'Data Input'!G18/2</f>
        <v>-500.5</v>
      </c>
      <c r="G21" s="6">
        <f>'Data Input'!H18/2</f>
        <v>-565</v>
      </c>
      <c r="H21" s="6">
        <f>'Data Input'!I18/2</f>
        <v>-630.5</v>
      </c>
      <c r="I21" s="6">
        <f>'Data Input'!J18/2</f>
        <v>-760</v>
      </c>
      <c r="J21" s="6">
        <f>'Data Input'!K18/2</f>
        <v>-901</v>
      </c>
      <c r="K21" s="6">
        <f>'Data Input'!L18/2</f>
        <v>-1051.5</v>
      </c>
      <c r="L21" s="6">
        <f>'Data Input'!M18/2</f>
        <v>-1139</v>
      </c>
      <c r="M21" s="6">
        <f>'Data Input'!N18/2</f>
        <v>-1270.5</v>
      </c>
      <c r="N21" s="6">
        <f>'Data Input'!O18/2</f>
        <v>-1540</v>
      </c>
      <c r="O21" s="6">
        <f>'Data Input'!P18/2</f>
        <v>-1538</v>
      </c>
      <c r="P21" s="6">
        <f>'Data Input'!Q18/2</f>
        <v>-1599.5</v>
      </c>
      <c r="Q21" s="125">
        <f>'Data Input'!R18/2</f>
        <v>-1714</v>
      </c>
      <c r="R21" s="125">
        <f>'Data Input'!S18/2</f>
        <v>-1810</v>
      </c>
      <c r="S21" s="125">
        <f>'Data Input'!T18/2</f>
        <v>-1909</v>
      </c>
      <c r="T21" s="125">
        <f>'Data Input'!U18/2</f>
        <v>-2010</v>
      </c>
      <c r="U21" s="125">
        <f>'Data Input'!V18/2</f>
        <v>-2097</v>
      </c>
      <c r="V21" s="125">
        <f>'Data Input'!W18/2</f>
        <v>-2196</v>
      </c>
      <c r="W21" s="125">
        <f>'Data Input'!X18/2</f>
        <v>-2250</v>
      </c>
      <c r="X21" s="125">
        <f>'Data Input'!Y18/2</f>
        <v>-2331.5</v>
      </c>
      <c r="Y21" s="125">
        <f>'Data Input'!Z18/2</f>
        <v>-2462</v>
      </c>
      <c r="Z21" s="125">
        <f>'Data Input'!AA18/2</f>
        <v>-2575</v>
      </c>
      <c r="AA21" s="125">
        <f>'Data Input'!AB18/2</f>
        <v>-2653</v>
      </c>
      <c r="AB21" s="482">
        <f>'Data Input'!AC18/2</f>
        <v>-2768</v>
      </c>
      <c r="AC21" s="81">
        <f>'Data Input'!AD18/2</f>
        <v>-2847.3898800902357</v>
      </c>
      <c r="AD21" s="81">
        <f>'Data Input'!AE18/2</f>
        <v>-2974.2801586714045</v>
      </c>
      <c r="AE21" s="81">
        <f>'Data Input'!AF18/2</f>
        <v>-3105.880039601253</v>
      </c>
      <c r="AF21" s="241">
        <f>'Data Input'!AG18/2</f>
        <v>-3241.89041757724</v>
      </c>
    </row>
    <row r="22" spans="1:32" s="8" customFormat="1" x14ac:dyDescent="0.2">
      <c r="A22" s="8" t="s">
        <v>60</v>
      </c>
      <c r="B22" s="8" t="s">
        <v>31</v>
      </c>
      <c r="C22" s="8">
        <f>SUM(C18:C21)</f>
        <v>18810</v>
      </c>
      <c r="D22" s="8">
        <f>SUM(D18:D21)</f>
        <v>20474.5</v>
      </c>
      <c r="E22" s="8">
        <f t="shared" ref="E22:R22" si="4">SUM(E18:E21)</f>
        <v>25181</v>
      </c>
      <c r="F22" s="8">
        <f t="shared" si="4"/>
        <v>27973</v>
      </c>
      <c r="G22" s="8">
        <f t="shared" si="4"/>
        <v>32390</v>
      </c>
      <c r="H22" s="8">
        <f t="shared" si="4"/>
        <v>34264</v>
      </c>
      <c r="I22" s="8">
        <f t="shared" si="4"/>
        <v>38054.5</v>
      </c>
      <c r="J22" s="8">
        <f t="shared" si="4"/>
        <v>42960</v>
      </c>
      <c r="K22" s="8">
        <f t="shared" si="4"/>
        <v>48728</v>
      </c>
      <c r="L22" s="8">
        <f t="shared" si="4"/>
        <v>53949.5</v>
      </c>
      <c r="M22" s="8">
        <f t="shared" si="4"/>
        <v>60409</v>
      </c>
      <c r="N22" s="8">
        <f t="shared" si="4"/>
        <v>67896</v>
      </c>
      <c r="O22" s="8">
        <f t="shared" si="4"/>
        <v>71582.5</v>
      </c>
      <c r="P22" s="8">
        <f t="shared" si="4"/>
        <v>74975</v>
      </c>
      <c r="Q22" s="119">
        <f t="shared" si="4"/>
        <v>78190.5</v>
      </c>
      <c r="R22" s="119">
        <f t="shared" si="4"/>
        <v>81768.5</v>
      </c>
      <c r="S22" s="119">
        <f t="shared" ref="S22:AD22" si="5">SUM(S18:S21)</f>
        <v>87608</v>
      </c>
      <c r="T22" s="119">
        <f t="shared" si="5"/>
        <v>93909</v>
      </c>
      <c r="U22" s="119">
        <f t="shared" si="5"/>
        <v>103975.5</v>
      </c>
      <c r="V22" s="119">
        <f t="shared" si="5"/>
        <v>106122.5</v>
      </c>
      <c r="W22" s="119">
        <f t="shared" si="5"/>
        <v>108210.59742857143</v>
      </c>
      <c r="X22" s="119">
        <f t="shared" si="5"/>
        <v>113326</v>
      </c>
      <c r="Y22" s="119">
        <f t="shared" si="5"/>
        <v>114694.85811607142</v>
      </c>
      <c r="Z22" s="119">
        <f t="shared" si="5"/>
        <v>118829.5</v>
      </c>
      <c r="AA22" s="119">
        <f t="shared" si="5"/>
        <v>129822</v>
      </c>
      <c r="AB22" s="478">
        <f t="shared" si="5"/>
        <v>141957.5</v>
      </c>
      <c r="AC22" s="78">
        <f t="shared" si="5"/>
        <v>155864.56244231414</v>
      </c>
      <c r="AD22" s="78">
        <f t="shared" si="5"/>
        <v>169613.67172677655</v>
      </c>
      <c r="AE22" s="78">
        <f>SUM(AE18:AE21)</f>
        <v>182470.56969145979</v>
      </c>
      <c r="AF22" s="242">
        <f>SUM(AF18:AF21)</f>
        <v>194804.00759413943</v>
      </c>
    </row>
    <row r="23" spans="1:32" s="1" customFormat="1" x14ac:dyDescent="0.2">
      <c r="A23" s="1" t="s">
        <v>55</v>
      </c>
      <c r="B23" s="1" t="s">
        <v>49</v>
      </c>
      <c r="C23" s="4">
        <f>'Data Input'!D6</f>
        <v>0.105</v>
      </c>
      <c r="D23" s="4">
        <f>'Data Input'!E6</f>
        <v>0.10249999999999999</v>
      </c>
      <c r="E23" s="4">
        <f>'Data Input'!F6</f>
        <v>9.5000000000000001E-2</v>
      </c>
      <c r="F23" s="4">
        <f>'Data Input'!G6</f>
        <v>8.7499999999999994E-2</v>
      </c>
      <c r="G23" s="4">
        <f>'Data Input'!H6</f>
        <v>8.7499999999999994E-2</v>
      </c>
      <c r="H23" s="4">
        <f>'Data Input'!I6</f>
        <v>8.2500000000000004E-2</v>
      </c>
      <c r="I23" s="4">
        <f>'Data Input'!J6</f>
        <v>8.2500000000000004E-2</v>
      </c>
      <c r="J23" s="4">
        <f>'Data Input'!K6</f>
        <v>7.7499999999999999E-2</v>
      </c>
      <c r="K23" s="4">
        <f>'Data Input'!L6</f>
        <v>7.2499999999999995E-2</v>
      </c>
      <c r="L23" s="4">
        <f>'Data Input'!M6</f>
        <v>7.2499999999999995E-2</v>
      </c>
      <c r="M23" s="4">
        <f>'Data Input'!N6</f>
        <v>7.0000000000000007E-2</v>
      </c>
      <c r="N23" s="4">
        <f>'Data Input'!O6</f>
        <v>7.0000000000000007E-2</v>
      </c>
      <c r="O23" s="4">
        <f>'Data Input'!P6</f>
        <v>7.0000000000000007E-2</v>
      </c>
      <c r="P23" s="4">
        <f>'Data Input'!Q6</f>
        <v>7.0000000000000007E-2</v>
      </c>
      <c r="Q23" s="128">
        <f>'Data Input'!R6</f>
        <v>7.0000000000000007E-2</v>
      </c>
      <c r="R23" s="406">
        <f>'Data Input'!S6</f>
        <v>7.0000000000000007E-2</v>
      </c>
      <c r="S23" s="406">
        <f>'Data Input'!T6</f>
        <v>6.7500000000000004E-2</v>
      </c>
      <c r="T23" s="128">
        <f>'Data Input'!U6</f>
        <v>6.7500000000000004E-2</v>
      </c>
      <c r="U23" s="128">
        <f>'Data Input'!V6</f>
        <v>6.7500000000000004E-2</v>
      </c>
      <c r="V23" s="128">
        <f>'Data Input'!W6</f>
        <v>6.7500000000000004E-2</v>
      </c>
      <c r="W23" s="128">
        <f>'Data Input'!X6</f>
        <v>6.7500000000000004E-2</v>
      </c>
      <c r="X23" s="128">
        <f>'Data Input'!Y6</f>
        <v>6.7500000000000004E-2</v>
      </c>
      <c r="Y23" s="128">
        <f>'Data Input'!Z6</f>
        <v>6.7500000000000004E-2</v>
      </c>
      <c r="Z23" s="128">
        <f>'Data Input'!AA6</f>
        <v>6.7500000000000004E-2</v>
      </c>
      <c r="AA23" s="128">
        <f>'Data Input'!AB6</f>
        <v>6.7500000000000004E-2</v>
      </c>
      <c r="AB23" s="483">
        <f>'Data Input'!AC6</f>
        <v>6.5000000000000002E-2</v>
      </c>
      <c r="AC23" s="82">
        <f>'Data Input'!AD6</f>
        <v>6.25E-2</v>
      </c>
      <c r="AD23" s="82">
        <f>'Data Input'!AE6</f>
        <v>6.25E-2</v>
      </c>
      <c r="AE23" s="82">
        <f>'Data Input'!AF6</f>
        <v>6.25E-2</v>
      </c>
      <c r="AF23" s="243">
        <f>'Data Input'!AG6</f>
        <v>6.25E-2</v>
      </c>
    </row>
    <row r="24" spans="1:32" s="25" customFormat="1" x14ac:dyDescent="0.2">
      <c r="A24" s="25" t="s">
        <v>61</v>
      </c>
      <c r="B24" s="8" t="s">
        <v>31</v>
      </c>
      <c r="C24" s="26">
        <f>C22*C23</f>
        <v>1975.05</v>
      </c>
      <c r="D24" s="26">
        <f>D22*D23</f>
        <v>2098.63625</v>
      </c>
      <c r="E24" s="26">
        <f t="shared" ref="E24:R24" si="6">E22*E23</f>
        <v>2392.1950000000002</v>
      </c>
      <c r="F24" s="26">
        <f t="shared" si="6"/>
        <v>2447.6374999999998</v>
      </c>
      <c r="G24" s="26">
        <f t="shared" si="6"/>
        <v>2834.125</v>
      </c>
      <c r="H24" s="26">
        <f t="shared" si="6"/>
        <v>2826.78</v>
      </c>
      <c r="I24" s="26">
        <f t="shared" si="6"/>
        <v>3139.4962500000001</v>
      </c>
      <c r="J24" s="26">
        <f t="shared" si="6"/>
        <v>3329.4</v>
      </c>
      <c r="K24" s="26">
        <f t="shared" si="6"/>
        <v>3532.7799999999997</v>
      </c>
      <c r="L24" s="26">
        <f t="shared" si="6"/>
        <v>3911.3387499999999</v>
      </c>
      <c r="M24" s="26">
        <f t="shared" si="6"/>
        <v>4228.63</v>
      </c>
      <c r="N24" s="26">
        <f t="shared" si="6"/>
        <v>4752.72</v>
      </c>
      <c r="O24" s="26">
        <f t="shared" si="6"/>
        <v>5010.7750000000005</v>
      </c>
      <c r="P24" s="26">
        <f t="shared" si="6"/>
        <v>5248.2500000000009</v>
      </c>
      <c r="Q24" s="129">
        <f t="shared" si="6"/>
        <v>5473.3350000000009</v>
      </c>
      <c r="R24" s="129">
        <f t="shared" si="6"/>
        <v>5723.795000000001</v>
      </c>
      <c r="S24" s="129">
        <f t="shared" ref="S24:AD24" si="7">S22*S23</f>
        <v>5913.54</v>
      </c>
      <c r="T24" s="129">
        <f t="shared" si="7"/>
        <v>6338.8575000000001</v>
      </c>
      <c r="U24" s="129">
        <f t="shared" si="7"/>
        <v>7018.3462500000005</v>
      </c>
      <c r="V24" s="129">
        <f t="shared" si="7"/>
        <v>7163.2687500000002</v>
      </c>
      <c r="W24" s="129">
        <f t="shared" si="7"/>
        <v>7304.2153264285726</v>
      </c>
      <c r="X24" s="129">
        <f t="shared" si="7"/>
        <v>7649.5050000000001</v>
      </c>
      <c r="Y24" s="129">
        <f t="shared" si="7"/>
        <v>7741.9029228348218</v>
      </c>
      <c r="Z24" s="129">
        <f t="shared" si="7"/>
        <v>8020.9912500000009</v>
      </c>
      <c r="AA24" s="129">
        <f t="shared" si="7"/>
        <v>8762.9850000000006</v>
      </c>
      <c r="AB24" s="484">
        <f t="shared" si="7"/>
        <v>9227.2375000000011</v>
      </c>
      <c r="AC24" s="83">
        <f t="shared" si="7"/>
        <v>9741.5351526446339</v>
      </c>
      <c r="AD24" s="83">
        <f t="shared" si="7"/>
        <v>10600.854482923534</v>
      </c>
      <c r="AE24" s="83">
        <f>AE22*AE23</f>
        <v>11404.410605716237</v>
      </c>
      <c r="AF24" s="244">
        <f>AF22*AF23</f>
        <v>12175.250474633714</v>
      </c>
    </row>
    <row r="25" spans="1:32" x14ac:dyDescent="0.2">
      <c r="B25" s="8"/>
    </row>
    <row r="26" spans="1:32" x14ac:dyDescent="0.2">
      <c r="A26" t="s">
        <v>62</v>
      </c>
      <c r="B26" t="s">
        <v>66</v>
      </c>
      <c r="C26" s="22">
        <f>+C15</f>
        <v>2309.6849999999999</v>
      </c>
      <c r="D26" s="22">
        <f>+D15</f>
        <v>2518.0662499999999</v>
      </c>
      <c r="E26" s="22">
        <f t="shared" ref="E26:N26" si="8">+E15</f>
        <v>2623.1875</v>
      </c>
      <c r="F26" s="22">
        <f t="shared" si="8"/>
        <v>2700.7312499999998</v>
      </c>
      <c r="G26" s="22">
        <f t="shared" si="8"/>
        <v>2981.9124999999999</v>
      </c>
      <c r="H26" s="22">
        <f t="shared" si="8"/>
        <v>3044.1675</v>
      </c>
      <c r="I26" s="22">
        <f t="shared" si="8"/>
        <v>3221.1712500000003</v>
      </c>
      <c r="J26" s="22">
        <f t="shared" si="8"/>
        <v>3296.8887500000001</v>
      </c>
      <c r="K26" s="22">
        <f t="shared" si="8"/>
        <v>3353.9224999999997</v>
      </c>
      <c r="L26" s="22">
        <f t="shared" si="8"/>
        <v>3490.6212499999997</v>
      </c>
      <c r="M26" s="22">
        <f t="shared" si="8"/>
        <v>3480.7850000000003</v>
      </c>
      <c r="N26" s="22">
        <f t="shared" si="8"/>
        <v>3960</v>
      </c>
      <c r="O26" s="22">
        <f t="shared" ref="O26:U26" si="9">+O15</f>
        <v>4457.4950000000008</v>
      </c>
      <c r="P26" s="22">
        <f t="shared" si="9"/>
        <v>4661.09</v>
      </c>
      <c r="Q26" s="106">
        <f t="shared" si="9"/>
        <v>4912.1100000000006</v>
      </c>
      <c r="R26" s="106">
        <f t="shared" si="9"/>
        <v>5126.3450000000003</v>
      </c>
      <c r="S26" s="106">
        <f t="shared" si="9"/>
        <v>5364.09</v>
      </c>
      <c r="T26" s="106">
        <f t="shared" si="9"/>
        <v>5546.50875</v>
      </c>
      <c r="U26" s="106">
        <f t="shared" si="9"/>
        <v>5898.5212500000007</v>
      </c>
      <c r="V26" s="106">
        <f t="shared" ref="V26:AA26" si="10">+V15</f>
        <v>6142.9725000000008</v>
      </c>
      <c r="W26" s="106">
        <f t="shared" si="10"/>
        <v>6451.6837500000001</v>
      </c>
      <c r="X26" s="106">
        <f t="shared" si="10"/>
        <v>6620.0962500000005</v>
      </c>
      <c r="Y26" s="106">
        <f t="shared" si="10"/>
        <v>6927.7275000000009</v>
      </c>
      <c r="Z26" s="106">
        <f t="shared" si="10"/>
        <v>7068.0937500000009</v>
      </c>
      <c r="AA26" s="106">
        <f t="shared" si="10"/>
        <v>7312.9162500000002</v>
      </c>
      <c r="AB26" s="486">
        <f>+AB15</f>
        <v>7311.915</v>
      </c>
      <c r="AC26" s="85">
        <f>+AC15</f>
        <v>7189.8691871818601</v>
      </c>
      <c r="AD26" s="85">
        <f>+AD15</f>
        <v>7472.1518078976851</v>
      </c>
      <c r="AE26" s="85">
        <f>+AE15</f>
        <v>7770.3354924969935</v>
      </c>
      <c r="AF26" s="246">
        <f>+AF15</f>
        <v>8085.4618421636733</v>
      </c>
    </row>
    <row r="27" spans="1:32" x14ac:dyDescent="0.2">
      <c r="A27" t="s">
        <v>63</v>
      </c>
      <c r="B27" t="s">
        <v>66</v>
      </c>
      <c r="C27" s="22">
        <f>-C24</f>
        <v>-1975.05</v>
      </c>
      <c r="D27" s="22">
        <f>-D24</f>
        <v>-2098.63625</v>
      </c>
      <c r="E27" s="22">
        <f t="shared" ref="E27:N27" si="11">-E24</f>
        <v>-2392.1950000000002</v>
      </c>
      <c r="F27" s="22">
        <f t="shared" si="11"/>
        <v>-2447.6374999999998</v>
      </c>
      <c r="G27" s="22">
        <f t="shared" si="11"/>
        <v>-2834.125</v>
      </c>
      <c r="H27" s="22">
        <f t="shared" si="11"/>
        <v>-2826.78</v>
      </c>
      <c r="I27" s="22">
        <f t="shared" si="11"/>
        <v>-3139.4962500000001</v>
      </c>
      <c r="J27" s="22">
        <f t="shared" si="11"/>
        <v>-3329.4</v>
      </c>
      <c r="K27" s="22">
        <f t="shared" si="11"/>
        <v>-3532.7799999999997</v>
      </c>
      <c r="L27" s="22">
        <f t="shared" si="11"/>
        <v>-3911.3387499999999</v>
      </c>
      <c r="M27" s="22">
        <f t="shared" si="11"/>
        <v>-4228.63</v>
      </c>
      <c r="N27" s="22">
        <f t="shared" si="11"/>
        <v>-4752.72</v>
      </c>
      <c r="O27" s="22">
        <f t="shared" ref="O27:T27" si="12">-O24</f>
        <v>-5010.7750000000005</v>
      </c>
      <c r="P27" s="22">
        <f t="shared" si="12"/>
        <v>-5248.2500000000009</v>
      </c>
      <c r="Q27" s="106">
        <f t="shared" si="12"/>
        <v>-5473.3350000000009</v>
      </c>
      <c r="R27" s="106">
        <f t="shared" si="12"/>
        <v>-5723.795000000001</v>
      </c>
      <c r="S27" s="106">
        <f t="shared" si="12"/>
        <v>-5913.54</v>
      </c>
      <c r="T27" s="106">
        <f t="shared" si="12"/>
        <v>-6338.8575000000001</v>
      </c>
      <c r="U27" s="106">
        <f t="shared" ref="U27:Z27" si="13">-U24</f>
        <v>-7018.3462500000005</v>
      </c>
      <c r="V27" s="106">
        <f t="shared" si="13"/>
        <v>-7163.2687500000002</v>
      </c>
      <c r="W27" s="106">
        <f t="shared" si="13"/>
        <v>-7304.2153264285726</v>
      </c>
      <c r="X27" s="106">
        <f t="shared" si="13"/>
        <v>-7649.5050000000001</v>
      </c>
      <c r="Y27" s="106">
        <f t="shared" si="13"/>
        <v>-7741.9029228348218</v>
      </c>
      <c r="Z27" s="106">
        <f t="shared" si="13"/>
        <v>-8020.9912500000009</v>
      </c>
      <c r="AA27" s="106">
        <f t="shared" ref="AA27:AF27" si="14">-AA24</f>
        <v>-8762.9850000000006</v>
      </c>
      <c r="AB27" s="486">
        <f t="shared" si="14"/>
        <v>-9227.2375000000011</v>
      </c>
      <c r="AC27" s="85">
        <f t="shared" si="14"/>
        <v>-9741.5351526446339</v>
      </c>
      <c r="AD27" s="85">
        <f t="shared" si="14"/>
        <v>-10600.854482923534</v>
      </c>
      <c r="AE27" s="85">
        <f t="shared" si="14"/>
        <v>-11404.410605716237</v>
      </c>
      <c r="AF27" s="246">
        <f t="shared" si="14"/>
        <v>-12175.250474633714</v>
      </c>
    </row>
    <row r="28" spans="1:32" s="3" customFormat="1" x14ac:dyDescent="0.2">
      <c r="A28" s="3" t="s">
        <v>209</v>
      </c>
      <c r="B28" s="1" t="s">
        <v>49</v>
      </c>
      <c r="C28" s="24" t="str">
        <f>'Data Input'!D29</f>
        <v>n/a</v>
      </c>
      <c r="D28" s="24" t="str">
        <f>'Data Input'!E29</f>
        <v>n/a</v>
      </c>
      <c r="E28" s="24" t="str">
        <f>'Data Input'!F29</f>
        <v>n/a</v>
      </c>
      <c r="F28" s="24" t="str">
        <f>'Data Input'!G29</f>
        <v>n/a</v>
      </c>
      <c r="G28" s="24">
        <f>'Data Input'!H29</f>
        <v>70</v>
      </c>
      <c r="H28" s="24">
        <f>'Data Input'!I29</f>
        <v>79</v>
      </c>
      <c r="I28" s="24">
        <f>'Data Input'!J29</f>
        <v>61</v>
      </c>
      <c r="J28" s="24">
        <f>'Data Input'!K29</f>
        <v>68</v>
      </c>
      <c r="K28" s="24">
        <f>'Data Input'!L29</f>
        <v>53</v>
      </c>
      <c r="L28" s="24">
        <f>'Data Input'!M29</f>
        <v>44</v>
      </c>
      <c r="M28" s="24">
        <f>'Data Input'!N29</f>
        <v>41</v>
      </c>
      <c r="N28" s="24">
        <f>'Data Input'!O29</f>
        <v>44</v>
      </c>
      <c r="O28" s="24">
        <f>'Data Input'!P29</f>
        <v>54</v>
      </c>
      <c r="P28" s="24">
        <f>'Data Input'!Q29</f>
        <v>43</v>
      </c>
      <c r="Q28" s="131">
        <f>'Data Input'!R29</f>
        <v>40</v>
      </c>
      <c r="R28" s="131">
        <f>'Data Input'!S29</f>
        <v>36</v>
      </c>
      <c r="S28" s="131">
        <f>'Data Input'!T29</f>
        <v>34</v>
      </c>
      <c r="T28" s="131">
        <f>'Data Input'!U29</f>
        <v>31</v>
      </c>
      <c r="U28" s="131">
        <f>'Data Input'!V29</f>
        <v>47</v>
      </c>
      <c r="V28" s="131">
        <f>'Data Input'!W29</f>
        <v>57.981786999999997</v>
      </c>
      <c r="W28" s="131">
        <f>'Data Input'!X29</f>
        <v>58.585501000000001</v>
      </c>
      <c r="X28" s="131">
        <f>'Data Input'!Y29</f>
        <v>39.720883999999998</v>
      </c>
      <c r="Y28" s="131">
        <f>'Data Input'!Z29</f>
        <v>39.268236999999999</v>
      </c>
      <c r="Z28" s="131">
        <f>'Data Input'!AA29</f>
        <v>37.903300000000002</v>
      </c>
      <c r="AA28" s="131">
        <f>'Data Input'!AB29</f>
        <v>36.734502999999997</v>
      </c>
      <c r="AB28" s="487">
        <f>'Data Input'!AC29</f>
        <v>38</v>
      </c>
      <c r="AC28" s="86">
        <f>'Data Input'!AD29</f>
        <v>43.364365411764709</v>
      </c>
      <c r="AD28" s="86">
        <f>'Data Input'!AE29</f>
        <v>43.364365411764709</v>
      </c>
      <c r="AE28" s="86">
        <f>'Data Input'!AF29</f>
        <v>43.364365411764709</v>
      </c>
      <c r="AF28" s="247">
        <f>'Data Input'!AG29</f>
        <v>43.364365411764709</v>
      </c>
    </row>
    <row r="29" spans="1:32" s="63" customFormat="1" ht="15.75" thickBot="1" x14ac:dyDescent="0.3">
      <c r="A29" s="63" t="s">
        <v>65</v>
      </c>
      <c r="B29" s="64" t="s">
        <v>31</v>
      </c>
      <c r="C29" s="65">
        <f>SUM(C26:C28)</f>
        <v>334.63499999999999</v>
      </c>
      <c r="D29" s="65">
        <f>SUM(D26:D28)</f>
        <v>419.42999999999984</v>
      </c>
      <c r="E29" s="65">
        <f t="shared" ref="E29:R29" si="15">SUM(E26:E28)</f>
        <v>230.99249999999984</v>
      </c>
      <c r="F29" s="65">
        <f t="shared" si="15"/>
        <v>253.09375</v>
      </c>
      <c r="G29" s="65">
        <f t="shared" si="15"/>
        <v>217.78749999999991</v>
      </c>
      <c r="H29" s="65">
        <f t="shared" si="15"/>
        <v>296.38749999999982</v>
      </c>
      <c r="I29" s="65">
        <f t="shared" si="15"/>
        <v>142.67500000000018</v>
      </c>
      <c r="J29" s="65">
        <f t="shared" si="15"/>
        <v>35.488749999999982</v>
      </c>
      <c r="K29" s="65">
        <f t="shared" si="15"/>
        <v>-125.85750000000007</v>
      </c>
      <c r="L29" s="65">
        <f t="shared" si="15"/>
        <v>-376.7175000000002</v>
      </c>
      <c r="M29" s="65">
        <f t="shared" si="15"/>
        <v>-706.8449999999998</v>
      </c>
      <c r="N29" s="65">
        <f t="shared" si="15"/>
        <v>-748.72000000000025</v>
      </c>
      <c r="O29" s="65">
        <f t="shared" si="15"/>
        <v>-499.27999999999975</v>
      </c>
      <c r="P29" s="65">
        <f t="shared" si="15"/>
        <v>-544.16000000000076</v>
      </c>
      <c r="Q29" s="132">
        <f t="shared" si="15"/>
        <v>-521.22500000000036</v>
      </c>
      <c r="R29" s="132">
        <f t="shared" si="15"/>
        <v>-561.45000000000073</v>
      </c>
      <c r="S29" s="132">
        <f t="shared" ref="S29:AD29" si="16">SUM(S26:S28)</f>
        <v>-515.44999999999982</v>
      </c>
      <c r="T29" s="132">
        <f t="shared" si="16"/>
        <v>-761.34875000000011</v>
      </c>
      <c r="U29" s="132">
        <f t="shared" si="16"/>
        <v>-1072.8249999999998</v>
      </c>
      <c r="V29" s="132">
        <f t="shared" si="16"/>
        <v>-962.31446299999948</v>
      </c>
      <c r="W29" s="132">
        <f t="shared" si="16"/>
        <v>-793.94607542857239</v>
      </c>
      <c r="X29" s="132">
        <f t="shared" si="16"/>
        <v>-989.68786599999964</v>
      </c>
      <c r="Y29" s="132">
        <f t="shared" si="16"/>
        <v>-774.90718583482089</v>
      </c>
      <c r="Z29" s="132">
        <f t="shared" si="16"/>
        <v>-914.99420000000009</v>
      </c>
      <c r="AA29" s="132">
        <f t="shared" si="16"/>
        <v>-1413.3342470000005</v>
      </c>
      <c r="AB29" s="488">
        <f t="shared" si="16"/>
        <v>-1877.3225000000011</v>
      </c>
      <c r="AC29" s="87">
        <f t="shared" si="16"/>
        <v>-2508.3016000510092</v>
      </c>
      <c r="AD29" s="87">
        <f t="shared" si="16"/>
        <v>-3085.3383096140847</v>
      </c>
      <c r="AE29" s="87">
        <f>SUM(AE26:AE28)</f>
        <v>-3590.710747807479</v>
      </c>
      <c r="AF29" s="248">
        <f>SUM(AF26:AF28)</f>
        <v>-4046.4242670582767</v>
      </c>
    </row>
    <row r="30" spans="1:32" ht="13.5" thickTop="1" x14ac:dyDescent="0.2"/>
    <row r="31" spans="1:32" x14ac:dyDescent="0.2">
      <c r="X31" s="106"/>
    </row>
    <row r="32" spans="1:32" x14ac:dyDescent="0.2">
      <c r="X32" s="106"/>
    </row>
  </sheetData>
  <phoneticPr fontId="0" type="noConversion"/>
  <pageMargins left="0.5" right="0.5" top="1" bottom="1" header="0.5" footer="0.5"/>
  <pageSetup paperSize="5" scale="61" orientation="landscape" r:id="rId1"/>
  <headerFooter alignWithMargins="0">
    <oddFooter>&amp;L&amp;"Arial,Bold"&amp;F&amp;C&amp;A&amp;R&amp;D  &amp;T</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E49"/>
  <sheetViews>
    <sheetView workbookViewId="0">
      <pane xSplit="2" ySplit="3" topLeftCell="V4" activePane="bottomRight" state="frozen"/>
      <selection activeCell="V17" sqref="V17"/>
      <selection pane="topRight" activeCell="V17" sqref="V17"/>
      <selection pane="bottomLeft" activeCell="V17" sqref="V17"/>
      <selection pane="bottomRight" activeCell="AC43" sqref="AC43"/>
    </sheetView>
  </sheetViews>
  <sheetFormatPr defaultRowHeight="12.75" outlineLevelCol="1" x14ac:dyDescent="0.2"/>
  <cols>
    <col min="1" max="1" width="54.7109375" customWidth="1"/>
    <col min="2" max="2" width="20.28515625" customWidth="1"/>
    <col min="3" max="3" width="10.5703125" hidden="1" customWidth="1"/>
    <col min="4" max="7" width="10.42578125" hidden="1" customWidth="1"/>
    <col min="8" max="15" width="10.42578125" customWidth="1" outlineLevel="1"/>
    <col min="16" max="16" width="10.28515625" customWidth="1" outlineLevel="1"/>
    <col min="17" max="17" width="9.140625" customWidth="1" outlineLevel="1"/>
    <col min="18" max="21" width="9.140625" style="115" customWidth="1" outlineLevel="1"/>
    <col min="22" max="22" width="9.140625" style="115"/>
    <col min="23" max="23" width="10.28515625" style="115" bestFit="1" customWidth="1"/>
    <col min="24" max="27" width="9.140625" style="115"/>
    <col min="28" max="28" width="9.140625" style="115" customWidth="1"/>
    <col min="29" max="29" width="9.140625" style="464" customWidth="1"/>
    <col min="30" max="32" width="9.140625" style="76" customWidth="1" outlineLevel="1"/>
    <col min="33" max="33" width="9.140625" style="238" customWidth="1" outlineLevel="1"/>
    <col min="34" max="83" width="9.140625" style="171"/>
  </cols>
  <sheetData>
    <row r="1" spans="1:83" ht="15.75" x14ac:dyDescent="0.25">
      <c r="A1" s="18" t="s">
        <v>46</v>
      </c>
      <c r="B1" s="2"/>
      <c r="C1" s="2"/>
      <c r="D1" s="2"/>
      <c r="V1" s="195"/>
      <c r="W1" s="195"/>
      <c r="X1" s="195"/>
      <c r="Y1" s="195"/>
      <c r="Z1" s="195"/>
      <c r="AA1" s="195"/>
      <c r="AB1" s="195"/>
      <c r="AC1" s="460"/>
      <c r="AD1" s="191"/>
      <c r="AE1" s="191"/>
      <c r="AF1" s="191"/>
      <c r="AG1" s="257"/>
    </row>
    <row r="2" spans="1:83" x14ac:dyDescent="0.2">
      <c r="A2" s="308" t="s">
        <v>406</v>
      </c>
      <c r="V2" s="195"/>
      <c r="W2" s="195"/>
      <c r="X2" s="195"/>
      <c r="Y2" s="195"/>
      <c r="Z2" s="195"/>
      <c r="AA2" s="339" t="s">
        <v>178</v>
      </c>
      <c r="AB2" s="339" t="s">
        <v>294</v>
      </c>
      <c r="AC2" s="461" t="s">
        <v>309</v>
      </c>
      <c r="AD2" s="309" t="s">
        <v>315</v>
      </c>
      <c r="AE2" s="309" t="s">
        <v>316</v>
      </c>
      <c r="AF2" s="309" t="s">
        <v>317</v>
      </c>
      <c r="AG2" s="310" t="s">
        <v>318</v>
      </c>
    </row>
    <row r="3" spans="1:83" s="2" customFormat="1" ht="13.5" thickBot="1" x14ac:dyDescent="0.25">
      <c r="A3" s="19" t="s">
        <v>1</v>
      </c>
      <c r="B3" s="20" t="s">
        <v>26</v>
      </c>
      <c r="C3" s="20">
        <v>1989</v>
      </c>
      <c r="D3" s="20">
        <v>1990</v>
      </c>
      <c r="E3" s="20">
        <v>1991</v>
      </c>
      <c r="F3" s="20">
        <v>1992</v>
      </c>
      <c r="G3" s="20">
        <v>1993</v>
      </c>
      <c r="H3" s="20">
        <v>1994</v>
      </c>
      <c r="I3" s="20">
        <v>1995</v>
      </c>
      <c r="J3" s="20">
        <v>1996</v>
      </c>
      <c r="K3" s="20">
        <v>1997</v>
      </c>
      <c r="L3" s="20">
        <v>1998</v>
      </c>
      <c r="M3" s="20">
        <v>1999</v>
      </c>
      <c r="N3" s="20">
        <v>2000</v>
      </c>
      <c r="O3" s="20">
        <v>2001</v>
      </c>
      <c r="P3" s="20">
        <v>2002</v>
      </c>
      <c r="Q3" s="20">
        <v>2003</v>
      </c>
      <c r="R3" s="116">
        <v>2004</v>
      </c>
      <c r="S3" s="116">
        <v>2005</v>
      </c>
      <c r="T3" s="116">
        <v>2006</v>
      </c>
      <c r="U3" s="116">
        <v>2007</v>
      </c>
      <c r="V3" s="196">
        <v>2008</v>
      </c>
      <c r="W3" s="196">
        <v>2009</v>
      </c>
      <c r="X3" s="196">
        <v>2010</v>
      </c>
      <c r="Y3" s="196">
        <v>2011</v>
      </c>
      <c r="Z3" s="196">
        <v>2012</v>
      </c>
      <c r="AA3" s="196">
        <v>2013</v>
      </c>
      <c r="AB3" s="196">
        <v>2014</v>
      </c>
      <c r="AC3" s="462">
        <v>2015</v>
      </c>
      <c r="AD3" s="192">
        <v>2016</v>
      </c>
      <c r="AE3" s="192">
        <v>2017</v>
      </c>
      <c r="AF3" s="192">
        <v>2018</v>
      </c>
      <c r="AG3" s="258">
        <v>2019</v>
      </c>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row>
    <row r="4" spans="1:83" x14ac:dyDescent="0.2">
      <c r="V4" s="197"/>
      <c r="W4" s="197"/>
      <c r="X4" s="197"/>
      <c r="Y4" s="197"/>
      <c r="Z4" s="197"/>
      <c r="AA4" s="197"/>
      <c r="AB4" s="197"/>
      <c r="AC4" s="463"/>
      <c r="AD4" s="193"/>
      <c r="AE4" s="193"/>
      <c r="AF4" s="193"/>
      <c r="AG4" s="259"/>
    </row>
    <row r="5" spans="1:83" x14ac:dyDescent="0.2">
      <c r="A5" s="2" t="s">
        <v>0</v>
      </c>
      <c r="B5" s="2" t="s">
        <v>192</v>
      </c>
      <c r="C5" s="2"/>
      <c r="D5" s="2"/>
      <c r="V5" s="197"/>
      <c r="W5" s="197"/>
      <c r="X5" s="197"/>
      <c r="Y5" s="195"/>
      <c r="Z5" s="195"/>
      <c r="AA5" s="195"/>
      <c r="AB5" s="195"/>
      <c r="AC5" s="521"/>
      <c r="AD5" s="522"/>
      <c r="AE5" s="522"/>
      <c r="AF5" s="522"/>
      <c r="AG5" s="523"/>
    </row>
    <row r="6" spans="1:83" s="1" customFormat="1" x14ac:dyDescent="0.2">
      <c r="A6" s="402" t="s">
        <v>420</v>
      </c>
      <c r="B6" s="1" t="s">
        <v>27</v>
      </c>
      <c r="D6" s="5">
        <v>0.105</v>
      </c>
      <c r="E6" s="5">
        <v>0.10249999999999999</v>
      </c>
      <c r="F6" s="5">
        <v>9.5000000000000001E-2</v>
      </c>
      <c r="G6" s="5">
        <v>8.7499999999999994E-2</v>
      </c>
      <c r="H6" s="5">
        <v>8.7499999999999994E-2</v>
      </c>
      <c r="I6" s="5">
        <v>8.2500000000000004E-2</v>
      </c>
      <c r="J6" s="5">
        <v>8.2500000000000004E-2</v>
      </c>
      <c r="K6" s="5">
        <v>7.7499999999999999E-2</v>
      </c>
      <c r="L6" s="5">
        <v>7.2499999999999995E-2</v>
      </c>
      <c r="M6" s="5">
        <v>7.2499999999999995E-2</v>
      </c>
      <c r="N6" s="5">
        <v>7.0000000000000007E-2</v>
      </c>
      <c r="O6" s="5">
        <v>7.0000000000000007E-2</v>
      </c>
      <c r="P6" s="5">
        <v>7.0000000000000007E-2</v>
      </c>
      <c r="Q6" s="5">
        <v>7.0000000000000007E-2</v>
      </c>
      <c r="R6" s="117">
        <v>7.0000000000000007E-2</v>
      </c>
      <c r="S6" s="117">
        <v>7.0000000000000007E-2</v>
      </c>
      <c r="T6" s="117">
        <v>6.7500000000000004E-2</v>
      </c>
      <c r="U6" s="117">
        <v>6.7500000000000004E-2</v>
      </c>
      <c r="V6" s="198">
        <v>6.7500000000000004E-2</v>
      </c>
      <c r="W6" s="198">
        <v>6.7500000000000004E-2</v>
      </c>
      <c r="X6" s="198">
        <v>6.7500000000000004E-2</v>
      </c>
      <c r="Y6" s="220">
        <v>6.7500000000000004E-2</v>
      </c>
      <c r="Z6" s="220">
        <v>6.7500000000000004E-2</v>
      </c>
      <c r="AA6" s="220">
        <v>6.7500000000000004E-2</v>
      </c>
      <c r="AB6" s="465">
        <v>6.7500000000000004E-2</v>
      </c>
      <c r="AC6" s="526">
        <v>6.5000000000000002E-2</v>
      </c>
      <c r="AD6" s="527">
        <v>6.25E-2</v>
      </c>
      <c r="AE6" s="527">
        <v>6.25E-2</v>
      </c>
      <c r="AF6" s="527">
        <v>6.25E-2</v>
      </c>
      <c r="AG6" s="528">
        <v>6.25E-2</v>
      </c>
      <c r="AH6" s="173"/>
      <c r="AI6" s="173"/>
      <c r="AJ6" s="173"/>
      <c r="AK6" s="173"/>
      <c r="AL6" s="173"/>
      <c r="AM6" s="173"/>
      <c r="AN6" s="173"/>
      <c r="AO6" s="173"/>
      <c r="AP6" s="173"/>
      <c r="AQ6" s="173"/>
      <c r="AR6" s="173"/>
      <c r="AS6" s="173"/>
      <c r="AT6" s="173"/>
      <c r="AU6" s="173"/>
      <c r="AV6" s="173"/>
      <c r="AW6" s="173"/>
      <c r="AX6" s="173"/>
      <c r="AY6" s="173"/>
      <c r="AZ6" s="173"/>
      <c r="BA6" s="173"/>
      <c r="BB6" s="173"/>
      <c r="BC6" s="173"/>
      <c r="BD6" s="173"/>
      <c r="BE6" s="173"/>
      <c r="BF6" s="173"/>
      <c r="BG6" s="173"/>
      <c r="BH6" s="173"/>
      <c r="BI6" s="173"/>
      <c r="BJ6" s="173"/>
      <c r="BK6" s="173"/>
      <c r="BL6" s="173"/>
      <c r="BM6" s="173"/>
      <c r="BN6" s="173"/>
      <c r="BO6" s="173"/>
      <c r="BP6" s="173"/>
      <c r="BQ6" s="173"/>
      <c r="BR6" s="173"/>
      <c r="BS6" s="173"/>
      <c r="BT6" s="173"/>
      <c r="BU6" s="173"/>
      <c r="BV6" s="173"/>
      <c r="BW6" s="173"/>
      <c r="BX6" s="173"/>
      <c r="BY6" s="173"/>
      <c r="BZ6" s="173"/>
      <c r="CA6" s="173"/>
      <c r="CB6" s="173"/>
      <c r="CC6" s="173"/>
      <c r="CD6" s="173"/>
      <c r="CE6" s="173"/>
    </row>
    <row r="7" spans="1:83" s="1" customFormat="1" x14ac:dyDescent="0.2">
      <c r="A7" s="402" t="s">
        <v>420</v>
      </c>
      <c r="B7" s="1" t="s">
        <v>27</v>
      </c>
      <c r="D7" s="5">
        <v>9.2499999999999999E-2</v>
      </c>
      <c r="E7" s="5">
        <v>9.2499999999999999E-2</v>
      </c>
      <c r="F7" s="5">
        <v>0.09</v>
      </c>
      <c r="G7" s="5">
        <v>8.7499999999999994E-2</v>
      </c>
      <c r="H7" s="5">
        <v>8.7499999999999994E-2</v>
      </c>
      <c r="I7" s="5">
        <v>8.2500000000000004E-2</v>
      </c>
      <c r="J7" s="5">
        <v>8.2500000000000004E-2</v>
      </c>
      <c r="K7" s="5">
        <v>7.7499999999999999E-2</v>
      </c>
      <c r="L7" s="5">
        <v>7.2499999999999995E-2</v>
      </c>
      <c r="M7" s="5">
        <v>7.2499999999999995E-2</v>
      </c>
      <c r="N7" s="5">
        <v>7.0000000000000007E-2</v>
      </c>
      <c r="O7" s="5">
        <v>7.0000000000000007E-2</v>
      </c>
      <c r="P7" s="5">
        <v>7.0000000000000007E-2</v>
      </c>
      <c r="Q7" s="5">
        <v>7.0000000000000007E-2</v>
      </c>
      <c r="R7" s="117">
        <v>7.0000000000000007E-2</v>
      </c>
      <c r="S7" s="117">
        <v>7.0000000000000007E-2</v>
      </c>
      <c r="T7" s="117">
        <v>6.7500000000000004E-2</v>
      </c>
      <c r="U7" s="117">
        <v>6.7500000000000004E-2</v>
      </c>
      <c r="V7" s="198">
        <v>6.7500000000000004E-2</v>
      </c>
      <c r="W7" s="198">
        <v>6.7500000000000004E-2</v>
      </c>
      <c r="X7" s="198">
        <v>6.7500000000000004E-2</v>
      </c>
      <c r="Y7" s="220">
        <v>6.7500000000000004E-2</v>
      </c>
      <c r="Z7" s="220">
        <v>6.7500000000000004E-2</v>
      </c>
      <c r="AA7" s="220">
        <v>6.7500000000000004E-2</v>
      </c>
      <c r="AB7" s="465">
        <v>6.7500000000000004E-2</v>
      </c>
      <c r="AC7" s="526">
        <v>6.5000000000000002E-2</v>
      </c>
      <c r="AD7" s="527">
        <v>6.25E-2</v>
      </c>
      <c r="AE7" s="527">
        <v>6.25E-2</v>
      </c>
      <c r="AF7" s="527">
        <v>6.25E-2</v>
      </c>
      <c r="AG7" s="528">
        <v>6.25E-2</v>
      </c>
      <c r="AH7" s="173"/>
      <c r="AI7" s="173"/>
      <c r="AJ7" s="173"/>
      <c r="AK7" s="173"/>
      <c r="AL7" s="173"/>
      <c r="AM7" s="173"/>
      <c r="AN7" s="173"/>
      <c r="AO7" s="173"/>
      <c r="AP7" s="173"/>
      <c r="AQ7" s="173"/>
      <c r="AR7" s="173"/>
      <c r="AS7" s="173"/>
      <c r="AT7" s="173"/>
      <c r="AU7" s="173"/>
      <c r="AV7" s="173"/>
      <c r="AW7" s="173"/>
      <c r="AX7" s="173"/>
      <c r="AY7" s="173"/>
      <c r="AZ7" s="173"/>
      <c r="BA7" s="173"/>
      <c r="BB7" s="173"/>
      <c r="BC7" s="173"/>
      <c r="BD7" s="173"/>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c r="CE7" s="173"/>
    </row>
    <row r="8" spans="1:83" s="1" customFormat="1" x14ac:dyDescent="0.2">
      <c r="A8" s="1" t="s">
        <v>2</v>
      </c>
      <c r="B8" s="1" t="s">
        <v>27</v>
      </c>
      <c r="D8" s="5">
        <v>0.06</v>
      </c>
      <c r="E8" s="5">
        <v>5.7500000000000002E-2</v>
      </c>
      <c r="F8" s="5">
        <v>5.2499999999999998E-2</v>
      </c>
      <c r="G8" s="5">
        <v>0.05</v>
      </c>
      <c r="H8" s="5">
        <v>0.05</v>
      </c>
      <c r="I8" s="5">
        <v>4.4999999999999998E-2</v>
      </c>
      <c r="J8" s="5">
        <v>4.4999999999999998E-2</v>
      </c>
      <c r="K8" s="5">
        <v>0.04</v>
      </c>
      <c r="L8" s="5">
        <v>3.5000000000000003E-2</v>
      </c>
      <c r="M8" s="5">
        <v>3.5000000000000003E-2</v>
      </c>
      <c r="N8" s="5">
        <v>3.5000000000000003E-2</v>
      </c>
      <c r="O8" s="5">
        <v>3.5000000000000003E-2</v>
      </c>
      <c r="P8" s="5">
        <v>3.5000000000000003E-2</v>
      </c>
      <c r="Q8" s="5">
        <v>3.5000000000000003E-2</v>
      </c>
      <c r="R8" s="117">
        <v>3.5000000000000003E-2</v>
      </c>
      <c r="S8" s="117">
        <v>3.5000000000000003E-2</v>
      </c>
      <c r="T8" s="117">
        <v>3.5000000000000003E-2</v>
      </c>
      <c r="U8" s="117">
        <v>3.5000000000000003E-2</v>
      </c>
      <c r="V8" s="198">
        <v>3.5000000000000003E-2</v>
      </c>
      <c r="W8" s="198">
        <v>3.5000000000000003E-2</v>
      </c>
      <c r="X8" s="198">
        <v>3.5000000000000003E-2</v>
      </c>
      <c r="Y8" s="220">
        <v>3.5000000000000003E-2</v>
      </c>
      <c r="Z8" s="220">
        <v>3.5000000000000003E-2</v>
      </c>
      <c r="AA8" s="220">
        <v>3.5000000000000003E-2</v>
      </c>
      <c r="AB8" s="465">
        <v>3.5000000000000003E-2</v>
      </c>
      <c r="AC8" s="526">
        <v>3.2500000000000001E-2</v>
      </c>
      <c r="AD8" s="527">
        <v>0.03</v>
      </c>
      <c r="AE8" s="527">
        <v>0.03</v>
      </c>
      <c r="AF8" s="527">
        <v>0.03</v>
      </c>
      <c r="AG8" s="528">
        <v>0.03</v>
      </c>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row>
    <row r="9" spans="1:83" s="1" customFormat="1" x14ac:dyDescent="0.2">
      <c r="A9" s="1" t="s">
        <v>3</v>
      </c>
      <c r="B9" s="1" t="s">
        <v>27</v>
      </c>
      <c r="D9" s="5">
        <v>4.4999999999999998E-2</v>
      </c>
      <c r="E9" s="5">
        <v>4.4999999999999998E-2</v>
      </c>
      <c r="F9" s="5">
        <v>4.2500000000000003E-2</v>
      </c>
      <c r="G9" s="5">
        <v>0.04</v>
      </c>
      <c r="H9" s="5">
        <v>0.04</v>
      </c>
      <c r="I9" s="5">
        <v>3.5000000000000003E-2</v>
      </c>
      <c r="J9" s="5">
        <v>3.5000000000000003E-2</v>
      </c>
      <c r="K9" s="5">
        <v>0.03</v>
      </c>
      <c r="L9" s="5">
        <v>2.5000000000000001E-2</v>
      </c>
      <c r="M9" s="5">
        <v>2.5000000000000001E-2</v>
      </c>
      <c r="N9" s="5">
        <v>2.5000000000000001E-2</v>
      </c>
      <c r="O9" s="5">
        <v>2.5000000000000001E-2</v>
      </c>
      <c r="P9" s="5">
        <v>2.5000000000000001E-2</v>
      </c>
      <c r="Q9" s="5">
        <v>2.5000000000000001E-2</v>
      </c>
      <c r="R9" s="117">
        <v>2.5000000000000001E-2</v>
      </c>
      <c r="S9" s="117">
        <v>2.5000000000000001E-2</v>
      </c>
      <c r="T9" s="117">
        <v>2.5000000000000001E-2</v>
      </c>
      <c r="U9" s="117">
        <v>2.5000000000000001E-2</v>
      </c>
      <c r="V9" s="198">
        <v>2.5000000000000001E-2</v>
      </c>
      <c r="W9" s="198">
        <v>2.5000000000000001E-2</v>
      </c>
      <c r="X9" s="198">
        <v>2.5000000000000001E-2</v>
      </c>
      <c r="Y9" s="220">
        <v>2.5000000000000001E-2</v>
      </c>
      <c r="Z9" s="220">
        <v>2.5000000000000001E-2</v>
      </c>
      <c r="AA9" s="220">
        <v>2.5000000000000001E-2</v>
      </c>
      <c r="AB9" s="465">
        <v>2.5000000000000001E-2</v>
      </c>
      <c r="AC9" s="526">
        <v>2.2500000000000003E-2</v>
      </c>
      <c r="AD9" s="527">
        <v>0.02</v>
      </c>
      <c r="AE9" s="527">
        <v>0.02</v>
      </c>
      <c r="AF9" s="527">
        <v>0.02</v>
      </c>
      <c r="AG9" s="528">
        <v>0.02</v>
      </c>
      <c r="AH9" s="173"/>
      <c r="AI9" s="173"/>
      <c r="AJ9" s="173"/>
      <c r="AK9" s="173"/>
      <c r="AL9" s="173"/>
      <c r="AM9" s="173"/>
      <c r="AN9" s="173"/>
      <c r="AO9" s="173"/>
      <c r="AP9" s="173"/>
      <c r="AQ9" s="173"/>
      <c r="AR9" s="173"/>
      <c r="AS9" s="173"/>
      <c r="AT9" s="173"/>
      <c r="AU9" s="173"/>
      <c r="AV9" s="173"/>
      <c r="AW9" s="173"/>
      <c r="AX9" s="173"/>
      <c r="AY9" s="173"/>
      <c r="AZ9" s="173"/>
      <c r="BA9" s="173"/>
      <c r="BB9" s="173"/>
      <c r="BC9" s="173"/>
      <c r="BD9" s="173"/>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c r="CE9" s="173"/>
    </row>
    <row r="10" spans="1:83" x14ac:dyDescent="0.2">
      <c r="V10" s="197"/>
      <c r="W10" s="197"/>
      <c r="X10" s="197"/>
      <c r="Y10" s="195"/>
      <c r="Z10" s="195"/>
      <c r="AA10" s="195"/>
      <c r="AB10" s="466"/>
      <c r="AC10" s="460"/>
      <c r="AD10" s="191"/>
      <c r="AE10" s="191"/>
      <c r="AF10" s="191"/>
      <c r="AG10" s="257"/>
    </row>
    <row r="11" spans="1:83" x14ac:dyDescent="0.2">
      <c r="A11" s="2" t="s">
        <v>4</v>
      </c>
      <c r="B11" s="2"/>
      <c r="C11" s="2"/>
      <c r="D11" s="2"/>
      <c r="V11" s="197"/>
      <c r="W11" s="197"/>
      <c r="X11" s="197"/>
      <c r="Y11" s="195"/>
      <c r="Z11" s="195"/>
      <c r="AA11" s="195"/>
      <c r="AB11" s="466"/>
      <c r="AC11" s="460"/>
      <c r="AD11" s="191"/>
      <c r="AE11" s="191"/>
      <c r="AF11" s="191"/>
      <c r="AG11" s="257"/>
    </row>
    <row r="12" spans="1:83" s="3" customFormat="1" x14ac:dyDescent="0.2">
      <c r="A12" s="3" t="s">
        <v>11</v>
      </c>
      <c r="B12" s="3" t="s">
        <v>28</v>
      </c>
      <c r="C12" s="7">
        <v>21912</v>
      </c>
      <c r="D12" s="7">
        <v>24391</v>
      </c>
      <c r="E12" s="7">
        <v>27479</v>
      </c>
      <c r="F12" s="7">
        <v>30781</v>
      </c>
      <c r="G12" s="7">
        <v>33998</v>
      </c>
      <c r="H12" s="7">
        <v>36848</v>
      </c>
      <c r="I12" s="7">
        <v>39007</v>
      </c>
      <c r="J12" s="7">
        <v>41833</v>
      </c>
      <c r="K12" s="7">
        <v>46470</v>
      </c>
      <c r="L12" s="7">
        <v>48635</v>
      </c>
      <c r="M12" s="7">
        <v>50346</v>
      </c>
      <c r="N12" s="7">
        <v>55087</v>
      </c>
      <c r="O12" s="7">
        <v>64369</v>
      </c>
      <c r="P12" s="7">
        <v>67319</v>
      </c>
      <c r="Q12" s="7">
        <v>71009</v>
      </c>
      <c r="R12" s="118">
        <v>74089</v>
      </c>
      <c r="S12" s="118">
        <v>80371</v>
      </c>
      <c r="T12" s="118">
        <v>83120</v>
      </c>
      <c r="U12" s="118">
        <v>88356</v>
      </c>
      <c r="V12" s="199">
        <v>92022</v>
      </c>
      <c r="W12" s="199">
        <v>96608</v>
      </c>
      <c r="X12" s="199">
        <v>99117</v>
      </c>
      <c r="Y12" s="221">
        <v>103693</v>
      </c>
      <c r="Z12" s="221">
        <v>105954</v>
      </c>
      <c r="AA12" s="221">
        <v>109524</v>
      </c>
      <c r="AB12" s="467">
        <v>113801</v>
      </c>
      <c r="AC12" s="477">
        <v>116367</v>
      </c>
      <c r="AD12" s="529">
        <v>120891.15773981952</v>
      </c>
      <c r="AE12" s="529">
        <v>125674.54587496544</v>
      </c>
      <c r="AF12" s="529">
        <v>130724.77615093655</v>
      </c>
      <c r="AG12" s="530">
        <v>136066.48289917331</v>
      </c>
      <c r="AH12" s="127"/>
      <c r="AI12" s="127"/>
      <c r="AJ12" s="127"/>
      <c r="AK12" s="127"/>
      <c r="AL12" s="127"/>
      <c r="AM12" s="127"/>
      <c r="AN12" s="127"/>
      <c r="AO12" s="127"/>
      <c r="AP12" s="127"/>
      <c r="AQ12" s="127"/>
      <c r="AR12" s="127"/>
      <c r="AS12" s="127"/>
      <c r="AT12" s="127"/>
      <c r="AU12" s="127"/>
      <c r="AV12" s="127"/>
      <c r="AW12" s="127"/>
      <c r="AX12" s="127"/>
      <c r="AY12" s="127"/>
      <c r="AZ12" s="127"/>
      <c r="BA12" s="127"/>
      <c r="BB12" s="127"/>
      <c r="BC12" s="127"/>
      <c r="BD12" s="127"/>
      <c r="BE12" s="127"/>
      <c r="BF12" s="127"/>
      <c r="BG12" s="127"/>
      <c r="BH12" s="127"/>
      <c r="BI12" s="127"/>
      <c r="BJ12" s="127"/>
      <c r="BK12" s="127"/>
      <c r="BL12" s="127"/>
      <c r="BM12" s="127"/>
      <c r="BN12" s="127"/>
      <c r="BO12" s="127"/>
      <c r="BP12" s="127"/>
      <c r="BQ12" s="127"/>
      <c r="BR12" s="127"/>
      <c r="BS12" s="127"/>
      <c r="BT12" s="127"/>
      <c r="BU12" s="127"/>
      <c r="BV12" s="127"/>
      <c r="BW12" s="127"/>
      <c r="BX12" s="127"/>
      <c r="BY12" s="127"/>
      <c r="BZ12" s="127"/>
      <c r="CA12" s="127"/>
      <c r="CB12" s="127"/>
      <c r="CC12" s="127"/>
      <c r="CD12" s="127"/>
      <c r="CE12" s="127"/>
    </row>
    <row r="13" spans="1:83" s="3" customFormat="1" x14ac:dyDescent="0.2">
      <c r="A13" s="3" t="s">
        <v>5</v>
      </c>
      <c r="B13" s="3" t="s">
        <v>28</v>
      </c>
      <c r="D13" s="7">
        <v>2309</v>
      </c>
      <c r="E13" s="7">
        <v>2588</v>
      </c>
      <c r="F13" s="7">
        <v>2845</v>
      </c>
      <c r="G13" s="7">
        <v>2943</v>
      </c>
      <c r="H13" s="7">
        <v>3000</v>
      </c>
      <c r="I13" s="7">
        <v>3076</v>
      </c>
      <c r="J13" s="7">
        <v>3381</v>
      </c>
      <c r="K13" s="7">
        <v>3425</v>
      </c>
      <c r="L13" s="7">
        <v>3415</v>
      </c>
      <c r="M13" s="7">
        <v>3493</v>
      </c>
      <c r="N13" s="7">
        <v>3648</v>
      </c>
      <c r="O13" s="7">
        <v>4108</v>
      </c>
      <c r="P13" s="7">
        <v>4468</v>
      </c>
      <c r="Q13" s="7">
        <v>4669</v>
      </c>
      <c r="R13" s="118">
        <v>4923</v>
      </c>
      <c r="S13" s="118">
        <v>5158</v>
      </c>
      <c r="T13" s="118">
        <v>5318</v>
      </c>
      <c r="U13" s="118">
        <v>5550</v>
      </c>
      <c r="V13" s="199">
        <v>5898</v>
      </c>
      <c r="W13" s="199">
        <v>6166</v>
      </c>
      <c r="X13" s="199">
        <v>6452</v>
      </c>
      <c r="Y13" s="221">
        <v>6619</v>
      </c>
      <c r="Z13" s="221">
        <v>6926</v>
      </c>
      <c r="AA13" s="221">
        <v>7067</v>
      </c>
      <c r="AB13" s="467">
        <v>7311</v>
      </c>
      <c r="AC13" s="477">
        <v>7310</v>
      </c>
      <c r="AD13" s="529">
        <v>7182.34375</v>
      </c>
      <c r="AE13" s="529">
        <v>7456.8457620590325</v>
      </c>
      <c r="AF13" s="529">
        <v>7748.5862659982058</v>
      </c>
      <c r="AG13" s="530">
        <v>8056.4801008723562</v>
      </c>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row>
    <row r="14" spans="1:83" s="3" customFormat="1" x14ac:dyDescent="0.2">
      <c r="A14" s="3" t="s">
        <v>50</v>
      </c>
      <c r="B14" s="3" t="s">
        <v>28</v>
      </c>
      <c r="D14" s="7">
        <v>930</v>
      </c>
      <c r="E14" s="7">
        <v>1180</v>
      </c>
      <c r="F14" s="7">
        <v>1188</v>
      </c>
      <c r="G14" s="7">
        <v>1170</v>
      </c>
      <c r="H14" s="7">
        <v>1292</v>
      </c>
      <c r="I14" s="7">
        <v>1363</v>
      </c>
      <c r="J14" s="7">
        <v>1337</v>
      </c>
      <c r="K14" s="7">
        <v>1204</v>
      </c>
      <c r="L14" s="7">
        <v>1305</v>
      </c>
      <c r="M14" s="7">
        <v>1301</v>
      </c>
      <c r="N14" s="7">
        <v>1300</v>
      </c>
      <c r="O14" s="7">
        <v>1539</v>
      </c>
      <c r="P14" s="7">
        <v>1695</v>
      </c>
      <c r="Q14" s="7">
        <v>1735</v>
      </c>
      <c r="R14" s="118">
        <v>1756</v>
      </c>
      <c r="S14" s="118">
        <v>1909</v>
      </c>
      <c r="T14" s="118">
        <f>1979+14+2+17-T15</f>
        <v>1995</v>
      </c>
      <c r="U14" s="118">
        <f>2085+16+1</f>
        <v>2102</v>
      </c>
      <c r="V14" s="199">
        <v>2236</v>
      </c>
      <c r="W14" s="199">
        <v>2349</v>
      </c>
      <c r="X14" s="199">
        <v>2434</v>
      </c>
      <c r="Y14" s="221">
        <v>2565</v>
      </c>
      <c r="Z14" s="221">
        <v>2791</v>
      </c>
      <c r="AA14" s="221">
        <v>2654</v>
      </c>
      <c r="AB14" s="467">
        <v>2924</v>
      </c>
      <c r="AC14" s="531">
        <f>2868+34+0</f>
        <v>2902</v>
      </c>
      <c r="AD14" s="529">
        <v>3023.59375</v>
      </c>
      <c r="AE14" s="529">
        <v>3262.1026904296868</v>
      </c>
      <c r="AF14" s="529">
        <v>3500.4040891754139</v>
      </c>
      <c r="AG14" s="530">
        <v>3756.0074825188831</v>
      </c>
      <c r="AH14" s="127"/>
      <c r="AI14" s="127"/>
      <c r="AJ14" s="127"/>
      <c r="AK14" s="127"/>
      <c r="AL14" s="127"/>
      <c r="AM14" s="127"/>
      <c r="AN14" s="127"/>
      <c r="AO14" s="127"/>
      <c r="AP14" s="127"/>
      <c r="AQ14" s="127"/>
      <c r="AR14" s="127"/>
      <c r="AS14" s="127"/>
      <c r="AT14" s="127"/>
      <c r="AU14" s="127"/>
      <c r="AV14" s="127"/>
      <c r="AW14" s="127"/>
      <c r="AX14" s="127"/>
      <c r="AY14" s="127"/>
      <c r="AZ14" s="127"/>
      <c r="BA14" s="127"/>
      <c r="BB14" s="127"/>
      <c r="BC14" s="127"/>
      <c r="BD14" s="127"/>
      <c r="BE14" s="127"/>
      <c r="BF14" s="127"/>
      <c r="BG14" s="127"/>
      <c r="BH14" s="127"/>
      <c r="BI14" s="127"/>
      <c r="BJ14" s="127"/>
      <c r="BK14" s="127"/>
      <c r="BL14" s="127"/>
      <c r="BM14" s="127"/>
      <c r="BN14" s="127"/>
      <c r="BO14" s="127"/>
      <c r="BP14" s="127"/>
      <c r="BQ14" s="127"/>
      <c r="BR14" s="127"/>
      <c r="BS14" s="127"/>
      <c r="BT14" s="127"/>
      <c r="BU14" s="127"/>
      <c r="BV14" s="127"/>
      <c r="BW14" s="127"/>
      <c r="BX14" s="127"/>
      <c r="BY14" s="127"/>
      <c r="BZ14" s="127"/>
      <c r="CA14" s="127"/>
      <c r="CB14" s="127"/>
      <c r="CC14" s="127"/>
      <c r="CD14" s="127"/>
      <c r="CE14" s="127"/>
    </row>
    <row r="15" spans="1:83" s="157" customFormat="1" x14ac:dyDescent="0.2">
      <c r="A15" s="157" t="s">
        <v>18</v>
      </c>
      <c r="D15" s="158"/>
      <c r="E15" s="158"/>
      <c r="F15" s="158"/>
      <c r="G15" s="158"/>
      <c r="H15" s="158"/>
      <c r="I15" s="158"/>
      <c r="J15" s="158"/>
      <c r="K15" s="158"/>
      <c r="L15" s="158"/>
      <c r="M15" s="158"/>
      <c r="N15" s="158"/>
      <c r="O15" s="158"/>
      <c r="P15" s="158"/>
      <c r="Q15" s="158"/>
      <c r="R15" s="158"/>
      <c r="S15" s="158"/>
      <c r="T15" s="158">
        <f>T34</f>
        <v>17</v>
      </c>
      <c r="U15" s="158">
        <f>U34</f>
        <v>19</v>
      </c>
      <c r="V15" s="199">
        <v>17</v>
      </c>
      <c r="W15" s="199">
        <v>13</v>
      </c>
      <c r="X15" s="199">
        <v>11</v>
      </c>
      <c r="Y15" s="221">
        <v>15</v>
      </c>
      <c r="Z15" s="221">
        <v>13</v>
      </c>
      <c r="AA15" s="221">
        <v>13</v>
      </c>
      <c r="AB15" s="467">
        <v>13</v>
      </c>
      <c r="AC15" s="477">
        <v>14</v>
      </c>
      <c r="AD15" s="529">
        <v>13</v>
      </c>
      <c r="AE15" s="529">
        <v>13</v>
      </c>
      <c r="AF15" s="529">
        <v>13</v>
      </c>
      <c r="AG15" s="530">
        <v>13</v>
      </c>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c r="BK15" s="127"/>
      <c r="BL15" s="127"/>
      <c r="BM15" s="127"/>
      <c r="BN15" s="127"/>
      <c r="BO15" s="127"/>
      <c r="BP15" s="127"/>
      <c r="BQ15" s="127"/>
      <c r="BR15" s="127"/>
      <c r="BS15" s="127"/>
      <c r="BT15" s="127"/>
      <c r="BU15" s="127"/>
      <c r="BV15" s="127"/>
      <c r="BW15" s="127"/>
      <c r="BX15" s="127"/>
      <c r="BY15" s="127"/>
      <c r="BZ15" s="127"/>
      <c r="CA15" s="127"/>
      <c r="CB15" s="127"/>
      <c r="CC15" s="127"/>
      <c r="CD15" s="127"/>
      <c r="CE15" s="127"/>
    </row>
    <row r="16" spans="1:83" s="3" customFormat="1" x14ac:dyDescent="0.2">
      <c r="A16" s="3" t="s">
        <v>207</v>
      </c>
      <c r="B16" s="3" t="s">
        <v>28</v>
      </c>
      <c r="D16" s="7"/>
      <c r="E16" s="7">
        <v>0</v>
      </c>
      <c r="F16" s="7">
        <v>0</v>
      </c>
      <c r="G16" s="7">
        <v>0</v>
      </c>
      <c r="H16" s="7">
        <v>0</v>
      </c>
      <c r="I16" s="7">
        <v>0</v>
      </c>
      <c r="J16" s="7">
        <v>258</v>
      </c>
      <c r="K16" s="7">
        <v>2013</v>
      </c>
      <c r="L16" s="7"/>
      <c r="M16" s="7">
        <v>0</v>
      </c>
      <c r="N16" s="7">
        <v>0</v>
      </c>
      <c r="O16" s="7">
        <v>4519</v>
      </c>
      <c r="P16" s="7"/>
      <c r="Q16" s="7"/>
      <c r="R16" s="118"/>
      <c r="S16" s="118"/>
      <c r="T16" s="118"/>
      <c r="U16" s="118"/>
      <c r="V16" s="199"/>
      <c r="W16" s="199"/>
      <c r="X16" s="199"/>
      <c r="Y16" s="221">
        <v>0</v>
      </c>
      <c r="Z16" s="221">
        <v>0</v>
      </c>
      <c r="AA16" s="221">
        <v>0</v>
      </c>
      <c r="AB16" s="468">
        <v>0</v>
      </c>
      <c r="AC16" s="532">
        <v>0</v>
      </c>
      <c r="AD16" s="533">
        <v>0</v>
      </c>
      <c r="AE16" s="533">
        <v>0</v>
      </c>
      <c r="AF16" s="533">
        <v>0</v>
      </c>
      <c r="AG16" s="534">
        <v>0</v>
      </c>
      <c r="AH16" s="127"/>
      <c r="AI16" s="127"/>
      <c r="AJ16" s="127"/>
      <c r="AK16" s="127"/>
      <c r="AL16" s="127"/>
      <c r="AM16" s="127"/>
      <c r="AN16" s="127"/>
      <c r="AO16" s="127"/>
      <c r="AP16" s="127"/>
      <c r="AQ16" s="127"/>
      <c r="AR16" s="127"/>
      <c r="AS16" s="127"/>
      <c r="AT16" s="127"/>
      <c r="AU16" s="127"/>
      <c r="AV16" s="127"/>
      <c r="AW16" s="127"/>
      <c r="AX16" s="127"/>
      <c r="AY16" s="127"/>
      <c r="AZ16" s="127"/>
      <c r="BA16" s="127"/>
      <c r="BB16" s="127"/>
      <c r="BC16" s="127"/>
      <c r="BD16" s="127"/>
      <c r="BE16" s="127"/>
      <c r="BF16" s="127"/>
      <c r="BG16" s="127"/>
      <c r="BH16" s="127"/>
      <c r="BI16" s="127"/>
      <c r="BJ16" s="127"/>
      <c r="BK16" s="127"/>
      <c r="BL16" s="127"/>
      <c r="BM16" s="127"/>
      <c r="BN16" s="127"/>
      <c r="BO16" s="127"/>
      <c r="BP16" s="127"/>
      <c r="BQ16" s="127"/>
      <c r="BR16" s="127"/>
      <c r="BS16" s="127"/>
      <c r="BT16" s="127"/>
      <c r="BU16" s="127"/>
      <c r="BV16" s="127"/>
      <c r="BW16" s="127"/>
      <c r="BX16" s="127"/>
      <c r="BY16" s="127"/>
      <c r="BZ16" s="127"/>
      <c r="CA16" s="127"/>
      <c r="CB16" s="127"/>
      <c r="CC16" s="127"/>
      <c r="CD16" s="127"/>
      <c r="CE16" s="127"/>
    </row>
    <row r="17" spans="1:83" s="3" customFormat="1" x14ac:dyDescent="0.2">
      <c r="A17" s="3" t="s">
        <v>208</v>
      </c>
      <c r="B17" s="3" t="s">
        <v>28</v>
      </c>
      <c r="D17" s="7"/>
      <c r="E17" s="7"/>
      <c r="F17" s="7"/>
      <c r="G17" s="7"/>
      <c r="H17" s="7"/>
      <c r="I17" s="7"/>
      <c r="J17" s="7"/>
      <c r="K17" s="7"/>
      <c r="L17" s="7">
        <v>380</v>
      </c>
      <c r="M17" s="7"/>
      <c r="N17" s="7"/>
      <c r="O17" s="7"/>
      <c r="P17" s="7"/>
      <c r="Q17" s="7"/>
      <c r="R17" s="118"/>
      <c r="S17" s="118"/>
      <c r="T17" s="118"/>
      <c r="U17" s="118"/>
      <c r="V17" s="199"/>
      <c r="W17" s="199"/>
      <c r="X17" s="199">
        <v>0</v>
      </c>
      <c r="Y17" s="221">
        <v>0</v>
      </c>
      <c r="Z17" s="221">
        <v>0</v>
      </c>
      <c r="AA17" s="221">
        <v>0</v>
      </c>
      <c r="AB17" s="468">
        <v>0</v>
      </c>
      <c r="AC17" s="532">
        <v>0</v>
      </c>
      <c r="AD17" s="533">
        <v>0</v>
      </c>
      <c r="AE17" s="533">
        <v>0</v>
      </c>
      <c r="AF17" s="533">
        <v>0</v>
      </c>
      <c r="AG17" s="534">
        <v>0</v>
      </c>
      <c r="AH17" s="127"/>
      <c r="AI17" s="127"/>
      <c r="AJ17" s="127"/>
      <c r="AK17" s="127"/>
      <c r="AL17" s="127"/>
      <c r="AM17" s="127"/>
      <c r="AN17" s="127"/>
      <c r="AO17" s="127"/>
      <c r="AP17" s="127"/>
      <c r="AQ17" s="127"/>
      <c r="AR17" s="127"/>
      <c r="AS17" s="127"/>
      <c r="AT17" s="127"/>
      <c r="AU17" s="127"/>
      <c r="AV17" s="127"/>
      <c r="AW17" s="127"/>
      <c r="AX17" s="127"/>
      <c r="AY17" s="127"/>
      <c r="AZ17" s="127"/>
      <c r="BA17" s="127"/>
      <c r="BB17" s="127"/>
      <c r="BC17" s="127"/>
      <c r="BD17" s="127"/>
      <c r="BE17" s="127"/>
      <c r="BF17" s="127"/>
      <c r="BG17" s="127"/>
      <c r="BH17" s="127"/>
      <c r="BI17" s="127"/>
      <c r="BJ17" s="127"/>
      <c r="BK17" s="127"/>
      <c r="BL17" s="127"/>
      <c r="BM17" s="127"/>
      <c r="BN17" s="127"/>
      <c r="BO17" s="127"/>
      <c r="BP17" s="127"/>
      <c r="BQ17" s="127"/>
      <c r="BR17" s="127"/>
      <c r="BS17" s="127"/>
      <c r="BT17" s="127"/>
      <c r="BU17" s="127"/>
      <c r="BV17" s="127"/>
      <c r="BW17" s="127"/>
      <c r="BX17" s="127"/>
      <c r="BY17" s="127"/>
      <c r="BZ17" s="127"/>
      <c r="CA17" s="127"/>
      <c r="CB17" s="127"/>
      <c r="CC17" s="127"/>
      <c r="CD17" s="127"/>
      <c r="CE17" s="127"/>
    </row>
    <row r="18" spans="1:83" s="3" customFormat="1" x14ac:dyDescent="0.2">
      <c r="A18" s="3" t="s">
        <v>9</v>
      </c>
      <c r="B18" s="3" t="s">
        <v>29</v>
      </c>
      <c r="D18" s="7">
        <v>-760</v>
      </c>
      <c r="E18" s="7">
        <v>-829</v>
      </c>
      <c r="F18" s="7">
        <v>-921</v>
      </c>
      <c r="G18" s="7">
        <v>-1001</v>
      </c>
      <c r="H18" s="7">
        <v>-1130</v>
      </c>
      <c r="I18" s="7">
        <v>-1261</v>
      </c>
      <c r="J18" s="7">
        <v>-1520</v>
      </c>
      <c r="K18" s="7">
        <v>-1802</v>
      </c>
      <c r="L18" s="7">
        <v>-2103</v>
      </c>
      <c r="M18" s="7">
        <v>-2278</v>
      </c>
      <c r="N18" s="7">
        <v>-2541</v>
      </c>
      <c r="O18" s="7">
        <v>-3080</v>
      </c>
      <c r="P18" s="7">
        <v>-3076</v>
      </c>
      <c r="Q18" s="7">
        <v>-3199</v>
      </c>
      <c r="R18" s="118">
        <f>-3220-208</f>
        <v>-3428</v>
      </c>
      <c r="S18" s="118">
        <v>-3620</v>
      </c>
      <c r="T18" s="118">
        <f>-3725-7-86</f>
        <v>-3818</v>
      </c>
      <c r="U18" s="118">
        <f>-3976-8-36</f>
        <v>-4020</v>
      </c>
      <c r="V18" s="199">
        <v>-4194</v>
      </c>
      <c r="W18" s="199">
        <v>-4392</v>
      </c>
      <c r="X18" s="199">
        <v>-4500</v>
      </c>
      <c r="Y18" s="221">
        <v>-4663</v>
      </c>
      <c r="Z18" s="221">
        <v>-4924</v>
      </c>
      <c r="AA18" s="221">
        <v>-5150</v>
      </c>
      <c r="AB18" s="467">
        <v>-5306</v>
      </c>
      <c r="AC18" s="477">
        <f>-5356-0-180</f>
        <v>-5536</v>
      </c>
      <c r="AD18" s="529">
        <v>-5694.7797601804714</v>
      </c>
      <c r="AE18" s="529">
        <v>-5948.560317342809</v>
      </c>
      <c r="AF18" s="529">
        <v>-6211.7600792025059</v>
      </c>
      <c r="AG18" s="530">
        <f>-6484.78083515448+1</f>
        <v>-6483.78083515448</v>
      </c>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127"/>
      <c r="BJ18" s="127"/>
      <c r="BK18" s="127"/>
      <c r="BL18" s="127"/>
      <c r="BM18" s="127"/>
      <c r="BN18" s="127"/>
      <c r="BO18" s="127"/>
      <c r="BP18" s="127"/>
      <c r="BQ18" s="127"/>
      <c r="BR18" s="127"/>
      <c r="BS18" s="127"/>
      <c r="BT18" s="127"/>
      <c r="BU18" s="127"/>
      <c r="BV18" s="127"/>
      <c r="BW18" s="127"/>
      <c r="BX18" s="127"/>
      <c r="BY18" s="127"/>
      <c r="BZ18" s="127"/>
      <c r="CA18" s="127"/>
      <c r="CB18" s="127"/>
      <c r="CC18" s="127"/>
      <c r="CD18" s="127"/>
      <c r="CE18" s="127"/>
    </row>
    <row r="19" spans="1:83" s="3" customFormat="1" x14ac:dyDescent="0.2">
      <c r="A19" s="3" t="s">
        <v>6</v>
      </c>
      <c r="B19" s="3" t="s">
        <v>28</v>
      </c>
      <c r="D19" s="7"/>
      <c r="E19" s="7">
        <v>138</v>
      </c>
      <c r="F19" s="7">
        <v>-433</v>
      </c>
      <c r="G19" s="7">
        <v>-646</v>
      </c>
      <c r="H19" s="7">
        <v>-558</v>
      </c>
      <c r="I19" s="7">
        <v>-1156</v>
      </c>
      <c r="J19" s="7">
        <v>-822</v>
      </c>
      <c r="K19" s="7">
        <v>-878</v>
      </c>
      <c r="L19" s="7">
        <v>-1048</v>
      </c>
      <c r="M19" s="7">
        <v>-805</v>
      </c>
      <c r="N19" s="7">
        <v>605</v>
      </c>
      <c r="O19" s="7">
        <v>51</v>
      </c>
      <c r="P19" s="7">
        <f>-142</f>
        <v>-142</v>
      </c>
      <c r="Q19" s="7">
        <v>414</v>
      </c>
      <c r="R19" s="118">
        <v>-180</v>
      </c>
      <c r="S19" s="118">
        <v>0</v>
      </c>
      <c r="T19" s="118">
        <v>-68</v>
      </c>
      <c r="U19" s="118">
        <v>-276</v>
      </c>
      <c r="V19" s="199">
        <v>-291</v>
      </c>
      <c r="W19" s="199">
        <v>450</v>
      </c>
      <c r="X19" s="199">
        <v>-1975</v>
      </c>
      <c r="Y19" s="221">
        <v>-457</v>
      </c>
      <c r="Z19" s="221">
        <v>-312</v>
      </c>
      <c r="AA19" s="221">
        <v>-956</v>
      </c>
      <c r="AB19" s="467">
        <v>-300</v>
      </c>
      <c r="AC19" s="477">
        <f>-1028-552-1161</f>
        <v>-2741</v>
      </c>
      <c r="AD19" s="529">
        <v>0</v>
      </c>
      <c r="AE19" s="529">
        <v>0</v>
      </c>
      <c r="AF19" s="529">
        <v>0</v>
      </c>
      <c r="AG19" s="530">
        <v>0</v>
      </c>
      <c r="AH19" s="127"/>
      <c r="AI19" s="127"/>
      <c r="AJ19" s="127"/>
      <c r="AK19" s="127"/>
      <c r="AL19" s="127"/>
      <c r="AM19" s="127"/>
      <c r="AN19" s="127"/>
      <c r="AO19" s="127"/>
      <c r="AP19" s="127"/>
      <c r="AQ19" s="127"/>
      <c r="AR19" s="127"/>
      <c r="AS19" s="127"/>
      <c r="AT19" s="127"/>
      <c r="AU19" s="127"/>
      <c r="AV19" s="127"/>
      <c r="AW19" s="127"/>
      <c r="AX19" s="127"/>
      <c r="AY19" s="127"/>
      <c r="AZ19" s="127"/>
      <c r="BA19" s="127"/>
      <c r="BB19" s="127"/>
      <c r="BC19" s="127"/>
      <c r="BD19" s="127"/>
      <c r="BE19" s="127"/>
      <c r="BF19" s="127"/>
      <c r="BG19" s="127"/>
      <c r="BH19" s="127"/>
      <c r="BI19" s="127"/>
      <c r="BJ19" s="127"/>
      <c r="BK19" s="127"/>
      <c r="BL19" s="127"/>
      <c r="BM19" s="127"/>
      <c r="BN19" s="127"/>
      <c r="BO19" s="127"/>
      <c r="BP19" s="127"/>
      <c r="BQ19" s="127"/>
      <c r="BR19" s="127"/>
      <c r="BS19" s="127"/>
      <c r="BT19" s="127"/>
      <c r="BU19" s="127"/>
      <c r="BV19" s="127"/>
      <c r="BW19" s="127"/>
      <c r="BX19" s="127"/>
      <c r="BY19" s="127"/>
      <c r="BZ19" s="127"/>
      <c r="CA19" s="127"/>
      <c r="CB19" s="127"/>
      <c r="CC19" s="127"/>
      <c r="CD19" s="127"/>
      <c r="CE19" s="127"/>
    </row>
    <row r="20" spans="1:83" s="3" customFormat="1" x14ac:dyDescent="0.2">
      <c r="A20" s="3" t="s">
        <v>7</v>
      </c>
      <c r="B20" s="3" t="s">
        <v>30</v>
      </c>
      <c r="D20" s="7"/>
      <c r="E20" s="7">
        <v>0</v>
      </c>
      <c r="F20" s="7">
        <v>606</v>
      </c>
      <c r="G20" s="7">
        <v>733</v>
      </c>
      <c r="H20" s="7">
        <v>246</v>
      </c>
      <c r="I20" s="7">
        <v>137</v>
      </c>
      <c r="J20" s="7">
        <v>192</v>
      </c>
      <c r="K20" s="7">
        <v>675</v>
      </c>
      <c r="L20" s="7">
        <v>216</v>
      </c>
      <c r="M20" s="7">
        <v>0</v>
      </c>
      <c r="N20" s="7">
        <v>1729</v>
      </c>
      <c r="O20" s="7">
        <v>2145</v>
      </c>
      <c r="P20" s="7">
        <v>5</v>
      </c>
      <c r="Q20" s="7">
        <v>71</v>
      </c>
      <c r="R20" s="118">
        <v>9</v>
      </c>
      <c r="S20" s="118">
        <f>2769+66</f>
        <v>2835</v>
      </c>
      <c r="T20" s="118">
        <v>-695</v>
      </c>
      <c r="U20" s="118">
        <v>1861</v>
      </c>
      <c r="V20" s="199"/>
      <c r="W20" s="199"/>
      <c r="X20" s="199">
        <v>87</v>
      </c>
      <c r="Y20" s="221">
        <v>497</v>
      </c>
      <c r="Z20" s="221">
        <f>-2479+246</f>
        <v>-2233</v>
      </c>
      <c r="AA20" s="221">
        <v>-58</v>
      </c>
      <c r="AB20" s="469">
        <f>1054+116+4131-5666</f>
        <v>-365</v>
      </c>
      <c r="AC20" s="532">
        <f>350+4142-3829-46</f>
        <v>617</v>
      </c>
      <c r="AD20" s="533">
        <v>0</v>
      </c>
      <c r="AE20" s="533">
        <v>0</v>
      </c>
      <c r="AF20" s="533">
        <v>0</v>
      </c>
      <c r="AG20" s="534">
        <v>0</v>
      </c>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c r="BJ20" s="127"/>
      <c r="BK20" s="127"/>
      <c r="BL20" s="127"/>
      <c r="BM20" s="127"/>
      <c r="BN20" s="127"/>
      <c r="BO20" s="127"/>
      <c r="BP20" s="127"/>
      <c r="BQ20" s="127"/>
      <c r="BR20" s="127"/>
      <c r="BS20" s="127"/>
      <c r="BT20" s="127"/>
      <c r="BU20" s="127"/>
      <c r="BV20" s="127"/>
      <c r="BW20" s="127"/>
      <c r="BX20" s="127"/>
      <c r="BY20" s="127"/>
      <c r="BZ20" s="127"/>
      <c r="CA20" s="127"/>
      <c r="CB20" s="127"/>
      <c r="CC20" s="127"/>
      <c r="CD20" s="127"/>
      <c r="CE20" s="127"/>
    </row>
    <row r="21" spans="1:83" s="8" customFormat="1" x14ac:dyDescent="0.2">
      <c r="A21" s="8" t="s">
        <v>10</v>
      </c>
      <c r="B21" s="8" t="s">
        <v>31</v>
      </c>
      <c r="D21" s="8">
        <f>SUM(D13:D20)</f>
        <v>2479</v>
      </c>
      <c r="E21" s="8">
        <f>SUM(E13:E20)</f>
        <v>3077</v>
      </c>
      <c r="F21" s="8">
        <f>SUM(F13:F20)</f>
        <v>3285</v>
      </c>
      <c r="G21" s="8">
        <f t="shared" ref="G21:R21" si="0">SUM(G13:G20)</f>
        <v>3199</v>
      </c>
      <c r="H21" s="8">
        <f t="shared" si="0"/>
        <v>2850</v>
      </c>
      <c r="I21" s="8">
        <f t="shared" si="0"/>
        <v>2159</v>
      </c>
      <c r="J21" s="8">
        <f t="shared" si="0"/>
        <v>2826</v>
      </c>
      <c r="K21" s="8">
        <f t="shared" si="0"/>
        <v>4637</v>
      </c>
      <c r="L21" s="8">
        <f t="shared" si="0"/>
        <v>2165</v>
      </c>
      <c r="M21" s="8">
        <f t="shared" si="0"/>
        <v>1711</v>
      </c>
      <c r="N21" s="8">
        <f t="shared" si="0"/>
        <v>4741</v>
      </c>
      <c r="O21" s="8">
        <f t="shared" si="0"/>
        <v>9282</v>
      </c>
      <c r="P21" s="8">
        <f t="shared" si="0"/>
        <v>2950</v>
      </c>
      <c r="Q21" s="8">
        <f t="shared" si="0"/>
        <v>3690</v>
      </c>
      <c r="R21" s="119">
        <f t="shared" si="0"/>
        <v>3080</v>
      </c>
      <c r="S21" s="119">
        <f t="shared" ref="S21:AE21" si="1">SUM(S13:S20)</f>
        <v>6282</v>
      </c>
      <c r="T21" s="119">
        <f t="shared" si="1"/>
        <v>2749</v>
      </c>
      <c r="U21" s="119">
        <f t="shared" si="1"/>
        <v>5236</v>
      </c>
      <c r="V21" s="200">
        <f t="shared" si="1"/>
        <v>3666</v>
      </c>
      <c r="W21" s="200">
        <f t="shared" si="1"/>
        <v>4586</v>
      </c>
      <c r="X21" s="200">
        <f t="shared" si="1"/>
        <v>2509</v>
      </c>
      <c r="Y21" s="200">
        <f t="shared" si="1"/>
        <v>4576</v>
      </c>
      <c r="Z21" s="200">
        <f t="shared" si="1"/>
        <v>2261</v>
      </c>
      <c r="AA21" s="200">
        <f t="shared" si="1"/>
        <v>3570</v>
      </c>
      <c r="AB21" s="470">
        <f t="shared" si="1"/>
        <v>4277</v>
      </c>
      <c r="AC21" s="478">
        <f t="shared" si="1"/>
        <v>2566</v>
      </c>
      <c r="AD21" s="78">
        <f t="shared" si="1"/>
        <v>4524.1577398195286</v>
      </c>
      <c r="AE21" s="78">
        <f t="shared" si="1"/>
        <v>4783.3881351459104</v>
      </c>
      <c r="AF21" s="78">
        <f>SUM(AF13:AF20)</f>
        <v>5050.2302759711147</v>
      </c>
      <c r="AG21" s="242">
        <f>SUM(AG13:AG20)</f>
        <v>5341.7067482367593</v>
      </c>
      <c r="AH21" s="143"/>
      <c r="AI21" s="143"/>
      <c r="AJ21" s="143"/>
      <c r="AK21" s="143"/>
      <c r="AL21" s="143"/>
      <c r="AM21" s="143"/>
      <c r="AN21" s="143"/>
      <c r="AO21" s="143"/>
      <c r="AP21" s="143"/>
      <c r="AQ21" s="143"/>
      <c r="AR21" s="143"/>
      <c r="AS21" s="143"/>
      <c r="AT21" s="143"/>
      <c r="AU21" s="143"/>
      <c r="AV21" s="143"/>
      <c r="AW21" s="143"/>
      <c r="AX21" s="143"/>
      <c r="AY21" s="143"/>
      <c r="AZ21" s="143"/>
      <c r="BA21" s="143"/>
      <c r="BB21" s="143"/>
      <c r="BC21" s="143"/>
      <c r="BD21" s="143"/>
      <c r="BE21" s="143"/>
      <c r="BF21" s="143"/>
      <c r="BG21" s="143"/>
      <c r="BH21" s="143"/>
      <c r="BI21" s="143"/>
      <c r="BJ21" s="143"/>
      <c r="BK21" s="143"/>
      <c r="BL21" s="143"/>
      <c r="BM21" s="143"/>
      <c r="BN21" s="143"/>
      <c r="BO21" s="143"/>
      <c r="BP21" s="143"/>
      <c r="BQ21" s="143"/>
      <c r="BR21" s="143"/>
      <c r="BS21" s="143"/>
      <c r="BT21" s="143"/>
      <c r="BU21" s="143"/>
      <c r="BV21" s="143"/>
      <c r="BW21" s="143"/>
      <c r="BX21" s="143"/>
      <c r="BY21" s="143"/>
      <c r="BZ21" s="143"/>
      <c r="CA21" s="143"/>
      <c r="CB21" s="143"/>
      <c r="CC21" s="143"/>
      <c r="CD21" s="143"/>
      <c r="CE21" s="143"/>
    </row>
    <row r="22" spans="1:83" s="8" customFormat="1" x14ac:dyDescent="0.2">
      <c r="A22" s="8" t="s">
        <v>8</v>
      </c>
      <c r="B22" s="8" t="s">
        <v>31</v>
      </c>
      <c r="E22" s="8">
        <f>E12-D12-E21</f>
        <v>11</v>
      </c>
      <c r="F22" s="8">
        <f>F12-E12-F21</f>
        <v>17</v>
      </c>
      <c r="G22" s="8">
        <f t="shared" ref="G22:R22" si="2">G12-F12-G21</f>
        <v>18</v>
      </c>
      <c r="H22" s="8">
        <f t="shared" si="2"/>
        <v>0</v>
      </c>
      <c r="I22" s="8">
        <f t="shared" si="2"/>
        <v>0</v>
      </c>
      <c r="J22" s="8">
        <f t="shared" si="2"/>
        <v>0</v>
      </c>
      <c r="K22" s="8">
        <f t="shared" si="2"/>
        <v>0</v>
      </c>
      <c r="L22" s="8">
        <f t="shared" si="2"/>
        <v>0</v>
      </c>
      <c r="M22" s="8">
        <f t="shared" si="2"/>
        <v>0</v>
      </c>
      <c r="N22" s="8">
        <f t="shared" si="2"/>
        <v>0</v>
      </c>
      <c r="O22" s="8">
        <f t="shared" si="2"/>
        <v>0</v>
      </c>
      <c r="P22" s="8">
        <f t="shared" si="2"/>
        <v>0</v>
      </c>
      <c r="Q22" s="8">
        <f t="shared" si="2"/>
        <v>0</v>
      </c>
      <c r="R22" s="119">
        <f t="shared" si="2"/>
        <v>0</v>
      </c>
      <c r="S22" s="119">
        <f t="shared" ref="S22:AG22" si="3">S12-R12-S21</f>
        <v>0</v>
      </c>
      <c r="T22" s="119">
        <f t="shared" si="3"/>
        <v>0</v>
      </c>
      <c r="U22" s="119">
        <f t="shared" si="3"/>
        <v>0</v>
      </c>
      <c r="V22" s="200">
        <f>V12-U12-V21</f>
        <v>0</v>
      </c>
      <c r="W22" s="200">
        <f t="shared" si="3"/>
        <v>0</v>
      </c>
      <c r="X22" s="200">
        <f t="shared" si="3"/>
        <v>0</v>
      </c>
      <c r="Y22" s="200">
        <f t="shared" si="3"/>
        <v>0</v>
      </c>
      <c r="Z22" s="200">
        <f t="shared" si="3"/>
        <v>0</v>
      </c>
      <c r="AA22" s="200">
        <f t="shared" si="3"/>
        <v>0</v>
      </c>
      <c r="AB22" s="470">
        <f t="shared" si="3"/>
        <v>0</v>
      </c>
      <c r="AC22" s="478">
        <f t="shared" si="3"/>
        <v>0</v>
      </c>
      <c r="AD22" s="78">
        <f t="shared" si="3"/>
        <v>0</v>
      </c>
      <c r="AE22" s="78">
        <f t="shared" si="3"/>
        <v>0</v>
      </c>
      <c r="AF22" s="78">
        <f t="shared" si="3"/>
        <v>0</v>
      </c>
      <c r="AG22" s="242">
        <f t="shared" si="3"/>
        <v>0</v>
      </c>
      <c r="AH22" s="143"/>
      <c r="AI22" s="143"/>
      <c r="AJ22" s="143"/>
      <c r="AK22" s="143"/>
      <c r="AL22" s="143"/>
      <c r="AM22" s="143"/>
      <c r="AN22" s="143"/>
      <c r="AO22" s="143"/>
      <c r="AP22" s="143"/>
      <c r="AQ22" s="143"/>
      <c r="AR22" s="143"/>
      <c r="AS22" s="143"/>
      <c r="AT22" s="143"/>
      <c r="AU22" s="143"/>
      <c r="AV22" s="143"/>
      <c r="AW22" s="143"/>
      <c r="AX22" s="143"/>
      <c r="AY22" s="143"/>
      <c r="AZ22" s="143"/>
      <c r="BA22" s="143"/>
      <c r="BB22" s="143"/>
      <c r="BC22" s="143"/>
      <c r="BD22" s="143"/>
      <c r="BE22" s="143"/>
      <c r="BF22" s="143"/>
      <c r="BG22" s="143"/>
      <c r="BH22" s="143"/>
      <c r="BI22" s="143"/>
      <c r="BJ22" s="143"/>
      <c r="BK22" s="143"/>
      <c r="BL22" s="143"/>
      <c r="BM22" s="143"/>
      <c r="BN22" s="143"/>
      <c r="BO22" s="143"/>
      <c r="BP22" s="143"/>
      <c r="BQ22" s="143"/>
      <c r="BR22" s="143"/>
      <c r="BS22" s="143"/>
      <c r="BT22" s="143"/>
      <c r="BU22" s="143"/>
      <c r="BV22" s="143"/>
      <c r="BW22" s="143"/>
      <c r="BX22" s="143"/>
      <c r="BY22" s="143"/>
      <c r="BZ22" s="143"/>
      <c r="CA22" s="143"/>
      <c r="CB22" s="143"/>
      <c r="CC22" s="143"/>
      <c r="CD22" s="143"/>
      <c r="CE22" s="143"/>
    </row>
    <row r="23" spans="1:83" x14ac:dyDescent="0.2">
      <c r="V23" s="201"/>
      <c r="W23" s="201"/>
      <c r="X23" s="201"/>
      <c r="Y23" s="201"/>
      <c r="Z23" s="201"/>
      <c r="AA23" s="201"/>
      <c r="AB23" s="466"/>
      <c r="AC23" s="521"/>
      <c r="AD23" s="522"/>
      <c r="AE23" s="522"/>
      <c r="AF23" s="522"/>
      <c r="AG23" s="523"/>
    </row>
    <row r="24" spans="1:83" x14ac:dyDescent="0.2">
      <c r="V24" s="201"/>
      <c r="W24" s="201"/>
      <c r="X24" s="201"/>
      <c r="Y24" s="201"/>
      <c r="Z24" s="201"/>
      <c r="AA24" s="201"/>
      <c r="AB24" s="466"/>
      <c r="AC24" s="521"/>
      <c r="AD24" s="522"/>
      <c r="AE24" s="522"/>
      <c r="AF24" s="522"/>
      <c r="AG24" s="523"/>
    </row>
    <row r="25" spans="1:83" x14ac:dyDescent="0.2">
      <c r="A25" s="2" t="s">
        <v>13</v>
      </c>
      <c r="B25" s="2"/>
      <c r="C25" s="2"/>
      <c r="D25" s="2"/>
      <c r="V25" s="201"/>
      <c r="W25" s="201"/>
      <c r="X25" s="201"/>
      <c r="Y25" s="201"/>
      <c r="Z25" s="201"/>
      <c r="AA25" s="201"/>
      <c r="AB25" s="466"/>
      <c r="AC25" s="521"/>
      <c r="AD25" s="522"/>
      <c r="AE25" s="522"/>
      <c r="AF25" s="522"/>
      <c r="AG25" s="523"/>
    </row>
    <row r="26" spans="1:83" s="3" customFormat="1" x14ac:dyDescent="0.2">
      <c r="A26" s="3" t="s">
        <v>14</v>
      </c>
      <c r="B26" s="3" t="s">
        <v>29</v>
      </c>
      <c r="C26" s="7">
        <v>18540</v>
      </c>
      <c r="D26" s="7">
        <v>20124</v>
      </c>
      <c r="E26" s="7">
        <v>24697</v>
      </c>
      <c r="F26" s="7">
        <v>27773</v>
      </c>
      <c r="G26" s="7">
        <v>33711</v>
      </c>
      <c r="H26" s="7">
        <v>34494</v>
      </c>
      <c r="I26" s="7">
        <v>40137</v>
      </c>
      <c r="J26" s="7">
        <v>47429</v>
      </c>
      <c r="K26" s="7">
        <v>54479</v>
      </c>
      <c r="L26" s="7">
        <v>59170</v>
      </c>
      <c r="M26" s="7">
        <v>68303</v>
      </c>
      <c r="N26" s="7">
        <v>73121</v>
      </c>
      <c r="O26" s="7">
        <v>69456</v>
      </c>
      <c r="P26" s="7">
        <v>66213</v>
      </c>
      <c r="Q26" s="7">
        <v>75677</v>
      </c>
      <c r="R26" s="118">
        <v>84326</v>
      </c>
      <c r="S26" s="118">
        <v>96128</v>
      </c>
      <c r="T26" s="118">
        <v>106014</v>
      </c>
      <c r="U26" s="118">
        <v>108546</v>
      </c>
      <c r="V26" s="202">
        <v>87433</v>
      </c>
      <c r="W26" s="202">
        <v>96408</v>
      </c>
      <c r="X26" s="202">
        <v>107590</v>
      </c>
      <c r="Y26" s="221">
        <v>117099</v>
      </c>
      <c r="Z26" s="221">
        <v>129524</v>
      </c>
      <c r="AA26" s="221">
        <v>140764</v>
      </c>
      <c r="AB26" s="467">
        <v>154476</v>
      </c>
      <c r="AC26" s="477">
        <v>171440</v>
      </c>
      <c r="AD26" s="529">
        <v>179866.87488462828</v>
      </c>
      <c r="AE26" s="529">
        <v>188724.14824921408</v>
      </c>
      <c r="AF26" s="529">
        <v>197994.25039928145</v>
      </c>
      <c r="AG26" s="530">
        <v>207697.4054389525</v>
      </c>
      <c r="AH26" s="127"/>
      <c r="AI26" s="127"/>
      <c r="AJ26" s="127"/>
      <c r="AK26" s="127"/>
      <c r="AL26" s="127"/>
      <c r="AM26" s="127"/>
      <c r="AN26" s="127"/>
      <c r="AO26" s="127"/>
      <c r="AP26" s="127"/>
      <c r="AQ26" s="127"/>
      <c r="AR26" s="127"/>
      <c r="AS26" s="127"/>
      <c r="AT26" s="127"/>
      <c r="AU26" s="127"/>
      <c r="AV26" s="127"/>
      <c r="AW26" s="127"/>
      <c r="AX26" s="127"/>
      <c r="AY26" s="127"/>
      <c r="AZ26" s="127"/>
      <c r="BA26" s="127"/>
      <c r="BB26" s="127"/>
      <c r="BC26" s="127"/>
      <c r="BD26" s="127"/>
      <c r="BE26" s="127"/>
      <c r="BF26" s="127"/>
      <c r="BG26" s="127"/>
      <c r="BH26" s="127"/>
      <c r="BI26" s="127"/>
      <c r="BJ26" s="127"/>
      <c r="BK26" s="127"/>
      <c r="BL26" s="127"/>
      <c r="BM26" s="127"/>
      <c r="BN26" s="127"/>
      <c r="BO26" s="127"/>
      <c r="BP26" s="127"/>
      <c r="BQ26" s="127"/>
      <c r="BR26" s="127"/>
      <c r="BS26" s="127"/>
      <c r="BT26" s="127"/>
      <c r="BU26" s="127"/>
      <c r="BV26" s="127"/>
      <c r="BW26" s="127"/>
      <c r="BX26" s="127"/>
      <c r="BY26" s="127"/>
      <c r="BZ26" s="127"/>
      <c r="CA26" s="127"/>
      <c r="CB26" s="127"/>
      <c r="CC26" s="127"/>
      <c r="CD26" s="127"/>
      <c r="CE26" s="127"/>
    </row>
    <row r="27" spans="1:83" s="3" customFormat="1" x14ac:dyDescent="0.2">
      <c r="A27" s="296" t="s">
        <v>449</v>
      </c>
      <c r="B27" s="3" t="s">
        <v>28</v>
      </c>
      <c r="C27" s="7"/>
      <c r="D27" s="7">
        <v>709</v>
      </c>
      <c r="E27" s="29">
        <v>-883</v>
      </c>
      <c r="F27" s="29">
        <v>-414</v>
      </c>
      <c r="G27" s="29">
        <v>-2947</v>
      </c>
      <c r="H27" s="7">
        <v>-252</v>
      </c>
      <c r="I27" s="7">
        <v>-2045</v>
      </c>
      <c r="J27" s="7">
        <v>-4416</v>
      </c>
      <c r="K27" s="7">
        <v>-5578</v>
      </c>
      <c r="L27" s="7">
        <v>-4788</v>
      </c>
      <c r="M27" s="7">
        <v>-7264</v>
      </c>
      <c r="N27" s="7">
        <v>-4341</v>
      </c>
      <c r="O27" s="7">
        <v>2973</v>
      </c>
      <c r="P27" s="7">
        <v>9644</v>
      </c>
      <c r="Q27" s="7">
        <v>3480</v>
      </c>
      <c r="R27" s="118">
        <v>-1535</v>
      </c>
      <c r="S27" s="118">
        <v>-7434</v>
      </c>
      <c r="T27" s="118">
        <v>-11164</v>
      </c>
      <c r="U27" s="118">
        <v>-3629</v>
      </c>
      <c r="V27" s="202">
        <v>19524</v>
      </c>
      <c r="W27" s="202">
        <v>12704</v>
      </c>
      <c r="X27" s="202">
        <v>6656</v>
      </c>
      <c r="Y27" s="221">
        <v>-1414</v>
      </c>
      <c r="Z27" s="221">
        <v>-9660</v>
      </c>
      <c r="AA27" s="221">
        <v>-9897</v>
      </c>
      <c r="AB27" s="468">
        <v>-11400</v>
      </c>
      <c r="AC27" s="532">
        <v>-14442</v>
      </c>
      <c r="AD27" s="533">
        <v>-9061</v>
      </c>
      <c r="AE27" s="533">
        <v>-4991</v>
      </c>
      <c r="AF27" s="533">
        <v>-1855</v>
      </c>
      <c r="AG27" s="534">
        <v>0</v>
      </c>
      <c r="AH27" s="127"/>
      <c r="AI27" s="127"/>
      <c r="AJ27" s="127"/>
      <c r="AK27" s="127"/>
      <c r="AL27" s="127"/>
      <c r="AM27" s="127"/>
      <c r="AN27" s="127"/>
      <c r="AO27" s="127"/>
      <c r="AP27" s="127"/>
      <c r="AQ27" s="127"/>
      <c r="AR27" s="127"/>
      <c r="AS27" s="127"/>
      <c r="AT27" s="127"/>
      <c r="AU27" s="127"/>
      <c r="AV27" s="127"/>
      <c r="AW27" s="127"/>
      <c r="AX27" s="127"/>
      <c r="AY27" s="127"/>
      <c r="AZ27" s="127"/>
      <c r="BA27" s="127"/>
      <c r="BB27" s="127"/>
      <c r="BC27" s="127"/>
      <c r="BD27" s="127"/>
      <c r="BE27" s="127"/>
      <c r="BF27" s="127"/>
      <c r="BG27" s="127"/>
      <c r="BH27" s="127"/>
      <c r="BI27" s="127"/>
      <c r="BJ27" s="127"/>
      <c r="BK27" s="127"/>
      <c r="BL27" s="127"/>
      <c r="BM27" s="127"/>
      <c r="BN27" s="127"/>
      <c r="BO27" s="127"/>
      <c r="BP27" s="127"/>
      <c r="BQ27" s="127"/>
      <c r="BR27" s="127"/>
      <c r="BS27" s="127"/>
      <c r="BT27" s="127"/>
      <c r="BU27" s="127"/>
      <c r="BV27" s="127"/>
      <c r="BW27" s="127"/>
      <c r="BX27" s="127"/>
      <c r="BY27" s="127"/>
      <c r="BZ27" s="127"/>
      <c r="CA27" s="127"/>
      <c r="CB27" s="127"/>
      <c r="CC27" s="127"/>
      <c r="CD27" s="127"/>
      <c r="CE27" s="127"/>
    </row>
    <row r="28" spans="1:83" s="8" customFormat="1" x14ac:dyDescent="0.2">
      <c r="A28" s="8" t="s">
        <v>22</v>
      </c>
      <c r="B28" s="8" t="s">
        <v>31</v>
      </c>
      <c r="C28" s="10">
        <v>18540</v>
      </c>
      <c r="D28" s="10">
        <v>20124</v>
      </c>
      <c r="E28" s="10">
        <v>24697</v>
      </c>
      <c r="F28" s="10">
        <v>27773</v>
      </c>
      <c r="G28" s="10">
        <v>33711</v>
      </c>
      <c r="H28" s="8">
        <f t="shared" ref="H28:R28" si="4">H26+H27</f>
        <v>34242</v>
      </c>
      <c r="I28" s="8">
        <f t="shared" si="4"/>
        <v>38092</v>
      </c>
      <c r="J28" s="8">
        <f t="shared" si="4"/>
        <v>43013</v>
      </c>
      <c r="K28" s="8">
        <f t="shared" si="4"/>
        <v>48901</v>
      </c>
      <c r="L28" s="8">
        <f t="shared" si="4"/>
        <v>54382</v>
      </c>
      <c r="M28" s="8">
        <f t="shared" si="4"/>
        <v>61039</v>
      </c>
      <c r="N28" s="8">
        <f t="shared" si="4"/>
        <v>68780</v>
      </c>
      <c r="O28" s="8">
        <f t="shared" si="4"/>
        <v>72429</v>
      </c>
      <c r="P28" s="8">
        <f t="shared" si="4"/>
        <v>75857</v>
      </c>
      <c r="Q28" s="8">
        <f t="shared" si="4"/>
        <v>79157</v>
      </c>
      <c r="R28" s="119">
        <f t="shared" si="4"/>
        <v>82791</v>
      </c>
      <c r="S28" s="119">
        <f t="shared" ref="S28:AE28" si="5">S26+S27</f>
        <v>88694</v>
      </c>
      <c r="T28" s="119">
        <f t="shared" si="5"/>
        <v>94850</v>
      </c>
      <c r="U28" s="119">
        <f t="shared" si="5"/>
        <v>104917</v>
      </c>
      <c r="V28" s="200">
        <f t="shared" si="5"/>
        <v>106957</v>
      </c>
      <c r="W28" s="200">
        <f t="shared" si="5"/>
        <v>109112</v>
      </c>
      <c r="X28" s="200">
        <f t="shared" si="5"/>
        <v>114246</v>
      </c>
      <c r="Y28" s="200">
        <f t="shared" si="5"/>
        <v>115685</v>
      </c>
      <c r="Z28" s="200">
        <f t="shared" si="5"/>
        <v>119864</v>
      </c>
      <c r="AA28" s="200">
        <f t="shared" si="5"/>
        <v>130867</v>
      </c>
      <c r="AB28" s="470">
        <f t="shared" si="5"/>
        <v>143076</v>
      </c>
      <c r="AC28" s="478">
        <f t="shared" si="5"/>
        <v>156998</v>
      </c>
      <c r="AD28" s="78">
        <f t="shared" si="5"/>
        <v>170805.87488462828</v>
      </c>
      <c r="AE28" s="78">
        <f t="shared" si="5"/>
        <v>183733.14824921408</v>
      </c>
      <c r="AF28" s="78">
        <f>AF26+AF27</f>
        <v>196139.25039928145</v>
      </c>
      <c r="AG28" s="242">
        <f>AG26+AG27</f>
        <v>207697.4054389525</v>
      </c>
      <c r="AH28" s="143"/>
      <c r="AI28" s="143"/>
      <c r="AJ28" s="143"/>
      <c r="AK28" s="143"/>
      <c r="AL28" s="143"/>
      <c r="AM28" s="143"/>
      <c r="AN28" s="143"/>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3"/>
      <c r="BL28" s="143"/>
      <c r="BM28" s="143"/>
      <c r="BN28" s="143"/>
      <c r="BO28" s="143"/>
      <c r="BP28" s="143"/>
      <c r="BQ28" s="143"/>
      <c r="BR28" s="143"/>
      <c r="BS28" s="143"/>
      <c r="BT28" s="143"/>
      <c r="BU28" s="143"/>
      <c r="BV28" s="143"/>
      <c r="BW28" s="143"/>
      <c r="BX28" s="143"/>
      <c r="BY28" s="143"/>
      <c r="BZ28" s="143"/>
      <c r="CA28" s="143"/>
      <c r="CB28" s="143"/>
      <c r="CC28" s="143"/>
      <c r="CD28" s="143"/>
      <c r="CE28" s="143"/>
    </row>
    <row r="29" spans="1:83" s="3" customFormat="1" x14ac:dyDescent="0.2">
      <c r="A29" s="3" t="s">
        <v>15</v>
      </c>
      <c r="B29" s="3" t="s">
        <v>32</v>
      </c>
      <c r="D29" s="30" t="s">
        <v>12</v>
      </c>
      <c r="E29" s="30" t="s">
        <v>12</v>
      </c>
      <c r="F29" s="30" t="s">
        <v>12</v>
      </c>
      <c r="G29" s="30" t="s">
        <v>12</v>
      </c>
      <c r="H29" s="10">
        <v>70</v>
      </c>
      <c r="I29" s="10">
        <v>79</v>
      </c>
      <c r="J29" s="10">
        <v>61</v>
      </c>
      <c r="K29" s="10">
        <v>68</v>
      </c>
      <c r="L29" s="10">
        <v>53</v>
      </c>
      <c r="M29" s="10">
        <v>44</v>
      </c>
      <c r="N29" s="10">
        <v>41</v>
      </c>
      <c r="O29" s="10">
        <v>44</v>
      </c>
      <c r="P29" s="10">
        <v>54</v>
      </c>
      <c r="Q29" s="10">
        <v>43</v>
      </c>
      <c r="R29" s="120">
        <v>40</v>
      </c>
      <c r="S29" s="120">
        <v>36</v>
      </c>
      <c r="T29" s="120">
        <v>34</v>
      </c>
      <c r="U29" s="120">
        <v>31</v>
      </c>
      <c r="V29" s="202">
        <v>47</v>
      </c>
      <c r="W29" s="202">
        <v>57.981786999999997</v>
      </c>
      <c r="X29" s="202">
        <v>58.585501000000001</v>
      </c>
      <c r="Y29" s="221">
        <v>39.720883999999998</v>
      </c>
      <c r="Z29" s="221">
        <v>39.268236999999999</v>
      </c>
      <c r="AA29" s="221">
        <v>37.903300000000002</v>
      </c>
      <c r="AB29" s="467">
        <v>36.734502999999997</v>
      </c>
      <c r="AC29" s="477">
        <v>38</v>
      </c>
      <c r="AD29" s="529">
        <v>43.364365411764709</v>
      </c>
      <c r="AE29" s="529">
        <v>43.364365411764709</v>
      </c>
      <c r="AF29" s="529">
        <v>43.364365411764709</v>
      </c>
      <c r="AG29" s="530">
        <v>43.364365411764709</v>
      </c>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c r="BR29" s="127"/>
      <c r="BS29" s="127"/>
      <c r="BT29" s="127"/>
      <c r="BU29" s="127"/>
      <c r="BV29" s="127"/>
      <c r="BW29" s="127"/>
      <c r="BX29" s="127"/>
      <c r="BY29" s="127"/>
      <c r="BZ29" s="127"/>
      <c r="CA29" s="127"/>
      <c r="CB29" s="127"/>
      <c r="CC29" s="127"/>
      <c r="CD29" s="127"/>
      <c r="CE29" s="127"/>
    </row>
    <row r="30" spans="1:83" x14ac:dyDescent="0.2">
      <c r="V30" s="201"/>
      <c r="W30" s="201"/>
      <c r="X30" s="201"/>
      <c r="Y30" s="201"/>
      <c r="Z30" s="201"/>
      <c r="AA30" s="201"/>
      <c r="AB30" s="466"/>
      <c r="AC30" s="521"/>
      <c r="AD30" s="522"/>
      <c r="AE30" s="522"/>
      <c r="AF30" s="522"/>
      <c r="AG30" s="523"/>
    </row>
    <row r="31" spans="1:83" x14ac:dyDescent="0.2">
      <c r="A31" s="2" t="s">
        <v>23</v>
      </c>
      <c r="B31" s="2"/>
      <c r="C31" s="2"/>
      <c r="D31" s="2"/>
      <c r="V31" s="201"/>
      <c r="W31" s="201"/>
      <c r="X31" s="201"/>
      <c r="Y31" s="201"/>
      <c r="Z31" s="201"/>
      <c r="AA31" s="201"/>
      <c r="AB31" s="466"/>
      <c r="AC31" s="521"/>
      <c r="AD31" s="522"/>
      <c r="AE31" s="522"/>
      <c r="AF31" s="522"/>
      <c r="AG31" s="523"/>
    </row>
    <row r="32" spans="1:83" s="3" customFormat="1" x14ac:dyDescent="0.2">
      <c r="A32" s="3" t="s">
        <v>16</v>
      </c>
      <c r="B32" s="3" t="s">
        <v>32</v>
      </c>
      <c r="D32" s="7">
        <v>526</v>
      </c>
      <c r="E32" s="7">
        <v>597</v>
      </c>
      <c r="F32" s="7">
        <v>674</v>
      </c>
      <c r="G32" s="7">
        <v>663</v>
      </c>
      <c r="H32" s="7">
        <v>710</v>
      </c>
      <c r="I32" s="7">
        <v>617</v>
      </c>
      <c r="J32" s="7">
        <v>610</v>
      </c>
      <c r="K32" s="7">
        <v>582</v>
      </c>
      <c r="L32" s="7">
        <v>607</v>
      </c>
      <c r="M32" s="7">
        <v>620</v>
      </c>
      <c r="N32" s="7">
        <v>615</v>
      </c>
      <c r="O32" s="7">
        <v>628</v>
      </c>
      <c r="P32" s="7">
        <v>664</v>
      </c>
      <c r="Q32" s="7">
        <v>693</v>
      </c>
      <c r="R32" s="118">
        <v>725</v>
      </c>
      <c r="S32" s="118">
        <v>771</v>
      </c>
      <c r="T32" s="118">
        <v>795</v>
      </c>
      <c r="U32" s="118">
        <v>1040</v>
      </c>
      <c r="V32" s="202">
        <v>1117</v>
      </c>
      <c r="W32" s="202">
        <v>1278</v>
      </c>
      <c r="X32" s="202">
        <v>1313</v>
      </c>
      <c r="Y32" s="221">
        <f>1377</f>
        <v>1377</v>
      </c>
      <c r="Z32" s="221">
        <v>1446</v>
      </c>
      <c r="AA32" s="221">
        <v>1511</v>
      </c>
      <c r="AB32" s="467">
        <v>1578</v>
      </c>
      <c r="AC32" s="477">
        <v>1615</v>
      </c>
      <c r="AD32" s="529">
        <v>1676.5191256830601</v>
      </c>
      <c r="AE32" s="529">
        <v>1744.1940655737703</v>
      </c>
      <c r="AF32" s="529">
        <v>1805.014361092896</v>
      </c>
      <c r="AG32" s="530">
        <v>1867.9422996841527</v>
      </c>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27"/>
      <c r="BJ32" s="127"/>
      <c r="BK32" s="127"/>
      <c r="BL32" s="127"/>
      <c r="BM32" s="127"/>
      <c r="BN32" s="127"/>
      <c r="BO32" s="127"/>
      <c r="BP32" s="127"/>
      <c r="BQ32" s="127"/>
      <c r="BR32" s="127"/>
      <c r="BS32" s="127"/>
      <c r="BT32" s="127"/>
      <c r="BU32" s="127"/>
      <c r="BV32" s="127"/>
      <c r="BW32" s="127"/>
      <c r="BX32" s="127"/>
      <c r="BY32" s="127"/>
      <c r="BZ32" s="127"/>
      <c r="CA32" s="127"/>
      <c r="CB32" s="127"/>
      <c r="CC32" s="127"/>
      <c r="CD32" s="127"/>
      <c r="CE32" s="127"/>
    </row>
    <row r="33" spans="1:83" s="3" customFormat="1" x14ac:dyDescent="0.2">
      <c r="A33" s="3" t="s">
        <v>17</v>
      </c>
      <c r="B33" s="3" t="s">
        <v>32</v>
      </c>
      <c r="D33" s="7">
        <v>8</v>
      </c>
      <c r="E33" s="7">
        <v>9</v>
      </c>
      <c r="F33" s="7">
        <v>46</v>
      </c>
      <c r="G33" s="7">
        <v>35</v>
      </c>
      <c r="H33" s="7">
        <v>9</v>
      </c>
      <c r="I33" s="7">
        <v>9</v>
      </c>
      <c r="J33" s="7">
        <v>9</v>
      </c>
      <c r="K33" s="7">
        <v>8</v>
      </c>
      <c r="L33" s="7">
        <v>14</v>
      </c>
      <c r="M33" s="7">
        <v>9</v>
      </c>
      <c r="N33" s="7">
        <v>9</v>
      </c>
      <c r="O33" s="7">
        <v>10</v>
      </c>
      <c r="P33" s="7">
        <v>11</v>
      </c>
      <c r="Q33" s="7">
        <v>12</v>
      </c>
      <c r="R33" s="118">
        <v>12</v>
      </c>
      <c r="S33" s="118">
        <v>13</v>
      </c>
      <c r="T33" s="118">
        <v>14</v>
      </c>
      <c r="U33" s="118">
        <v>19</v>
      </c>
      <c r="V33" s="202">
        <v>21</v>
      </c>
      <c r="W33" s="202">
        <v>24</v>
      </c>
      <c r="X33" s="202">
        <v>25.194857142857138</v>
      </c>
      <c r="Y33" s="221">
        <v>26</v>
      </c>
      <c r="Z33" s="221">
        <v>27.716232142857141</v>
      </c>
      <c r="AA33" s="221">
        <v>29</v>
      </c>
      <c r="AB33" s="467">
        <v>32</v>
      </c>
      <c r="AC33" s="477">
        <v>33</v>
      </c>
      <c r="AD33" s="529">
        <v>34.361475409836068</v>
      </c>
      <c r="AE33" s="529">
        <v>35.774939344262293</v>
      </c>
      <c r="AF33" s="529">
        <v>37.04523665573771</v>
      </c>
      <c r="AG33" s="530">
        <v>38.359554360491806</v>
      </c>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c r="BE33" s="127"/>
      <c r="BF33" s="127"/>
      <c r="BG33" s="127"/>
      <c r="BH33" s="127"/>
      <c r="BI33" s="127"/>
      <c r="BJ33" s="127"/>
      <c r="BK33" s="127"/>
      <c r="BL33" s="127"/>
      <c r="BM33" s="127"/>
      <c r="BN33" s="127"/>
      <c r="BO33" s="127"/>
      <c r="BP33" s="127"/>
      <c r="BQ33" s="127"/>
      <c r="BR33" s="127"/>
      <c r="BS33" s="127"/>
      <c r="BT33" s="127"/>
      <c r="BU33" s="127"/>
      <c r="BV33" s="127"/>
      <c r="BW33" s="127"/>
      <c r="BX33" s="127"/>
      <c r="BY33" s="127"/>
      <c r="BZ33" s="127"/>
      <c r="CA33" s="127"/>
      <c r="CB33" s="127"/>
      <c r="CC33" s="127"/>
      <c r="CD33" s="127"/>
      <c r="CE33" s="127"/>
    </row>
    <row r="34" spans="1:83" s="3" customFormat="1" x14ac:dyDescent="0.2">
      <c r="A34" s="3" t="s">
        <v>18</v>
      </c>
      <c r="B34" s="3" t="s">
        <v>32</v>
      </c>
      <c r="D34" s="7"/>
      <c r="E34" s="7"/>
      <c r="F34" s="7"/>
      <c r="G34" s="7"/>
      <c r="H34" s="7">
        <v>22</v>
      </c>
      <c r="I34" s="7">
        <v>19</v>
      </c>
      <c r="J34" s="7">
        <v>10</v>
      </c>
      <c r="K34" s="7">
        <v>9</v>
      </c>
      <c r="L34" s="7">
        <v>5</v>
      </c>
      <c r="M34" s="7">
        <v>10</v>
      </c>
      <c r="N34" s="7">
        <v>9</v>
      </c>
      <c r="O34" s="7">
        <v>9</v>
      </c>
      <c r="P34" s="7">
        <v>18</v>
      </c>
      <c r="Q34" s="7">
        <v>17</v>
      </c>
      <c r="R34" s="118">
        <v>12</v>
      </c>
      <c r="S34" s="118">
        <v>10</v>
      </c>
      <c r="T34" s="118">
        <v>17</v>
      </c>
      <c r="U34" s="118">
        <v>19</v>
      </c>
      <c r="V34" s="202">
        <v>17</v>
      </c>
      <c r="W34" s="202">
        <v>13</v>
      </c>
      <c r="X34" s="202">
        <v>11</v>
      </c>
      <c r="Y34" s="221">
        <v>14</v>
      </c>
      <c r="Z34" s="221">
        <v>12</v>
      </c>
      <c r="AA34" s="221">
        <v>14</v>
      </c>
      <c r="AB34" s="467">
        <v>13</v>
      </c>
      <c r="AC34" s="477">
        <v>14</v>
      </c>
      <c r="AD34" s="529">
        <v>13</v>
      </c>
      <c r="AE34" s="529">
        <v>13</v>
      </c>
      <c r="AF34" s="529">
        <v>13</v>
      </c>
      <c r="AG34" s="530">
        <v>13</v>
      </c>
      <c r="AH34" s="127"/>
      <c r="AI34" s="127"/>
      <c r="AJ34" s="127"/>
      <c r="AK34" s="127"/>
      <c r="AL34" s="127"/>
      <c r="AM34" s="127"/>
      <c r="AN34" s="127"/>
      <c r="AO34" s="127"/>
      <c r="AP34" s="127"/>
      <c r="AQ34" s="127"/>
      <c r="AR34" s="127"/>
      <c r="AS34" s="127"/>
      <c r="AT34" s="127"/>
      <c r="AU34" s="127"/>
      <c r="AV34" s="127"/>
      <c r="AW34" s="127"/>
      <c r="AX34" s="127"/>
      <c r="AY34" s="127"/>
      <c r="AZ34" s="127"/>
      <c r="BA34" s="127"/>
      <c r="BB34" s="127"/>
      <c r="BC34" s="127"/>
      <c r="BD34" s="127"/>
      <c r="BE34" s="127"/>
      <c r="BF34" s="127"/>
      <c r="BG34" s="127"/>
      <c r="BH34" s="127"/>
      <c r="BI34" s="127"/>
      <c r="BJ34" s="127"/>
      <c r="BK34" s="127"/>
      <c r="BL34" s="127"/>
      <c r="BM34" s="127"/>
      <c r="BN34" s="127"/>
      <c r="BO34" s="127"/>
      <c r="BP34" s="127"/>
      <c r="BQ34" s="127"/>
      <c r="BR34" s="127"/>
      <c r="BS34" s="127"/>
      <c r="BT34" s="127"/>
      <c r="BU34" s="127"/>
      <c r="BV34" s="127"/>
      <c r="BW34" s="127"/>
      <c r="BX34" s="127"/>
      <c r="BY34" s="127"/>
      <c r="BZ34" s="127"/>
      <c r="CA34" s="127"/>
      <c r="CB34" s="127"/>
      <c r="CC34" s="127"/>
      <c r="CD34" s="127"/>
      <c r="CE34" s="127"/>
    </row>
    <row r="35" spans="1:83" s="3" customFormat="1" x14ac:dyDescent="0.2">
      <c r="A35" s="3" t="s">
        <v>19</v>
      </c>
      <c r="B35" s="3" t="s">
        <v>32</v>
      </c>
      <c r="D35" s="7">
        <v>579</v>
      </c>
      <c r="E35" s="7">
        <v>654</v>
      </c>
      <c r="F35" s="7">
        <v>731</v>
      </c>
      <c r="G35" s="7">
        <v>703</v>
      </c>
      <c r="H35" s="7">
        <v>695</v>
      </c>
      <c r="I35" s="7">
        <v>660</v>
      </c>
      <c r="J35" s="7">
        <v>664</v>
      </c>
      <c r="K35" s="7">
        <v>641</v>
      </c>
      <c r="L35" s="7">
        <v>639</v>
      </c>
      <c r="M35" s="7">
        <v>646</v>
      </c>
      <c r="N35" s="7">
        <v>648</v>
      </c>
      <c r="O35" s="7">
        <v>665</v>
      </c>
      <c r="P35" s="7">
        <v>690</v>
      </c>
      <c r="Q35" s="7">
        <v>713</v>
      </c>
      <c r="R35" s="118">
        <v>746</v>
      </c>
      <c r="S35" s="118">
        <v>781</v>
      </c>
      <c r="T35" s="118">
        <v>820</v>
      </c>
      <c r="U35" s="118">
        <v>1060</v>
      </c>
      <c r="V35" s="202">
        <v>1156</v>
      </c>
      <c r="W35" s="202">
        <v>1408</v>
      </c>
      <c r="X35" s="202">
        <v>1348</v>
      </c>
      <c r="Y35" s="221">
        <f>1406</f>
        <v>1406</v>
      </c>
      <c r="Z35" s="221">
        <v>1458</v>
      </c>
      <c r="AA35" s="221">
        <f>1527-AA36</f>
        <v>1526</v>
      </c>
      <c r="AB35" s="467">
        <f>1593-AB36</f>
        <v>1592</v>
      </c>
      <c r="AC35" s="477">
        <f>1637-AC36</f>
        <v>1636</v>
      </c>
      <c r="AD35" s="529">
        <v>1704.024043715847</v>
      </c>
      <c r="AE35" s="529">
        <v>1771.1849967213113</v>
      </c>
      <c r="AF35" s="529">
        <v>1831.5433659453552</v>
      </c>
      <c r="AG35" s="530">
        <v>1893.9933708257922</v>
      </c>
      <c r="AH35" s="127"/>
      <c r="AI35" s="127"/>
      <c r="AJ35" s="127"/>
      <c r="AK35" s="127"/>
      <c r="AL35" s="127"/>
      <c r="AM35" s="127"/>
      <c r="AN35" s="127"/>
      <c r="AO35" s="127"/>
      <c r="AP35" s="127"/>
      <c r="AQ35" s="127"/>
      <c r="AR35" s="127"/>
      <c r="AS35" s="127"/>
      <c r="AT35" s="127"/>
      <c r="AU35" s="127"/>
      <c r="AV35" s="127"/>
      <c r="AW35" s="127"/>
      <c r="AX35" s="127"/>
      <c r="AY35" s="127"/>
      <c r="AZ35" s="127"/>
      <c r="BA35" s="127"/>
      <c r="BB35" s="127"/>
      <c r="BC35" s="127"/>
      <c r="BD35" s="127"/>
      <c r="BE35" s="127"/>
      <c r="BF35" s="127"/>
      <c r="BG35" s="127"/>
      <c r="BH35" s="127"/>
      <c r="BI35" s="127"/>
      <c r="BJ35" s="127"/>
      <c r="BK35" s="127"/>
      <c r="BL35" s="127"/>
      <c r="BM35" s="127"/>
      <c r="BN35" s="127"/>
      <c r="BO35" s="127"/>
      <c r="BP35" s="127"/>
      <c r="BQ35" s="127"/>
      <c r="BR35" s="127"/>
      <c r="BS35" s="127"/>
      <c r="BT35" s="127"/>
      <c r="BU35" s="127"/>
      <c r="BV35" s="127"/>
      <c r="BW35" s="127"/>
      <c r="BX35" s="127"/>
      <c r="BY35" s="127"/>
      <c r="BZ35" s="127"/>
      <c r="CA35" s="127"/>
      <c r="CB35" s="127"/>
      <c r="CC35" s="127"/>
      <c r="CD35" s="127"/>
      <c r="CE35" s="127"/>
    </row>
    <row r="36" spans="1:83" s="121" customFormat="1" x14ac:dyDescent="0.2">
      <c r="A36" s="146" t="s">
        <v>408</v>
      </c>
      <c r="B36" s="121" t="s">
        <v>32</v>
      </c>
      <c r="D36" s="118"/>
      <c r="E36" s="118"/>
      <c r="F36" s="118"/>
      <c r="G36" s="118"/>
      <c r="H36" s="118"/>
      <c r="I36" s="118"/>
      <c r="J36" s="118"/>
      <c r="K36" s="118"/>
      <c r="L36" s="118"/>
      <c r="M36" s="118"/>
      <c r="N36" s="118"/>
      <c r="O36" s="118"/>
      <c r="P36" s="118"/>
      <c r="Q36" s="118"/>
      <c r="R36" s="118"/>
      <c r="S36" s="118"/>
      <c r="T36" s="118"/>
      <c r="U36" s="118"/>
      <c r="V36" s="202"/>
      <c r="W36" s="202"/>
      <c r="X36" s="202"/>
      <c r="Y36" s="221"/>
      <c r="Z36" s="221"/>
      <c r="AA36" s="221">
        <v>1</v>
      </c>
      <c r="AB36" s="467">
        <v>1</v>
      </c>
      <c r="AC36" s="477">
        <v>1</v>
      </c>
      <c r="AD36" s="529"/>
      <c r="AE36" s="529"/>
      <c r="AF36" s="529"/>
      <c r="AG36" s="530"/>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7"/>
      <c r="BQ36" s="127"/>
      <c r="BR36" s="127"/>
      <c r="BS36" s="127"/>
      <c r="BT36" s="127"/>
      <c r="BU36" s="127"/>
      <c r="BV36" s="127"/>
      <c r="BW36" s="127"/>
      <c r="BX36" s="127"/>
      <c r="BY36" s="127"/>
      <c r="BZ36" s="127"/>
      <c r="CA36" s="127"/>
      <c r="CB36" s="127"/>
      <c r="CC36" s="127"/>
      <c r="CD36" s="127"/>
      <c r="CE36" s="127"/>
    </row>
    <row r="37" spans="1:83" s="3" customFormat="1" x14ac:dyDescent="0.2">
      <c r="A37" s="3" t="s">
        <v>20</v>
      </c>
      <c r="B37" s="3" t="s">
        <v>32</v>
      </c>
      <c r="D37" s="7">
        <v>187</v>
      </c>
      <c r="E37" s="7">
        <v>270</v>
      </c>
      <c r="F37" s="7">
        <v>438</v>
      </c>
      <c r="G37" s="7">
        <v>0</v>
      </c>
      <c r="H37" s="7">
        <v>0</v>
      </c>
      <c r="I37" s="7">
        <v>0</v>
      </c>
      <c r="J37" s="7">
        <v>152</v>
      </c>
      <c r="K37" s="7">
        <v>456</v>
      </c>
      <c r="L37" s="7">
        <v>492</v>
      </c>
      <c r="M37" s="7">
        <v>128</v>
      </c>
      <c r="N37" s="7">
        <v>0</v>
      </c>
      <c r="O37" s="7">
        <v>0</v>
      </c>
      <c r="P37" s="7"/>
      <c r="Q37" s="7"/>
      <c r="R37" s="118"/>
      <c r="S37" s="118"/>
      <c r="T37" s="118"/>
      <c r="U37" s="118"/>
      <c r="V37" s="202"/>
      <c r="W37" s="202"/>
      <c r="X37" s="202"/>
      <c r="Y37" s="221"/>
      <c r="Z37" s="221"/>
      <c r="AA37" s="221"/>
      <c r="AB37" s="468"/>
      <c r="AC37" s="532"/>
      <c r="AD37" s="533"/>
      <c r="AE37" s="533"/>
      <c r="AF37" s="533"/>
      <c r="AG37" s="534"/>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7"/>
      <c r="BR37" s="127"/>
      <c r="BS37" s="127"/>
      <c r="BT37" s="127"/>
      <c r="BU37" s="127"/>
      <c r="BV37" s="127"/>
      <c r="BW37" s="127"/>
      <c r="BX37" s="127"/>
      <c r="BY37" s="127"/>
      <c r="BZ37" s="127"/>
      <c r="CA37" s="127"/>
      <c r="CB37" s="127"/>
      <c r="CC37" s="127"/>
      <c r="CD37" s="127"/>
      <c r="CE37" s="127"/>
    </row>
    <row r="38" spans="1:83" s="8" customFormat="1" x14ac:dyDescent="0.2">
      <c r="A38" s="8" t="s">
        <v>21</v>
      </c>
      <c r="B38" s="8" t="s">
        <v>31</v>
      </c>
      <c r="D38" s="8">
        <f>SUM(D32:D37)</f>
        <v>1300</v>
      </c>
      <c r="E38" s="8">
        <f>SUM(E32:E37)</f>
        <v>1530</v>
      </c>
      <c r="F38" s="8">
        <f t="shared" ref="F38:R38" si="6">SUM(F32:F37)</f>
        <v>1889</v>
      </c>
      <c r="G38" s="8">
        <f t="shared" si="6"/>
        <v>1401</v>
      </c>
      <c r="H38" s="8">
        <f t="shared" si="6"/>
        <v>1436</v>
      </c>
      <c r="I38" s="8">
        <f t="shared" si="6"/>
        <v>1305</v>
      </c>
      <c r="J38" s="8">
        <f t="shared" si="6"/>
        <v>1445</v>
      </c>
      <c r="K38" s="8">
        <f t="shared" si="6"/>
        <v>1696</v>
      </c>
      <c r="L38" s="8">
        <f t="shared" si="6"/>
        <v>1757</v>
      </c>
      <c r="M38" s="8">
        <f t="shared" si="6"/>
        <v>1413</v>
      </c>
      <c r="N38" s="8">
        <f t="shared" si="6"/>
        <v>1281</v>
      </c>
      <c r="O38" s="8">
        <f t="shared" si="6"/>
        <v>1312</v>
      </c>
      <c r="P38" s="8">
        <f t="shared" si="6"/>
        <v>1383</v>
      </c>
      <c r="Q38" s="8">
        <f t="shared" si="6"/>
        <v>1435</v>
      </c>
      <c r="R38" s="119">
        <f t="shared" si="6"/>
        <v>1495</v>
      </c>
      <c r="S38" s="119">
        <f t="shared" ref="S38:AE38" si="7">SUM(S32:S37)</f>
        <v>1575</v>
      </c>
      <c r="T38" s="119">
        <f t="shared" si="7"/>
        <v>1646</v>
      </c>
      <c r="U38" s="119">
        <f t="shared" si="7"/>
        <v>2138</v>
      </c>
      <c r="V38" s="200">
        <f t="shared" si="7"/>
        <v>2311</v>
      </c>
      <c r="W38" s="200">
        <f t="shared" si="7"/>
        <v>2723</v>
      </c>
      <c r="X38" s="200">
        <f t="shared" si="7"/>
        <v>2697.1948571428575</v>
      </c>
      <c r="Y38" s="299">
        <f>SUM(Y32:Y37)</f>
        <v>2823</v>
      </c>
      <c r="Z38" s="200">
        <f t="shared" si="7"/>
        <v>2943.7162321428568</v>
      </c>
      <c r="AA38" s="200">
        <f>SUM(AA32:AA37)</f>
        <v>3081</v>
      </c>
      <c r="AB38" s="470">
        <f t="shared" si="7"/>
        <v>3216</v>
      </c>
      <c r="AC38" s="478">
        <f t="shared" si="7"/>
        <v>3299</v>
      </c>
      <c r="AD38" s="78">
        <f t="shared" si="7"/>
        <v>3427.9046448087429</v>
      </c>
      <c r="AE38" s="78">
        <f t="shared" si="7"/>
        <v>3564.1540016393437</v>
      </c>
      <c r="AF38" s="78">
        <f>SUM(AF32:AF37)</f>
        <v>3686.6029636939888</v>
      </c>
      <c r="AG38" s="242">
        <f>SUM(AG32:AG37)</f>
        <v>3813.2952248704369</v>
      </c>
      <c r="AH38" s="143"/>
      <c r="AI38" s="143"/>
      <c r="AJ38" s="143"/>
      <c r="AK38" s="143"/>
      <c r="AL38" s="143"/>
      <c r="AM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3"/>
      <c r="BQ38" s="143"/>
      <c r="BR38" s="143"/>
      <c r="BS38" s="143"/>
      <c r="BT38" s="143"/>
      <c r="BU38" s="143"/>
      <c r="BV38" s="143"/>
      <c r="BW38" s="143"/>
      <c r="BX38" s="143"/>
      <c r="BY38" s="143"/>
      <c r="BZ38" s="143"/>
      <c r="CA38" s="143"/>
      <c r="CB38" s="143"/>
      <c r="CC38" s="143"/>
      <c r="CD38" s="143"/>
      <c r="CE38" s="143"/>
    </row>
    <row r="39" spans="1:83" s="3" customFormat="1" x14ac:dyDescent="0.2">
      <c r="R39" s="121"/>
      <c r="S39" s="121"/>
      <c r="T39" s="121"/>
      <c r="U39" s="121"/>
      <c r="V39" s="203"/>
      <c r="W39" s="203"/>
      <c r="X39" s="203"/>
      <c r="Y39" s="203"/>
      <c r="Z39" s="203"/>
      <c r="AA39" s="203"/>
      <c r="AB39" s="471"/>
      <c r="AC39" s="535"/>
      <c r="AD39" s="237"/>
      <c r="AE39" s="237"/>
      <c r="AF39" s="237"/>
      <c r="AG39" s="302"/>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c r="BK39" s="127"/>
      <c r="BL39" s="127"/>
      <c r="BM39" s="127"/>
      <c r="BN39" s="127"/>
      <c r="BO39" s="127"/>
      <c r="BP39" s="127"/>
      <c r="BQ39" s="127"/>
      <c r="BR39" s="127"/>
      <c r="BS39" s="127"/>
      <c r="BT39" s="127"/>
      <c r="BU39" s="127"/>
      <c r="BV39" s="127"/>
      <c r="BW39" s="127"/>
      <c r="BX39" s="127"/>
      <c r="BY39" s="127"/>
      <c r="BZ39" s="127"/>
      <c r="CA39" s="127"/>
      <c r="CB39" s="127"/>
      <c r="CC39" s="127"/>
      <c r="CD39" s="127"/>
      <c r="CE39" s="127"/>
    </row>
    <row r="40" spans="1:83" s="3" customFormat="1" x14ac:dyDescent="0.2">
      <c r="A40" s="12" t="s">
        <v>25</v>
      </c>
      <c r="B40" s="9" t="s">
        <v>28</v>
      </c>
      <c r="C40" s="9"/>
      <c r="D40" s="10">
        <v>14</v>
      </c>
      <c r="E40" s="7">
        <v>14</v>
      </c>
      <c r="F40" s="7">
        <v>14</v>
      </c>
      <c r="G40" s="7">
        <v>14</v>
      </c>
      <c r="H40" s="7">
        <v>14</v>
      </c>
      <c r="I40" s="7">
        <v>14</v>
      </c>
      <c r="J40" s="7">
        <v>14</v>
      </c>
      <c r="K40" s="7">
        <v>13</v>
      </c>
      <c r="L40" s="7">
        <v>13</v>
      </c>
      <c r="M40" s="7">
        <v>14</v>
      </c>
      <c r="N40" s="7">
        <v>14</v>
      </c>
      <c r="O40" s="7">
        <v>13</v>
      </c>
      <c r="P40" s="48">
        <v>13</v>
      </c>
      <c r="Q40" s="48">
        <v>13</v>
      </c>
      <c r="R40" s="122">
        <v>13</v>
      </c>
      <c r="S40" s="122">
        <v>13</v>
      </c>
      <c r="T40" s="122">
        <v>13.6</v>
      </c>
      <c r="U40" s="122">
        <v>13.8</v>
      </c>
      <c r="V40" s="204">
        <v>14</v>
      </c>
      <c r="W40" s="219">
        <v>14</v>
      </c>
      <c r="X40" s="219">
        <v>13.9</v>
      </c>
      <c r="Y40" s="219">
        <v>14.1</v>
      </c>
      <c r="Z40" s="219">
        <v>14.6</v>
      </c>
      <c r="AA40" s="219">
        <v>14.5</v>
      </c>
      <c r="AB40" s="472">
        <v>14.4</v>
      </c>
      <c r="AC40" s="536">
        <v>15.3</v>
      </c>
      <c r="AD40" s="537">
        <f t="shared" ref="AD40:AG40" si="8">+AC40</f>
        <v>15.3</v>
      </c>
      <c r="AE40" s="537">
        <f t="shared" si="8"/>
        <v>15.3</v>
      </c>
      <c r="AF40" s="537">
        <f t="shared" si="8"/>
        <v>15.3</v>
      </c>
      <c r="AG40" s="538">
        <f t="shared" si="8"/>
        <v>15.3</v>
      </c>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7"/>
      <c r="BR40" s="127"/>
      <c r="BS40" s="127"/>
      <c r="BT40" s="127"/>
      <c r="BU40" s="127"/>
      <c r="BV40" s="127"/>
      <c r="BW40" s="127"/>
      <c r="BX40" s="127"/>
      <c r="BY40" s="127"/>
      <c r="BZ40" s="127"/>
      <c r="CA40" s="127"/>
      <c r="CB40" s="127"/>
      <c r="CC40" s="127"/>
      <c r="CD40" s="127"/>
      <c r="CE40" s="127"/>
    </row>
    <row r="41" spans="1:83" x14ac:dyDescent="0.2">
      <c r="V41" s="201"/>
      <c r="W41" s="201"/>
      <c r="X41" s="201"/>
      <c r="Y41" s="201"/>
      <c r="Z41" s="201"/>
      <c r="AA41" s="201"/>
      <c r="AB41" s="466"/>
      <c r="AC41" s="521"/>
      <c r="AD41" s="522"/>
      <c r="AE41" s="522"/>
      <c r="AF41" s="522"/>
      <c r="AG41" s="523"/>
    </row>
    <row r="42" spans="1:83" s="2" customFormat="1" x14ac:dyDescent="0.2">
      <c r="A42" s="2" t="s">
        <v>24</v>
      </c>
      <c r="D42" s="13" t="s">
        <v>193</v>
      </c>
      <c r="E42" s="13" t="s">
        <v>34</v>
      </c>
      <c r="F42" s="13" t="s">
        <v>35</v>
      </c>
      <c r="G42" s="13" t="s">
        <v>36</v>
      </c>
      <c r="H42" s="13" t="s">
        <v>37</v>
      </c>
      <c r="I42" s="13" t="s">
        <v>38</v>
      </c>
      <c r="J42" s="13" t="s">
        <v>39</v>
      </c>
      <c r="K42" s="13" t="s">
        <v>40</v>
      </c>
      <c r="L42" s="13" t="s">
        <v>41</v>
      </c>
      <c r="M42" s="13" t="s">
        <v>42</v>
      </c>
      <c r="N42" s="13" t="s">
        <v>43</v>
      </c>
      <c r="O42" s="13" t="s">
        <v>44</v>
      </c>
      <c r="P42" s="13" t="s">
        <v>45</v>
      </c>
      <c r="Q42" s="13" t="s">
        <v>168</v>
      </c>
      <c r="R42" s="123" t="s">
        <v>169</v>
      </c>
      <c r="S42" s="123" t="s">
        <v>170</v>
      </c>
      <c r="T42" s="123" t="s">
        <v>171</v>
      </c>
      <c r="U42" s="123" t="s">
        <v>172</v>
      </c>
      <c r="V42" s="205" t="s">
        <v>173</v>
      </c>
      <c r="W42" s="205" t="s">
        <v>174</v>
      </c>
      <c r="X42" s="205" t="s">
        <v>175</v>
      </c>
      <c r="Y42" s="205" t="s">
        <v>176</v>
      </c>
      <c r="Z42" s="205" t="s">
        <v>177</v>
      </c>
      <c r="AA42" s="205" t="s">
        <v>177</v>
      </c>
      <c r="AB42" s="473" t="s">
        <v>178</v>
      </c>
      <c r="AC42" s="479" t="s">
        <v>294</v>
      </c>
      <c r="AD42" s="539" t="s">
        <v>309</v>
      </c>
      <c r="AE42" s="539" t="s">
        <v>315</v>
      </c>
      <c r="AF42" s="539" t="s">
        <v>317</v>
      </c>
      <c r="AG42" s="540" t="s">
        <v>317</v>
      </c>
      <c r="AH42" s="172"/>
      <c r="AI42" s="172"/>
      <c r="AJ42" s="172"/>
      <c r="AK42" s="172"/>
      <c r="AL42" s="172"/>
      <c r="AM42" s="172"/>
      <c r="AN42" s="172"/>
      <c r="AO42" s="172"/>
      <c r="AP42" s="172"/>
      <c r="AQ42" s="172"/>
      <c r="AR42" s="172"/>
      <c r="AS42" s="172"/>
      <c r="AT42" s="172"/>
      <c r="AU42" s="172"/>
      <c r="AV42" s="172"/>
      <c r="AW42" s="172"/>
      <c r="AX42" s="172"/>
      <c r="AY42" s="172"/>
      <c r="AZ42" s="172"/>
      <c r="BA42" s="172"/>
      <c r="BB42" s="172"/>
      <c r="BC42" s="172"/>
      <c r="BD42" s="172"/>
      <c r="BE42" s="172"/>
      <c r="BF42" s="172"/>
      <c r="BG42" s="172"/>
      <c r="BH42" s="172"/>
      <c r="BI42" s="172"/>
      <c r="BJ42" s="172"/>
      <c r="BK42" s="172"/>
      <c r="BL42" s="172"/>
      <c r="BM42" s="172"/>
      <c r="BN42" s="172"/>
      <c r="BO42" s="172"/>
      <c r="BP42" s="172"/>
      <c r="BQ42" s="172"/>
      <c r="BR42" s="172"/>
      <c r="BS42" s="172"/>
      <c r="BT42" s="172"/>
      <c r="BU42" s="172"/>
      <c r="BV42" s="172"/>
      <c r="BW42" s="172"/>
      <c r="BX42" s="172"/>
      <c r="BY42" s="172"/>
      <c r="BZ42" s="172"/>
      <c r="CA42" s="172"/>
      <c r="CB42" s="172"/>
      <c r="CC42" s="172"/>
      <c r="CD42" s="172"/>
      <c r="CE42" s="172"/>
    </row>
    <row r="43" spans="1:83" s="3" customFormat="1" x14ac:dyDescent="0.2">
      <c r="A43" s="3" t="s">
        <v>19</v>
      </c>
      <c r="B43" s="3" t="s">
        <v>33</v>
      </c>
      <c r="D43" s="7">
        <v>409</v>
      </c>
      <c r="E43" s="7">
        <v>598</v>
      </c>
      <c r="F43" s="7">
        <v>605</v>
      </c>
      <c r="G43" s="7">
        <v>591</v>
      </c>
      <c r="H43" s="7">
        <v>566</v>
      </c>
      <c r="I43" s="7">
        <v>686</v>
      </c>
      <c r="J43" s="7">
        <v>926</v>
      </c>
      <c r="K43" s="7">
        <v>1132</v>
      </c>
      <c r="L43" s="7">
        <v>1109</v>
      </c>
      <c r="M43" s="7">
        <v>667</v>
      </c>
      <c r="N43" s="7">
        <v>635</v>
      </c>
      <c r="O43" s="7">
        <v>645.03436999999997</v>
      </c>
      <c r="P43" s="7">
        <v>676.24282600000004</v>
      </c>
      <c r="Q43" s="7">
        <v>682.943175</v>
      </c>
      <c r="R43" s="118">
        <v>708.14363400000002</v>
      </c>
      <c r="S43" s="118">
        <v>740.20953299999996</v>
      </c>
      <c r="T43" s="118">
        <v>795.11688900000001</v>
      </c>
      <c r="U43" s="118">
        <v>808.21466899999996</v>
      </c>
      <c r="V43" s="199">
        <v>1070</v>
      </c>
      <c r="W43" s="199">
        <v>1244.570158</v>
      </c>
      <c r="X43" s="199">
        <v>1316.2618660000001</v>
      </c>
      <c r="Y43" s="199">
        <f>1343.812957</f>
        <v>1343.8129570000001</v>
      </c>
      <c r="Z43" s="199">
        <v>1393.0569660000001</v>
      </c>
      <c r="AA43" s="199">
        <f>1460.755949-1</f>
        <v>1459.7559490000001</v>
      </c>
      <c r="AB43" s="467">
        <f>1525.800671-AB44</f>
        <v>1524.800671</v>
      </c>
      <c r="AC43" s="477">
        <f>1598.2380873-AC44</f>
        <v>1597.2380873</v>
      </c>
      <c r="AD43" s="529">
        <v>1664.1763250155739</v>
      </c>
      <c r="AE43" s="529">
        <v>1732.632443033782</v>
      </c>
      <c r="AF43" s="529">
        <v>1794.1547928826822</v>
      </c>
      <c r="AG43" s="530">
        <v>1857.8091145237856</v>
      </c>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27"/>
      <c r="BJ43" s="127"/>
      <c r="BK43" s="127"/>
      <c r="BL43" s="127"/>
      <c r="BM43" s="127"/>
      <c r="BN43" s="127"/>
      <c r="BO43" s="127"/>
      <c r="BP43" s="127"/>
      <c r="BQ43" s="127"/>
      <c r="BR43" s="127"/>
      <c r="BS43" s="127"/>
      <c r="BT43" s="127"/>
      <c r="BU43" s="127"/>
      <c r="BV43" s="127"/>
      <c r="BW43" s="127"/>
      <c r="BX43" s="127"/>
      <c r="BY43" s="127"/>
      <c r="BZ43" s="127"/>
      <c r="CA43" s="127"/>
      <c r="CB43" s="127"/>
      <c r="CC43" s="127"/>
      <c r="CD43" s="127"/>
      <c r="CE43" s="127"/>
    </row>
    <row r="44" spans="1:83" s="121" customFormat="1" x14ac:dyDescent="0.2">
      <c r="A44" s="146" t="s">
        <v>408</v>
      </c>
      <c r="B44" s="121" t="s">
        <v>33</v>
      </c>
      <c r="D44" s="118"/>
      <c r="E44" s="118"/>
      <c r="F44" s="118"/>
      <c r="G44" s="118"/>
      <c r="H44" s="118"/>
      <c r="I44" s="118"/>
      <c r="J44" s="118"/>
      <c r="K44" s="118"/>
      <c r="L44" s="118"/>
      <c r="M44" s="118"/>
      <c r="N44" s="118"/>
      <c r="O44" s="118"/>
      <c r="P44" s="118"/>
      <c r="Q44" s="118"/>
      <c r="R44" s="118"/>
      <c r="S44" s="118"/>
      <c r="T44" s="118"/>
      <c r="U44" s="118"/>
      <c r="V44" s="199"/>
      <c r="W44" s="199"/>
      <c r="X44" s="199"/>
      <c r="Y44" s="199"/>
      <c r="Z44" s="199"/>
      <c r="AA44" s="199">
        <f>AA36</f>
        <v>1</v>
      </c>
      <c r="AB44" s="467">
        <v>1</v>
      </c>
      <c r="AC44" s="477">
        <v>1</v>
      </c>
      <c r="AD44" s="529"/>
      <c r="AE44" s="529"/>
      <c r="AF44" s="529"/>
      <c r="AG44" s="530"/>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27"/>
      <c r="BK44" s="127"/>
      <c r="BL44" s="127"/>
      <c r="BM44" s="127"/>
      <c r="BN44" s="127"/>
      <c r="BO44" s="127"/>
      <c r="BP44" s="127"/>
      <c r="BQ44" s="127"/>
      <c r="BR44" s="127"/>
      <c r="BS44" s="127"/>
      <c r="BT44" s="127"/>
      <c r="BU44" s="127"/>
      <c r="BV44" s="127"/>
      <c r="BW44" s="127"/>
      <c r="BX44" s="127"/>
      <c r="BY44" s="127"/>
      <c r="BZ44" s="127"/>
      <c r="CA44" s="127"/>
      <c r="CB44" s="127"/>
      <c r="CC44" s="127"/>
      <c r="CD44" s="127"/>
      <c r="CE44" s="127"/>
    </row>
    <row r="45" spans="1:83" s="3" customFormat="1" x14ac:dyDescent="0.2">
      <c r="A45" s="3" t="s">
        <v>20</v>
      </c>
      <c r="B45" s="3" t="s">
        <v>33</v>
      </c>
      <c r="D45" s="7">
        <v>246</v>
      </c>
      <c r="E45" s="7">
        <v>274</v>
      </c>
      <c r="F45" s="7">
        <v>328</v>
      </c>
      <c r="G45" s="7">
        <v>-150</v>
      </c>
      <c r="H45" s="7">
        <v>0</v>
      </c>
      <c r="I45" s="7">
        <v>0</v>
      </c>
      <c r="J45" s="7">
        <v>0</v>
      </c>
      <c r="K45" s="7">
        <v>0</v>
      </c>
      <c r="L45" s="7">
        <v>0</v>
      </c>
      <c r="M45" s="7">
        <v>0</v>
      </c>
      <c r="N45" s="7">
        <v>0</v>
      </c>
      <c r="O45" s="7">
        <v>0</v>
      </c>
      <c r="P45" s="7">
        <v>0</v>
      </c>
      <c r="Q45" s="7">
        <v>0</v>
      </c>
      <c r="R45" s="118">
        <v>0</v>
      </c>
      <c r="S45" s="118">
        <v>0</v>
      </c>
      <c r="T45" s="118">
        <v>0</v>
      </c>
      <c r="U45" s="118">
        <v>0</v>
      </c>
      <c r="V45" s="199">
        <v>0</v>
      </c>
      <c r="W45" s="199">
        <v>0</v>
      </c>
      <c r="X45" s="199">
        <v>0</v>
      </c>
      <c r="Y45" s="199">
        <v>0</v>
      </c>
      <c r="Z45" s="199">
        <v>0</v>
      </c>
      <c r="AA45" s="199">
        <v>0</v>
      </c>
      <c r="AB45" s="468">
        <v>0</v>
      </c>
      <c r="AC45" s="532">
        <v>0</v>
      </c>
      <c r="AD45" s="533">
        <v>0</v>
      </c>
      <c r="AE45" s="533">
        <v>0</v>
      </c>
      <c r="AF45" s="533">
        <v>0</v>
      </c>
      <c r="AG45" s="534">
        <v>0</v>
      </c>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7"/>
      <c r="BR45" s="127"/>
      <c r="BS45" s="127"/>
      <c r="BT45" s="127"/>
      <c r="BU45" s="127"/>
      <c r="BV45" s="127"/>
      <c r="BW45" s="127"/>
      <c r="BX45" s="127"/>
      <c r="BY45" s="127"/>
      <c r="BZ45" s="127"/>
      <c r="CA45" s="127"/>
      <c r="CB45" s="127"/>
      <c r="CC45" s="127"/>
      <c r="CD45" s="127"/>
      <c r="CE45" s="127"/>
    </row>
    <row r="46" spans="1:83" s="14" customFormat="1" x14ac:dyDescent="0.2">
      <c r="A46" s="8" t="s">
        <v>21</v>
      </c>
      <c r="B46" s="14" t="s">
        <v>31</v>
      </c>
      <c r="D46" s="15">
        <f>D43+D45</f>
        <v>655</v>
      </c>
      <c r="E46" s="15">
        <f>E43+E45</f>
        <v>872</v>
      </c>
      <c r="F46" s="15">
        <f t="shared" ref="F46:R46" si="9">F43+F45</f>
        <v>933</v>
      </c>
      <c r="G46" s="15">
        <f t="shared" si="9"/>
        <v>441</v>
      </c>
      <c r="H46" s="15">
        <f t="shared" si="9"/>
        <v>566</v>
      </c>
      <c r="I46" s="15">
        <f t="shared" si="9"/>
        <v>686</v>
      </c>
      <c r="J46" s="15">
        <f t="shared" si="9"/>
        <v>926</v>
      </c>
      <c r="K46" s="15">
        <f t="shared" si="9"/>
        <v>1132</v>
      </c>
      <c r="L46" s="15">
        <f t="shared" si="9"/>
        <v>1109</v>
      </c>
      <c r="M46" s="15">
        <f t="shared" si="9"/>
        <v>667</v>
      </c>
      <c r="N46" s="15">
        <f t="shared" si="9"/>
        <v>635</v>
      </c>
      <c r="O46" s="15">
        <f t="shared" si="9"/>
        <v>645.03436999999997</v>
      </c>
      <c r="P46" s="15">
        <f t="shared" si="9"/>
        <v>676.24282600000004</v>
      </c>
      <c r="Q46" s="15">
        <f t="shared" si="9"/>
        <v>682.943175</v>
      </c>
      <c r="R46" s="124">
        <f t="shared" si="9"/>
        <v>708.14363400000002</v>
      </c>
      <c r="S46" s="124">
        <f t="shared" ref="S46:AE46" si="10">S43+S45</f>
        <v>740.20953299999996</v>
      </c>
      <c r="T46" s="124">
        <f t="shared" si="10"/>
        <v>795.11688900000001</v>
      </c>
      <c r="U46" s="124">
        <f t="shared" si="10"/>
        <v>808.21466899999996</v>
      </c>
      <c r="V46" s="206">
        <f t="shared" si="10"/>
        <v>1070</v>
      </c>
      <c r="W46" s="206">
        <f t="shared" si="10"/>
        <v>1244.570158</v>
      </c>
      <c r="X46" s="206">
        <f t="shared" si="10"/>
        <v>1316.2618660000001</v>
      </c>
      <c r="Y46" s="300">
        <f>Y43+Y44+Y45</f>
        <v>1343.8129570000001</v>
      </c>
      <c r="Z46" s="206">
        <f t="shared" si="10"/>
        <v>1393.0569660000001</v>
      </c>
      <c r="AA46" s="206">
        <f>AA43+AA45+AA44</f>
        <v>1460.7559490000001</v>
      </c>
      <c r="AB46" s="206">
        <f>AB43+AB45+AB44</f>
        <v>1525.800671</v>
      </c>
      <c r="AC46" s="541">
        <f>AC43+AC45+AC44</f>
        <v>1598.2380873</v>
      </c>
      <c r="AD46" s="80">
        <f t="shared" si="10"/>
        <v>1664.1763250155739</v>
      </c>
      <c r="AE46" s="80">
        <f t="shared" si="10"/>
        <v>1732.632443033782</v>
      </c>
      <c r="AF46" s="80">
        <f>AF43+AF45</f>
        <v>1794.1547928826822</v>
      </c>
      <c r="AG46" s="273">
        <f>AG43+AG45</f>
        <v>1857.8091145237856</v>
      </c>
      <c r="AH46" s="174"/>
      <c r="AI46" s="174"/>
      <c r="AJ46" s="174"/>
      <c r="AK46" s="174"/>
      <c r="AL46" s="174"/>
      <c r="AM46" s="174"/>
      <c r="AN46" s="174"/>
      <c r="AO46" s="174"/>
      <c r="AP46" s="174"/>
      <c r="AQ46" s="174"/>
      <c r="AR46" s="174"/>
      <c r="AS46" s="174"/>
      <c r="AT46" s="174"/>
      <c r="AU46" s="174"/>
      <c r="AV46" s="174"/>
      <c r="AW46" s="174"/>
      <c r="AX46" s="174"/>
      <c r="AY46" s="174"/>
      <c r="AZ46" s="174"/>
      <c r="BA46" s="174"/>
      <c r="BB46" s="174"/>
      <c r="BC46" s="174"/>
      <c r="BD46" s="174"/>
      <c r="BE46" s="174"/>
      <c r="BF46" s="174"/>
      <c r="BG46" s="174"/>
      <c r="BH46" s="174"/>
      <c r="BI46" s="174"/>
      <c r="BJ46" s="174"/>
      <c r="BK46" s="174"/>
      <c r="BL46" s="174"/>
      <c r="BM46" s="174"/>
      <c r="BN46" s="174"/>
      <c r="BO46" s="174"/>
      <c r="BP46" s="174"/>
      <c r="BQ46" s="174"/>
      <c r="BR46" s="174"/>
      <c r="BS46" s="174"/>
      <c r="BT46" s="174"/>
      <c r="BU46" s="174"/>
      <c r="BV46" s="174"/>
      <c r="BW46" s="174"/>
      <c r="BX46" s="174"/>
      <c r="BY46" s="174"/>
      <c r="BZ46" s="174"/>
      <c r="CA46" s="174"/>
      <c r="CB46" s="174"/>
      <c r="CC46" s="174"/>
      <c r="CD46" s="174"/>
      <c r="CE46" s="174"/>
    </row>
    <row r="47" spans="1:83" x14ac:dyDescent="0.2">
      <c r="AC47" s="460"/>
      <c r="AD47" s="191"/>
      <c r="AE47" s="191"/>
      <c r="AF47" s="191"/>
      <c r="AG47" s="257"/>
    </row>
    <row r="48" spans="1:83" ht="84" customHeight="1" x14ac:dyDescent="0.2">
      <c r="A48" s="1060" t="s">
        <v>409</v>
      </c>
      <c r="B48" s="1061"/>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6"/>
    </row>
    <row r="49" spans="29:29" x14ac:dyDescent="0.2">
      <c r="AC49" s="486"/>
    </row>
  </sheetData>
  <mergeCells count="1">
    <mergeCell ref="A48:B48"/>
  </mergeCells>
  <phoneticPr fontId="0" type="noConversion"/>
  <pageMargins left="0.5" right="0.5" top="0.75" bottom="0.75" header="0.5" footer="0.5"/>
  <pageSetup paperSize="5" scale="56" orientation="landscape" r:id="rId1"/>
  <headerFooter alignWithMargins="0">
    <oddFooter>&amp;L&amp;"Arial,Bold"&amp;F&amp;C&amp;A&amp;R&amp;D  &amp;T</oddFooter>
  </headerFooter>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S34"/>
  <sheetViews>
    <sheetView zoomScaleNormal="100" workbookViewId="0">
      <pane xSplit="1" ySplit="5" topLeftCell="H9" activePane="bottomRight" state="frozen"/>
      <selection activeCell="X40" sqref="X40"/>
      <selection pane="topRight" activeCell="X40" sqref="X40"/>
      <selection pane="bottomLeft" activeCell="X40" sqref="X40"/>
      <selection pane="bottomRight" activeCell="A52" sqref="A52:A53"/>
    </sheetView>
  </sheetViews>
  <sheetFormatPr defaultRowHeight="12.75" x14ac:dyDescent="0.2"/>
  <cols>
    <col min="1" max="1" width="47.5703125" style="569" customWidth="1"/>
    <col min="2" max="2" width="14.42578125" style="569" customWidth="1"/>
    <col min="3" max="3" width="13" style="569" customWidth="1"/>
    <col min="4" max="4" width="11.5703125" style="569" customWidth="1"/>
    <col min="5" max="5" width="11.7109375" style="569" customWidth="1"/>
    <col min="6" max="6" width="12.42578125" style="571" customWidth="1"/>
    <col min="7" max="7" width="12" style="571" customWidth="1"/>
    <col min="8" max="8" width="12.42578125" style="571" customWidth="1"/>
    <col min="9" max="9" width="12.85546875" style="571" customWidth="1"/>
    <col min="10" max="10" width="13.7109375" style="571" customWidth="1"/>
    <col min="11" max="11" width="12.28515625" style="571" customWidth="1"/>
    <col min="12" max="13" width="11.7109375" style="571" customWidth="1"/>
    <col min="14" max="14" width="11.7109375" style="1029" customWidth="1"/>
    <col min="15" max="17" width="11.7109375" style="1030" customWidth="1"/>
    <col min="18" max="19" width="11.7109375" style="569" customWidth="1"/>
    <col min="20" max="16384" width="9.140625" style="569"/>
  </cols>
  <sheetData>
    <row r="1" spans="1:19" ht="15.75" x14ac:dyDescent="0.25">
      <c r="A1" s="886" t="s">
        <v>610</v>
      </c>
      <c r="R1" s="1030"/>
      <c r="S1" s="1030"/>
    </row>
    <row r="2" spans="1:19" x14ac:dyDescent="0.2">
      <c r="A2" s="570" t="s">
        <v>611</v>
      </c>
      <c r="R2" s="1030"/>
      <c r="S2" s="1030"/>
    </row>
    <row r="3" spans="1:19" x14ac:dyDescent="0.2">
      <c r="C3" s="1031" t="s">
        <v>483</v>
      </c>
      <c r="D3" s="1031" t="s">
        <v>483</v>
      </c>
      <c r="E3" s="1031" t="s">
        <v>483</v>
      </c>
      <c r="F3" s="1031" t="s">
        <v>483</v>
      </c>
      <c r="G3" s="1031" t="s">
        <v>483</v>
      </c>
      <c r="H3" s="1031" t="s">
        <v>483</v>
      </c>
      <c r="I3" s="1031" t="s">
        <v>483</v>
      </c>
      <c r="J3" s="1031" t="s">
        <v>483</v>
      </c>
      <c r="K3" s="1031" t="s">
        <v>483</v>
      </c>
      <c r="L3" s="1031" t="s">
        <v>483</v>
      </c>
      <c r="M3" s="1031" t="s">
        <v>483</v>
      </c>
      <c r="N3" s="1032" t="s">
        <v>484</v>
      </c>
      <c r="O3" s="1033" t="s">
        <v>485</v>
      </c>
      <c r="P3" s="1033" t="s">
        <v>601</v>
      </c>
      <c r="Q3" s="1033" t="s">
        <v>601</v>
      </c>
      <c r="R3" s="1033" t="s">
        <v>601</v>
      </c>
      <c r="S3" s="1033" t="s">
        <v>601</v>
      </c>
    </row>
    <row r="4" spans="1:19" x14ac:dyDescent="0.2">
      <c r="A4" s="614" t="s">
        <v>1</v>
      </c>
      <c r="B4" s="614"/>
      <c r="C4" s="584">
        <v>2004</v>
      </c>
      <c r="D4" s="584">
        <v>2005</v>
      </c>
      <c r="E4" s="584">
        <v>2006</v>
      </c>
      <c r="F4" s="743">
        <v>2007</v>
      </c>
      <c r="G4" s="743">
        <v>2008</v>
      </c>
      <c r="H4" s="743">
        <v>2009</v>
      </c>
      <c r="I4" s="743">
        <v>2010</v>
      </c>
      <c r="J4" s="743">
        <v>2011</v>
      </c>
      <c r="K4" s="743">
        <v>2012</v>
      </c>
      <c r="L4" s="743">
        <v>2013</v>
      </c>
      <c r="M4" s="743">
        <v>2014</v>
      </c>
      <c r="N4" s="1034">
        <v>2015</v>
      </c>
      <c r="O4" s="1035">
        <v>2016</v>
      </c>
      <c r="P4" s="1035">
        <v>2017</v>
      </c>
      <c r="Q4" s="1035">
        <v>2018</v>
      </c>
      <c r="R4" s="1035">
        <v>2019</v>
      </c>
      <c r="S4" s="1035">
        <v>2020</v>
      </c>
    </row>
    <row r="5" spans="1:19" ht="13.5" thickBot="1" x14ac:dyDescent="0.25">
      <c r="A5" s="674" t="s">
        <v>156</v>
      </c>
      <c r="B5" s="896" t="s">
        <v>26</v>
      </c>
      <c r="C5" s="896" t="s">
        <v>169</v>
      </c>
      <c r="D5" s="896" t="s">
        <v>170</v>
      </c>
      <c r="E5" s="896" t="s">
        <v>171</v>
      </c>
      <c r="F5" s="1036" t="s">
        <v>172</v>
      </c>
      <c r="G5" s="1036" t="s">
        <v>173</v>
      </c>
      <c r="H5" s="1036" t="s">
        <v>174</v>
      </c>
      <c r="I5" s="1036" t="s">
        <v>175</v>
      </c>
      <c r="J5" s="1036" t="s">
        <v>176</v>
      </c>
      <c r="K5" s="1036" t="s">
        <v>177</v>
      </c>
      <c r="L5" s="1036" t="s">
        <v>178</v>
      </c>
      <c r="M5" s="1036" t="s">
        <v>294</v>
      </c>
      <c r="N5" s="1037" t="s">
        <v>309</v>
      </c>
      <c r="O5" s="1038" t="s">
        <v>315</v>
      </c>
      <c r="P5" s="1038" t="s">
        <v>316</v>
      </c>
      <c r="Q5" s="1038" t="s">
        <v>317</v>
      </c>
      <c r="R5" s="1038" t="s">
        <v>318</v>
      </c>
      <c r="S5" s="1038" t="s">
        <v>319</v>
      </c>
    </row>
    <row r="6" spans="1:19" x14ac:dyDescent="0.2">
      <c r="A6" s="614"/>
      <c r="B6" s="614"/>
      <c r="C6" s="614"/>
      <c r="D6" s="614"/>
      <c r="E6" s="614"/>
      <c r="F6" s="887"/>
      <c r="G6" s="887"/>
      <c r="H6" s="887"/>
      <c r="I6" s="887"/>
      <c r="J6" s="887"/>
      <c r="K6" s="887"/>
      <c r="L6" s="887"/>
      <c r="M6" s="887"/>
      <c r="N6" s="980"/>
      <c r="O6" s="1039"/>
      <c r="P6" s="1039"/>
      <c r="Q6" s="1039"/>
      <c r="R6" s="1039"/>
      <c r="S6" s="1039"/>
    </row>
    <row r="7" spans="1:19" x14ac:dyDescent="0.2">
      <c r="A7" s="12" t="s">
        <v>612</v>
      </c>
      <c r="B7" s="296"/>
      <c r="C7" s="296"/>
      <c r="D7" s="296"/>
      <c r="E7" s="296"/>
      <c r="F7" s="301"/>
      <c r="G7" s="301"/>
      <c r="H7" s="301"/>
      <c r="I7" s="887"/>
      <c r="J7" s="887"/>
      <c r="K7" s="887"/>
      <c r="L7" s="887"/>
      <c r="M7" s="887"/>
      <c r="N7" s="980"/>
      <c r="O7" s="1039"/>
      <c r="P7" s="1039"/>
      <c r="Q7" s="1039"/>
      <c r="R7" s="1039"/>
      <c r="S7" s="1039"/>
    </row>
    <row r="8" spans="1:19" x14ac:dyDescent="0.2">
      <c r="A8" s="296" t="s">
        <v>197</v>
      </c>
      <c r="B8" s="296" t="s">
        <v>254</v>
      </c>
      <c r="C8" s="296">
        <f>[3]Liability!C8+'[3]SP Liability'!C8</f>
        <v>2206900</v>
      </c>
      <c r="D8" s="296">
        <f>[3]Liability!D8+'[3]SP Liability'!D8</f>
        <v>2329900</v>
      </c>
      <c r="E8" s="296">
        <f>[3]Liability!E8+'[3]SP Liability'!E8</f>
        <v>2498700</v>
      </c>
      <c r="F8" s="301">
        <f>[3]Liability!F8+'[3]SP Liability'!F8</f>
        <v>2659400</v>
      </c>
      <c r="G8" s="301">
        <f>[3]Liability!G8+'[3]SP Liability'!G8</f>
        <v>2884388.2250000001</v>
      </c>
      <c r="H8" s="301">
        <f>[3]Liability!H8+'[3]SP Liability'!H8</f>
        <v>3096288.2250000001</v>
      </c>
      <c r="I8" s="301">
        <f>[3]Liability!I8+'[3]SP Liability'!I8</f>
        <v>3241338.2250000001</v>
      </c>
      <c r="J8" s="301">
        <f>[3]Liability!J8+'[3]SP Liability'!J8</f>
        <v>3533771.2250000001</v>
      </c>
      <c r="K8" s="301">
        <f>[3]Liability!K8+'[3]SP Liability'!K8</f>
        <v>3574400.2749999999</v>
      </c>
      <c r="L8" s="301">
        <f>[3]Liability!L8+'[3]SP Liability'!L8</f>
        <v>3790850.375</v>
      </c>
      <c r="M8" s="301">
        <f>[3]Liability!M8+'[3]SP Liability'!M8</f>
        <v>3973150.375</v>
      </c>
      <c r="N8" s="1040">
        <f>[3]Liability!N8+'[3]SP Liability'!N8</f>
        <v>4147150</v>
      </c>
      <c r="O8" s="1041">
        <f>[3]Liability!O8+'[3]SP Liability'!O8</f>
        <v>4328993.8529738728</v>
      </c>
      <c r="P8" s="1041">
        <f>[3]Liability!P8+'[3]SP Liability'!P8</f>
        <v>4522621.5240514409</v>
      </c>
      <c r="Q8" s="1041">
        <f>[3]Liability!Q8+'[3]SP Liability'!Q8</f>
        <v>4729277.5807655472</v>
      </c>
      <c r="R8" s="1041">
        <f>[3]Liability!R8+'[3]SP Liability'!R8</f>
        <v>4950334.6622465346</v>
      </c>
      <c r="S8" s="1041">
        <f>[3]Liability!S8+'[3]SP Liability'!S8</f>
        <v>5189089.1137663294</v>
      </c>
    </row>
    <row r="9" spans="1:19" x14ac:dyDescent="0.2">
      <c r="A9" s="296" t="s">
        <v>198</v>
      </c>
      <c r="B9" s="296" t="s">
        <v>254</v>
      </c>
      <c r="C9" s="296">
        <f>[3]Liability!C9+'[3]SP Liability'!C9</f>
        <v>-2308033.3330000001</v>
      </c>
      <c r="D9" s="296">
        <f>[3]Liability!D9+'[3]SP Liability'!D9</f>
        <v>-2424100</v>
      </c>
      <c r="E9" s="296">
        <f>[3]Liability!E9+'[3]SP Liability'!E9</f>
        <v>-2525900</v>
      </c>
      <c r="F9" s="301">
        <f>[3]Liability!F9+'[3]SP Liability'!F9</f>
        <v>-2756750</v>
      </c>
      <c r="G9" s="301">
        <f>[3]Liability!G9+'[3]SP Liability'!G9</f>
        <v>-2664600</v>
      </c>
      <c r="H9" s="301">
        <f>[3]Liability!H9+'[3]SP Liability'!H9</f>
        <v>-2733000</v>
      </c>
      <c r="I9" s="301">
        <f>[3]Liability!I9+'[3]SP Liability'!I9</f>
        <v>-2955900</v>
      </c>
      <c r="J9" s="301">
        <f>[3]Liability!J9+'[3]SP Liability'!J9</f>
        <v>-3018988.2</v>
      </c>
      <c r="K9" s="301">
        <f>[3]Liability!K9+'[3]SP Liability'!K9</f>
        <v>-3161600</v>
      </c>
      <c r="L9" s="301">
        <f>[3]Liability!L9+'[3]SP Liability'!L9</f>
        <v>-3407000</v>
      </c>
      <c r="M9" s="301">
        <f>[3]Liability!M9+'[3]SP Liability'!M9</f>
        <v>-3708900</v>
      </c>
      <c r="N9" s="1040">
        <f>[3]Liability!N9+'[3]SP Liability'!N9</f>
        <v>-4033300</v>
      </c>
      <c r="O9" s="1041">
        <f>[3]Liability!O9+'[3]SP Liability'!O9</f>
        <v>-4421584.7352052601</v>
      </c>
      <c r="P9" s="1041">
        <f>[3]Liability!P9+'[3]SP Liability'!P9</f>
        <v>-4819547.9207592839</v>
      </c>
      <c r="Q9" s="1041">
        <f>[3]Liability!Q9+'[3]SP Liability'!Q9</f>
        <v>-5199886.0448262785</v>
      </c>
      <c r="R9" s="1041">
        <f>[3]Liability!R9+'[3]SP Liability'!R9</f>
        <v>-5575733.7252662843</v>
      </c>
      <c r="S9" s="1041">
        <f>[3]Liability!S9+'[3]SP Liability'!S9</f>
        <v>-5973266.9976135986</v>
      </c>
    </row>
    <row r="10" spans="1:19" x14ac:dyDescent="0.2">
      <c r="A10" s="296" t="s">
        <v>196</v>
      </c>
      <c r="B10" s="296" t="s">
        <v>613</v>
      </c>
      <c r="C10" s="296">
        <f>[3]Liability!C10+'[3]SP Liability'!C10</f>
        <v>0</v>
      </c>
      <c r="D10" s="296">
        <f>[3]Liability!D10+'[3]SP Liability'!D10</f>
        <v>-15969.279931250312</v>
      </c>
      <c r="E10" s="296">
        <f>[3]Liability!E10+'[3]SP Liability'!E10</f>
        <v>-87152.516683125752</v>
      </c>
      <c r="F10" s="301">
        <f>[3]Liability!F10+'[3]SP Liability'!F10</f>
        <v>-14813.092435001243</v>
      </c>
      <c r="G10" s="301">
        <f>[3]Liability!G10+'[3]SP Liability'!G10</f>
        <v>-346341.03707250097</v>
      </c>
      <c r="H10" s="301">
        <f>[3]Liability!H10+'[3]SP Liability'!H10</f>
        <v>-462125.10318060097</v>
      </c>
      <c r="I10" s="301">
        <f>[3]Liability!I10+'[3]SP Liability'!I10</f>
        <v>-349762.30230560101</v>
      </c>
      <c r="J10" s="301">
        <f>[3]Liability!J10+'[3]SP Liability'!J10</f>
        <v>-550304.61411810096</v>
      </c>
      <c r="K10" s="301">
        <f>[3]Liability!K10+'[3]SP Liability'!K10</f>
        <v>-407862.67661810084</v>
      </c>
      <c r="L10" s="301">
        <f>[3]Liability!L10+'[3]SP Liability'!L10</f>
        <v>-357152.74336810084</v>
      </c>
      <c r="M10" s="301">
        <f>[3]Liability!M10+'[3]SP Liability'!M10</f>
        <v>-232759.80073591892</v>
      </c>
      <c r="N10" s="1040">
        <f>[3]Liability!N10+'[3]SP Liability'!N10</f>
        <v>-93217.382376543828</v>
      </c>
      <c r="O10" s="1041">
        <f>[3]Liability!O10+'[3]SP Liability'!O10</f>
        <v>76064.455942295419</v>
      </c>
      <c r="P10" s="1041">
        <f>[3]Liability!P10+'[3]SP Liability'!P10</f>
        <v>209830.85409176268</v>
      </c>
      <c r="Q10" s="1041">
        <f>[3]Liability!Q10+'[3]SP Liability'!Q10</f>
        <v>287378.62414098333</v>
      </c>
      <c r="R10" s="1041">
        <f>[3]Liability!R10+'[3]SP Liability'!R10</f>
        <v>301273.27007630555</v>
      </c>
      <c r="S10" s="1041">
        <f>[3]Liability!S10+'[3]SP Liability'!S10</f>
        <v>276293.50032406405</v>
      </c>
    </row>
    <row r="11" spans="1:19" x14ac:dyDescent="0.2">
      <c r="A11" s="296" t="s">
        <v>249</v>
      </c>
      <c r="B11" s="296"/>
      <c r="C11" s="296"/>
      <c r="D11" s="296">
        <f>[3]Liability!D11+'[3]SP Liability'!D11</f>
        <v>738</v>
      </c>
      <c r="E11" s="296">
        <f>[3]Liability!E11+'[3]SP Liability'!E11</f>
        <v>1428</v>
      </c>
      <c r="F11" s="301">
        <f>[3]Liability!F11+'[3]SP Liability'!F11</f>
        <v>1269</v>
      </c>
      <c r="G11" s="301">
        <f>[3]Liability!G11+'[3]SP Liability'!G11</f>
        <v>1110</v>
      </c>
      <c r="H11" s="301">
        <f>[3]Liability!H11+'[3]SP Liability'!H11</f>
        <v>951</v>
      </c>
      <c r="I11" s="301">
        <f>[3]Liability!I11+'[3]SP Liability'!I11</f>
        <v>792</v>
      </c>
      <c r="J11" s="301">
        <f>[3]Liability!J11+'[3]SP Liability'!J11</f>
        <v>635</v>
      </c>
      <c r="K11" s="301">
        <f>[3]Liability!K11+'[3]SP Liability'!K11</f>
        <v>476</v>
      </c>
      <c r="L11" s="301">
        <f>[3]Liability!L11+'[3]SP Liability'!L11</f>
        <v>-1083.2</v>
      </c>
      <c r="M11" s="301">
        <f>[3]Liability!M11+'[3]SP Liability'!M11</f>
        <v>-2276.8126016260162</v>
      </c>
      <c r="N11" s="1040">
        <f>[3]Liability!N11+'[3]SP Liability'!N11</f>
        <v>-3304.0649573503933</v>
      </c>
      <c r="O11" s="1041">
        <f>[3]Liability!O11+'[3]SP Liability'!O11</f>
        <v>-3053.6160357025074</v>
      </c>
      <c r="P11" s="1041">
        <f>[3]Liability!P11+'[3]SP Liability'!P11</f>
        <v>-2764.1671140546214</v>
      </c>
      <c r="Q11" s="1041">
        <f>[3]Liability!Q11+'[3]SP Liability'!Q11</f>
        <v>-2474.7181924067354</v>
      </c>
      <c r="R11" s="1041">
        <f>[3]Liability!R11+'[3]SP Liability'!R11</f>
        <v>-2185.2692707588499</v>
      </c>
      <c r="S11" s="1041">
        <f>[3]Liability!S11+'[3]SP Liability'!S11</f>
        <v>-1895.8203491109639</v>
      </c>
    </row>
    <row r="12" spans="1:19" x14ac:dyDescent="0.2">
      <c r="A12" s="25" t="s">
        <v>205</v>
      </c>
      <c r="B12" s="296" t="s">
        <v>241</v>
      </c>
      <c r="C12" s="1042">
        <f>SUM(C8:C11)</f>
        <v>-101133.3330000001</v>
      </c>
      <c r="D12" s="1042">
        <f t="shared" ref="D12:S12" si="0">SUM(D8:D11)</f>
        <v>-109431.27993125032</v>
      </c>
      <c r="E12" s="1042">
        <f t="shared" si="0"/>
        <v>-112924.51668312575</v>
      </c>
      <c r="F12" s="1043">
        <f t="shared" si="0"/>
        <v>-110894.09243500125</v>
      </c>
      <c r="G12" s="1043">
        <f t="shared" si="0"/>
        <v>-125442.81207250088</v>
      </c>
      <c r="H12" s="1043">
        <f t="shared" si="0"/>
        <v>-97885.878180600877</v>
      </c>
      <c r="I12" s="1043">
        <f t="shared" si="0"/>
        <v>-63532.07730560092</v>
      </c>
      <c r="J12" s="1043">
        <f>SUM(J8:J11)</f>
        <v>-34886.589118101052</v>
      </c>
      <c r="K12" s="1043">
        <f>SUM(K8:K11)</f>
        <v>5413.5983818990644</v>
      </c>
      <c r="L12" s="1043">
        <f t="shared" si="0"/>
        <v>25614.431631899159</v>
      </c>
      <c r="M12" s="1043">
        <f t="shared" si="0"/>
        <v>29213.761662455061</v>
      </c>
      <c r="N12" s="1044">
        <f t="shared" si="0"/>
        <v>17328.552666105777</v>
      </c>
      <c r="O12" s="1045">
        <f t="shared" si="0"/>
        <v>-19580.042324794398</v>
      </c>
      <c r="P12" s="1045">
        <f t="shared" si="0"/>
        <v>-89859.709730135</v>
      </c>
      <c r="Q12" s="1045">
        <f t="shared" si="0"/>
        <v>-185704.55811215463</v>
      </c>
      <c r="R12" s="1045">
        <f t="shared" si="0"/>
        <v>-326311.062214203</v>
      </c>
      <c r="S12" s="1045">
        <f t="shared" si="0"/>
        <v>-509780.20387231617</v>
      </c>
    </row>
    <row r="13" spans="1:19" x14ac:dyDescent="0.2">
      <c r="A13" s="25"/>
      <c r="B13" s="296"/>
      <c r="C13" s="1046"/>
      <c r="D13" s="1046"/>
      <c r="E13" s="1046"/>
      <c r="F13" s="565"/>
      <c r="G13" s="565"/>
      <c r="H13" s="565"/>
      <c r="I13" s="565"/>
      <c r="J13" s="565"/>
      <c r="K13" s="565"/>
      <c r="L13" s="565"/>
      <c r="M13" s="565"/>
      <c r="N13" s="1047"/>
      <c r="O13" s="1048"/>
      <c r="P13" s="1048"/>
      <c r="Q13" s="1048"/>
      <c r="R13" s="1048"/>
      <c r="S13" s="1048"/>
    </row>
    <row r="14" spans="1:19" x14ac:dyDescent="0.2">
      <c r="A14" s="296"/>
      <c r="B14" s="296"/>
      <c r="C14" s="296"/>
      <c r="D14" s="296"/>
      <c r="E14" s="296"/>
      <c r="F14" s="301"/>
      <c r="G14" s="301"/>
      <c r="H14" s="301"/>
      <c r="I14" s="301"/>
      <c r="J14" s="301"/>
      <c r="K14" s="301"/>
      <c r="L14" s="301"/>
      <c r="M14" s="301"/>
      <c r="N14" s="1040"/>
      <c r="O14" s="1041"/>
      <c r="P14" s="1041"/>
      <c r="Q14" s="1041"/>
      <c r="R14" s="1041"/>
      <c r="S14" s="1041"/>
    </row>
    <row r="15" spans="1:19" x14ac:dyDescent="0.2">
      <c r="A15" s="12" t="s">
        <v>255</v>
      </c>
      <c r="B15" s="296"/>
      <c r="C15" s="296"/>
      <c r="D15" s="296"/>
      <c r="E15" s="296"/>
      <c r="F15" s="301"/>
      <c r="G15" s="301"/>
      <c r="H15" s="301"/>
      <c r="I15" s="301"/>
      <c r="J15" s="301"/>
      <c r="K15" s="301"/>
      <c r="L15" s="301"/>
      <c r="M15" s="301"/>
      <c r="N15" s="1040"/>
      <c r="O15" s="1041"/>
      <c r="P15" s="1041"/>
      <c r="Q15" s="1041"/>
      <c r="R15" s="1041"/>
      <c r="S15" s="1041"/>
    </row>
    <row r="16" spans="1:19" x14ac:dyDescent="0.2">
      <c r="A16" s="296" t="s">
        <v>252</v>
      </c>
      <c r="B16" s="296" t="s">
        <v>66</v>
      </c>
      <c r="C16" s="296"/>
      <c r="D16" s="296">
        <f t="shared" ref="D16:S16" si="1">+C12</f>
        <v>-101133.3330000001</v>
      </c>
      <c r="E16" s="296">
        <f t="shared" si="1"/>
        <v>-109431.27993125032</v>
      </c>
      <c r="F16" s="301">
        <f t="shared" si="1"/>
        <v>-112924.51668312575</v>
      </c>
      <c r="G16" s="301">
        <f t="shared" si="1"/>
        <v>-110894.09243500125</v>
      </c>
      <c r="H16" s="301">
        <f t="shared" si="1"/>
        <v>-125442.81207250088</v>
      </c>
      <c r="I16" s="301">
        <f t="shared" si="1"/>
        <v>-97885.878180600877</v>
      </c>
      <c r="J16" s="301">
        <f t="shared" si="1"/>
        <v>-63532.07730560092</v>
      </c>
      <c r="K16" s="301">
        <f t="shared" si="1"/>
        <v>-34886.589118101052</v>
      </c>
      <c r="L16" s="301">
        <f t="shared" si="1"/>
        <v>5413.5983818990644</v>
      </c>
      <c r="M16" s="301">
        <f t="shared" si="1"/>
        <v>25614.431631899159</v>
      </c>
      <c r="N16" s="1040">
        <f t="shared" si="1"/>
        <v>29213.761662455061</v>
      </c>
      <c r="O16" s="1041">
        <f t="shared" si="1"/>
        <v>17328.552666105777</v>
      </c>
      <c r="P16" s="1041">
        <f t="shared" si="1"/>
        <v>-19580.042324794398</v>
      </c>
      <c r="Q16" s="1041">
        <f t="shared" si="1"/>
        <v>-89859.709730135</v>
      </c>
      <c r="R16" s="1041">
        <f t="shared" si="1"/>
        <v>-185704.55811215463</v>
      </c>
      <c r="S16" s="1041">
        <f t="shared" si="1"/>
        <v>-326311.062214203</v>
      </c>
    </row>
    <row r="17" spans="1:19" x14ac:dyDescent="0.2">
      <c r="A17" s="296" t="s">
        <v>305</v>
      </c>
      <c r="B17" s="296" t="s">
        <v>283</v>
      </c>
      <c r="C17" s="296"/>
      <c r="D17" s="296">
        <f t="shared" ref="D17:S17" si="2">+D30</f>
        <v>70082.776068750012</v>
      </c>
      <c r="E17" s="296">
        <f t="shared" si="2"/>
        <v>77753.695748124985</v>
      </c>
      <c r="F17" s="301">
        <f t="shared" si="2"/>
        <v>92118.291748125004</v>
      </c>
      <c r="G17" s="301">
        <f t="shared" si="2"/>
        <v>94241.413862500005</v>
      </c>
      <c r="H17" s="301">
        <f t="shared" si="2"/>
        <v>153984.1288869</v>
      </c>
      <c r="I17" s="301">
        <f t="shared" si="2"/>
        <v>180283.80087499999</v>
      </c>
      <c r="J17" s="301">
        <f t="shared" si="2"/>
        <v>180714.53818750003</v>
      </c>
      <c r="K17" s="301">
        <f t="shared" si="2"/>
        <v>212991.73749999999</v>
      </c>
      <c r="L17" s="301">
        <f t="shared" si="2"/>
        <v>204938.03325000001</v>
      </c>
      <c r="M17" s="301">
        <f t="shared" si="2"/>
        <v>209042.42354660243</v>
      </c>
      <c r="N17" s="1040">
        <f t="shared" si="2"/>
        <v>197604.29100365061</v>
      </c>
      <c r="O17" s="1041">
        <f t="shared" si="2"/>
        <v>187287.78294361249</v>
      </c>
      <c r="P17" s="1041">
        <f t="shared" si="2"/>
        <v>172169.83436798383</v>
      </c>
      <c r="Q17" s="1041">
        <f t="shared" si="2"/>
        <v>166381.53690819463</v>
      </c>
      <c r="R17" s="1041">
        <f t="shared" si="2"/>
        <v>143047.82496699278</v>
      </c>
      <c r="S17" s="1041">
        <f t="shared" si="2"/>
        <v>123415.02309748527</v>
      </c>
    </row>
    <row r="18" spans="1:19" x14ac:dyDescent="0.2">
      <c r="A18" s="296" t="s">
        <v>251</v>
      </c>
      <c r="B18" s="296" t="s">
        <v>254</v>
      </c>
      <c r="C18" s="296"/>
      <c r="D18" s="950">
        <f>[3]Liability!D19+'[3]SP Liability'!D19</f>
        <v>-78381.091</v>
      </c>
      <c r="E18" s="950">
        <f>[3]Liability!E19+'[3]SP Liability'!E19</f>
        <v>-81246.747499999998</v>
      </c>
      <c r="F18" s="906">
        <f>[3]Liability!F19+'[3]SP Liability'!F19</f>
        <v>-90088.368499999997</v>
      </c>
      <c r="G18" s="906">
        <f>[3]Liability!G19+'[3]SP Liability'!G19</f>
        <v>-108790.13350000001</v>
      </c>
      <c r="H18" s="906">
        <f>[3]Liability!H19+'[3]SP Liability'!H19</f>
        <v>-126427.60475</v>
      </c>
      <c r="I18" s="906">
        <f>[3]Liability!I19+'[3]SP Liability'!I19</f>
        <v>-145930.5</v>
      </c>
      <c r="J18" s="906">
        <f>[3]Liability!J19+'[3]SP Liability'!J19</f>
        <v>-152069.04999999999</v>
      </c>
      <c r="K18" s="906">
        <f>[3]Liability!K19+'[3]SP Liability'!K19</f>
        <v>-172691.5</v>
      </c>
      <c r="L18" s="906">
        <f>[3]Liability!L19+'[3]SP Liability'!L19</f>
        <v>-184737.5</v>
      </c>
      <c r="M18" s="906">
        <f>[3]Liability!M19+'[3]SP Liability'!M19</f>
        <v>-205443.09351604682</v>
      </c>
      <c r="N18" s="1049">
        <f>[3]Liability!N19+'[3]SP Liability'!N19</f>
        <v>-209489.5</v>
      </c>
      <c r="O18" s="1050">
        <f>[3]Liability!O19+'[3]SP Liability'!O19</f>
        <v>-224196.37793451219</v>
      </c>
      <c r="P18" s="1050">
        <f>[3]Liability!P19+'[3]SP Liability'!P19</f>
        <v>-242449.50177332695</v>
      </c>
      <c r="Q18" s="1050">
        <f>[3]Liability!Q19+'[3]SP Liability'!Q19</f>
        <v>-262226.38529021479</v>
      </c>
      <c r="R18" s="1050">
        <f>[3]Liability!R19+'[3]SP Liability'!R19</f>
        <v>-283654.32906903949</v>
      </c>
      <c r="S18" s="1050">
        <f>[3]Liability!S19+'[3]SP Liability'!S19</f>
        <v>-306884.16475559905</v>
      </c>
    </row>
    <row r="19" spans="1:19" x14ac:dyDescent="0.2">
      <c r="A19" s="8" t="s">
        <v>253</v>
      </c>
      <c r="B19" s="8" t="s">
        <v>31</v>
      </c>
      <c r="C19" s="8"/>
      <c r="D19" s="21">
        <f t="shared" ref="D19:P19" si="3">SUM(D16:D18)</f>
        <v>-109431.64793125009</v>
      </c>
      <c r="E19" s="21">
        <f t="shared" si="3"/>
        <v>-112924.33168312533</v>
      </c>
      <c r="F19" s="140">
        <f t="shared" si="3"/>
        <v>-110894.59343500074</v>
      </c>
      <c r="G19" s="140">
        <f t="shared" si="3"/>
        <v>-125442.81207250126</v>
      </c>
      <c r="H19" s="140">
        <f t="shared" si="3"/>
        <v>-97886.287935600878</v>
      </c>
      <c r="I19" s="140">
        <f t="shared" si="3"/>
        <v>-63532.577305600891</v>
      </c>
      <c r="J19" s="140">
        <f t="shared" si="3"/>
        <v>-34886.589118100877</v>
      </c>
      <c r="K19" s="140">
        <f t="shared" si="3"/>
        <v>5413.6483818989363</v>
      </c>
      <c r="L19" s="140">
        <f t="shared" si="3"/>
        <v>25614.131631899072</v>
      </c>
      <c r="M19" s="140">
        <f t="shared" si="3"/>
        <v>29213.761662454752</v>
      </c>
      <c r="N19" s="1051">
        <f t="shared" si="3"/>
        <v>17328.552666105679</v>
      </c>
      <c r="O19" s="1052">
        <f t="shared" si="3"/>
        <v>-19580.042324793932</v>
      </c>
      <c r="P19" s="1052">
        <f t="shared" si="3"/>
        <v>-89859.709730137518</v>
      </c>
      <c r="Q19" s="1052">
        <f t="shared" ref="Q19:S19" si="4">SUM(Q16:Q18)</f>
        <v>-185704.55811215518</v>
      </c>
      <c r="R19" s="1052">
        <f t="shared" si="4"/>
        <v>-326311.06221420132</v>
      </c>
      <c r="S19" s="1052">
        <f t="shared" si="4"/>
        <v>-509780.20387231675</v>
      </c>
    </row>
    <row r="20" spans="1:19" x14ac:dyDescent="0.2">
      <c r="A20" s="296" t="s">
        <v>217</v>
      </c>
      <c r="B20" s="296"/>
      <c r="C20" s="296"/>
      <c r="D20" s="1053">
        <f t="shared" ref="D20:S20" si="5">D12-D19</f>
        <v>0.36799999976938125</v>
      </c>
      <c r="E20" s="1053">
        <f t="shared" si="5"/>
        <v>-0.18500000041967724</v>
      </c>
      <c r="F20" s="1054">
        <f t="shared" si="5"/>
        <v>0.50099999949452467</v>
      </c>
      <c r="G20" s="1054">
        <f t="shared" si="5"/>
        <v>3.7834979593753815E-10</v>
      </c>
      <c r="H20" s="1054">
        <f t="shared" si="5"/>
        <v>0.40975500000058673</v>
      </c>
      <c r="I20" s="1054">
        <f t="shared" si="5"/>
        <v>0.49999999997089617</v>
      </c>
      <c r="J20" s="1054">
        <f>J12-J19</f>
        <v>-1.7462298274040222E-10</v>
      </c>
      <c r="K20" s="1054">
        <f t="shared" si="5"/>
        <v>-4.9999999871943146E-2</v>
      </c>
      <c r="L20" s="1054">
        <f t="shared" si="5"/>
        <v>0.3000000000865839</v>
      </c>
      <c r="M20" s="1054">
        <f t="shared" si="5"/>
        <v>3.092281986027956E-10</v>
      </c>
      <c r="N20" s="1055">
        <f t="shared" si="5"/>
        <v>9.822542779147625E-11</v>
      </c>
      <c r="O20" s="1056">
        <f t="shared" si="5"/>
        <v>-4.6566128730773926E-10</v>
      </c>
      <c r="P20" s="1056">
        <f t="shared" si="5"/>
        <v>2.5174813345074654E-9</v>
      </c>
      <c r="Q20" s="1056">
        <f t="shared" si="5"/>
        <v>5.5297277867794037E-10</v>
      </c>
      <c r="R20" s="1056">
        <f t="shared" si="5"/>
        <v>-1.6880221664905548E-9</v>
      </c>
      <c r="S20" s="1056">
        <f t="shared" si="5"/>
        <v>5.8207660913467407E-10</v>
      </c>
    </row>
    <row r="21" spans="1:19" x14ac:dyDescent="0.2">
      <c r="A21" s="296"/>
      <c r="B21" s="296"/>
      <c r="C21" s="296"/>
      <c r="D21" s="296"/>
      <c r="E21" s="296"/>
      <c r="F21" s="301"/>
      <c r="G21" s="301"/>
      <c r="H21" s="301"/>
      <c r="I21" s="301"/>
      <c r="J21" s="301"/>
      <c r="K21" s="301"/>
      <c r="L21" s="301"/>
      <c r="M21" s="301"/>
      <c r="N21" s="1040"/>
      <c r="O21" s="1041"/>
      <c r="P21" s="1041"/>
      <c r="Q21" s="1041"/>
      <c r="R21" s="1041"/>
      <c r="S21" s="1041"/>
    </row>
    <row r="22" spans="1:19" x14ac:dyDescent="0.2">
      <c r="A22" s="12" t="s">
        <v>614</v>
      </c>
      <c r="B22" s="296"/>
      <c r="C22" s="296"/>
      <c r="D22" s="296"/>
      <c r="E22" s="296"/>
      <c r="F22" s="301"/>
      <c r="G22" s="301"/>
      <c r="H22" s="301"/>
      <c r="I22" s="301"/>
      <c r="J22" s="301"/>
      <c r="K22" s="301"/>
      <c r="L22" s="301"/>
      <c r="M22" s="301"/>
      <c r="N22" s="1040"/>
      <c r="O22" s="1041"/>
      <c r="P22" s="1041"/>
      <c r="Q22" s="1041"/>
      <c r="R22" s="1041"/>
      <c r="S22" s="1041"/>
    </row>
    <row r="23" spans="1:19" x14ac:dyDescent="0.2">
      <c r="A23" s="296"/>
      <c r="B23" s="296"/>
      <c r="C23" s="296"/>
      <c r="D23" s="296"/>
      <c r="E23" s="296"/>
      <c r="F23" s="301"/>
      <c r="G23" s="301"/>
      <c r="H23" s="301"/>
      <c r="I23" s="301"/>
      <c r="J23" s="301"/>
      <c r="K23" s="301"/>
      <c r="L23" s="301"/>
      <c r="M23" s="301"/>
      <c r="N23" s="1040"/>
      <c r="O23" s="1041"/>
      <c r="P23" s="1041"/>
      <c r="Q23" s="1041"/>
      <c r="R23" s="1041"/>
      <c r="S23" s="1041"/>
    </row>
    <row r="24" spans="1:19" x14ac:dyDescent="0.2">
      <c r="A24" s="296" t="s">
        <v>218</v>
      </c>
      <c r="B24" s="296" t="s">
        <v>254</v>
      </c>
      <c r="C24" s="296"/>
      <c r="D24" s="296">
        <f>[3]Expense!C10+'[3]SP Expense'!C10</f>
        <v>76902.062000000005</v>
      </c>
      <c r="E24" s="296">
        <f>[3]Expense!D10+'[3]SP Expense'!D10</f>
        <v>82415.668999999994</v>
      </c>
      <c r="F24" s="301">
        <f>[3]Expense!E10+'[3]SP Expense'!E10</f>
        <v>85000</v>
      </c>
      <c r="G24" s="301">
        <f>[3]Expense!F10+'[3]SP Expense'!F10</f>
        <v>97900</v>
      </c>
      <c r="H24" s="301">
        <f>[3]Expense!G10+'[3]SP Expense'!G10</f>
        <v>105450</v>
      </c>
      <c r="I24" s="301">
        <f>[3]Expense!H10+'[3]SP Expense'!H10</f>
        <v>107150</v>
      </c>
      <c r="J24" s="301">
        <f>[3]Expense!I10+'[3]SP Expense'!I10</f>
        <v>118350</v>
      </c>
      <c r="K24" s="301">
        <f>[3]Expense!J10+'[3]SP Expense'!J10</f>
        <v>113250</v>
      </c>
      <c r="L24" s="301">
        <f>[3]Expense!K10+'[3]SP Expense'!K10</f>
        <v>118950</v>
      </c>
      <c r="M24" s="301">
        <f>[3]Expense!L10+'[3]SP Expense'!L10</f>
        <v>124550</v>
      </c>
      <c r="N24" s="1040">
        <f>[3]Expense!M10+'[3]SP Expense'!M10</f>
        <v>127150</v>
      </c>
      <c r="O24" s="1041">
        <f>[3]Expense!N10+'[3]SP Expense'!N10</f>
        <v>137100</v>
      </c>
      <c r="P24" s="1041">
        <f>[3]Expense!O10+'[3]SP Expense'!O10</f>
        <v>147418.13890842311</v>
      </c>
      <c r="Q24" s="1041">
        <f>[3]Expense!P10+'[3]SP Expense'!P10</f>
        <v>158512.82041738241</v>
      </c>
      <c r="R24" s="1041">
        <f>[3]Expense!Q10+'[3]SP Expense'!Q10</f>
        <v>170442.4870828272</v>
      </c>
      <c r="S24" s="1041">
        <f>[3]Expense!R10+'[3]SP Expense'!R10</f>
        <v>185053.62928331978</v>
      </c>
    </row>
    <row r="25" spans="1:19" x14ac:dyDescent="0.2">
      <c r="A25" s="296" t="s">
        <v>615</v>
      </c>
      <c r="B25" s="296" t="s">
        <v>613</v>
      </c>
      <c r="C25" s="296"/>
      <c r="D25" s="296">
        <f>[3]Expense!C11+'[3]SP Expense'!C11</f>
        <v>0</v>
      </c>
      <c r="E25" s="296">
        <f>[3]Expense!D11+'[3]SP Expense'!D11</f>
        <v>1681</v>
      </c>
      <c r="F25" s="301">
        <f>[3]Expense!E11+'[3]SP Expense'!E11</f>
        <v>9351</v>
      </c>
      <c r="G25" s="301">
        <f>[3]Expense!F11+'[3]SP Expense'!F11</f>
        <v>3352</v>
      </c>
      <c r="H25" s="301">
        <f>[3]Expense!G11+'[3]SP Expense'!G11</f>
        <v>35245.5</v>
      </c>
      <c r="I25" s="301">
        <f>[3]Expense!H11+'[3]SP Expense'!H11</f>
        <v>51143.5</v>
      </c>
      <c r="J25" s="301">
        <f>[3]Expense!I11+'[3]SP Expense'!I11</f>
        <v>45368</v>
      </c>
      <c r="K25" s="301">
        <f>[3]Expense!J11+'[3]SP Expense'!J11</f>
        <v>68788</v>
      </c>
      <c r="L25" s="301">
        <f>[3]Expense!K11+'[3]SP Expense'!K11</f>
        <v>61839.5</v>
      </c>
      <c r="M25" s="301">
        <f>[3]Expense!L11+'[3]SP Expense'!L11</f>
        <v>62744</v>
      </c>
      <c r="N25" s="1040">
        <f>[3]Expense!M11+'[3]SP Expense'!M11</f>
        <v>56849.5</v>
      </c>
      <c r="O25" s="1041">
        <f>[3]Expense!N11+'[3]SP Expense'!N11</f>
        <v>46137.5</v>
      </c>
      <c r="P25" s="1041">
        <f>[3]Expense!O11+'[3]SP Expense'!O11</f>
        <v>33315</v>
      </c>
      <c r="Q25" s="1041">
        <f>[3]Expense!P11+'[3]SP Expense'!P11</f>
        <v>28983.281156973193</v>
      </c>
      <c r="R25" s="1041">
        <f>[3]Expense!Q11+'[3]SP Expense'!Q11</f>
        <v>4459.2219561652219</v>
      </c>
      <c r="S25" s="1041">
        <f>[3]Expense!R11+'[3]SP Expense'!R11</f>
        <v>-20202.327684907486</v>
      </c>
    </row>
    <row r="26" spans="1:19" x14ac:dyDescent="0.2">
      <c r="A26" s="296" t="s">
        <v>221</v>
      </c>
      <c r="B26" s="296" t="s">
        <v>616</v>
      </c>
      <c r="C26" s="296"/>
      <c r="D26" s="296">
        <f>[3]Expense!C12+'[3]SP Expense'!C12</f>
        <v>-6819.2859312499913</v>
      </c>
      <c r="E26" s="296">
        <f>[3]Expense!D12+'[3]SP Expense'!D12</f>
        <v>-6264.9732518750043</v>
      </c>
      <c r="F26" s="301">
        <f>[3]Expense!E12+'[3]SP Expense'!E12</f>
        <v>-2073.7082518749953</v>
      </c>
      <c r="G26" s="301">
        <f>[3]Expense!F12+'[3]SP Expense'!F12</f>
        <v>-6851.5861374999968</v>
      </c>
      <c r="H26" s="301">
        <f>[3]Expense!G12+'[3]SP Expense'!G12</f>
        <v>13447.628886900004</v>
      </c>
      <c r="I26" s="301">
        <f>[3]Expense!H12+'[3]SP Expense'!H12</f>
        <v>22149.300874999997</v>
      </c>
      <c r="J26" s="301">
        <f>[3]Expense!I12+'[3]SP Expense'!I12</f>
        <v>17153.53818750002</v>
      </c>
      <c r="K26" s="301">
        <f>[3]Expense!J12+'[3]SP Expense'!J12</f>
        <v>31112.737499999992</v>
      </c>
      <c r="L26" s="301">
        <f>[3]Expense!K12+'[3]SP Expense'!K12</f>
        <v>24307.533250000011</v>
      </c>
      <c r="M26" s="301">
        <f>[3]Expense!L12+'[3]SP Expense'!L12</f>
        <v>21793.586148228453</v>
      </c>
      <c r="N26" s="1040">
        <f>[3]Expense!M12+'[3]SP Expense'!M12</f>
        <v>13515.818359374982</v>
      </c>
      <c r="O26" s="1041">
        <f>[3]Expense!N12+'[3]SP Expense'!N12</f>
        <v>3799.8340219646166</v>
      </c>
      <c r="P26" s="1041">
        <f>[3]Expense!O12+'[3]SP Expense'!O12</f>
        <v>-8852.7534620871738</v>
      </c>
      <c r="Q26" s="1041">
        <f>[3]Expense!P12+'[3]SP Expense'!P12</f>
        <v>-21404.013587808859</v>
      </c>
      <c r="R26" s="1041">
        <f>[3]Expense!Q12+'[3]SP Expense'!Q12</f>
        <v>-32143.33299364752</v>
      </c>
      <c r="S26" s="1041">
        <f>[3]Expense!R12+'[3]SP Expense'!R12</f>
        <v>-41725.727422574921</v>
      </c>
    </row>
    <row r="27" spans="1:19" x14ac:dyDescent="0.2">
      <c r="A27" s="296" t="s">
        <v>222</v>
      </c>
      <c r="B27" s="296" t="s">
        <v>254</v>
      </c>
      <c r="C27" s="296"/>
      <c r="D27" s="296">
        <f>[3]Expense!C13+'[3]SP Expense'!C13</f>
        <v>0</v>
      </c>
      <c r="E27" s="296">
        <f>[3]Expense!D13+'[3]SP Expense'!D13</f>
        <v>0</v>
      </c>
      <c r="F27" s="301">
        <f>[3]Expense!E13+'[3]SP Expense'!E13</f>
        <v>0</v>
      </c>
      <c r="G27" s="301">
        <f>[3]Expense!F13+'[3]SP Expense'!F13</f>
        <v>0</v>
      </c>
      <c r="H27" s="301">
        <f>[3]Expense!G13+'[3]SP Expense'!G13</f>
        <v>0</v>
      </c>
      <c r="I27" s="301">
        <f>[3]Expense!H13+'[3]SP Expense'!H13</f>
        <v>0</v>
      </c>
      <c r="J27" s="301">
        <f>[3]Expense!I13+'[3]SP Expense'!I13</f>
        <v>0</v>
      </c>
      <c r="K27" s="301">
        <f>[3]Expense!J13+'[3]SP Expense'!J13</f>
        <v>0</v>
      </c>
      <c r="L27" s="301">
        <f>[3]Expense!K13+'[3]SP Expense'!K13</f>
        <v>0</v>
      </c>
      <c r="M27" s="301">
        <f>[3]Expense!L13+'[3]SP Expense'!L13</f>
        <v>0</v>
      </c>
      <c r="N27" s="1040">
        <f>[3]Expense!M13+'[3]SP Expense'!M13</f>
        <v>0</v>
      </c>
      <c r="O27" s="1041">
        <f>[3]Expense!N13+'[3]SP Expense'!N13</f>
        <v>0</v>
      </c>
      <c r="P27" s="1041">
        <f>[3]Expense!O13+'[3]SP Expense'!O13</f>
        <v>0</v>
      </c>
      <c r="Q27" s="1041">
        <f>[3]Expense!P13+'[3]SP Expense'!P13</f>
        <v>0</v>
      </c>
      <c r="R27" s="1041">
        <f>[3]Expense!Q13+'[3]SP Expense'!Q13</f>
        <v>0</v>
      </c>
      <c r="S27" s="1041">
        <f>[3]Expense!R13+'[3]SP Expense'!R13</f>
        <v>0</v>
      </c>
    </row>
    <row r="28" spans="1:19" x14ac:dyDescent="0.2">
      <c r="A28" s="296" t="s">
        <v>247</v>
      </c>
      <c r="B28" s="296" t="s">
        <v>613</v>
      </c>
      <c r="C28" s="296"/>
      <c r="D28" s="296">
        <f>[3]Expense!C14+'[3]SP Expense'!C14</f>
        <v>0</v>
      </c>
      <c r="E28" s="296">
        <f>[3]Expense!D14+'[3]SP Expense'!D14</f>
        <v>0</v>
      </c>
      <c r="F28" s="301">
        <f>[3]Expense!E14+'[3]SP Expense'!E14</f>
        <v>0</v>
      </c>
      <c r="G28" s="301">
        <f>[3]Expense!F14+'[3]SP Expense'!F14</f>
        <v>0</v>
      </c>
      <c r="H28" s="301">
        <f>[3]Expense!G14+'[3]SP Expense'!G14</f>
        <v>0</v>
      </c>
      <c r="I28" s="301">
        <f>[3]Expense!H14+'[3]SP Expense'!H14</f>
        <v>0</v>
      </c>
      <c r="J28" s="301">
        <f>[3]Expense!I14+'[3]SP Expense'!I14</f>
        <v>0</v>
      </c>
      <c r="K28" s="301">
        <f>[3]Expense!J14+'[3]SP Expense'!J14</f>
        <v>0</v>
      </c>
      <c r="L28" s="301">
        <f>[3]Expense!K14+'[3]SP Expense'!K14</f>
        <v>0</v>
      </c>
      <c r="M28" s="301">
        <f>[3]Expense!L14+'[3]SP Expense'!L14</f>
        <v>0</v>
      </c>
      <c r="N28" s="1040">
        <f>[3]Expense!M14+'[3]SP Expense'!M14</f>
        <v>0</v>
      </c>
      <c r="O28" s="1041">
        <f>[3]Expense!N14+'[3]SP Expense'!N14</f>
        <v>0</v>
      </c>
      <c r="P28" s="1041">
        <f>[3]Expense!O14+'[3]SP Expense'!O14</f>
        <v>0</v>
      </c>
      <c r="Q28" s="1041">
        <f>[3]Expense!P14+'[3]SP Expense'!P14</f>
        <v>0</v>
      </c>
      <c r="R28" s="1041">
        <f>[3]Expense!Q14+'[3]SP Expense'!Q14</f>
        <v>0</v>
      </c>
      <c r="S28" s="1041">
        <f>[3]Expense!R14+'[3]SP Expense'!R14</f>
        <v>0</v>
      </c>
    </row>
    <row r="29" spans="1:19" x14ac:dyDescent="0.2">
      <c r="A29" s="296" t="s">
        <v>237</v>
      </c>
      <c r="B29" s="296"/>
      <c r="C29" s="296"/>
      <c r="D29" s="296">
        <f>[3]Expense!C15+'[3]SP Expense'!C15</f>
        <v>0</v>
      </c>
      <c r="E29" s="296">
        <f>[3]Expense!D15+'[3]SP Expense'!D15</f>
        <v>-78</v>
      </c>
      <c r="F29" s="301">
        <f>[3]Expense!E15+'[3]SP Expense'!E15</f>
        <v>-159</v>
      </c>
      <c r="G29" s="301">
        <f>[3]Expense!F15+'[3]SP Expense'!F15</f>
        <v>-159</v>
      </c>
      <c r="H29" s="301">
        <f>[3]Expense!G15+'[3]SP Expense'!G15</f>
        <v>-159</v>
      </c>
      <c r="I29" s="301">
        <f>[3]Expense!H15+'[3]SP Expense'!H15</f>
        <v>-159</v>
      </c>
      <c r="J29" s="301">
        <f>[3]Expense!I15+'[3]SP Expense'!I15</f>
        <v>-157</v>
      </c>
      <c r="K29" s="301">
        <f>[3]Expense!J15+'[3]SP Expense'!J15</f>
        <v>-159</v>
      </c>
      <c r="L29" s="301">
        <f>[3]Expense!K15+'[3]SP Expense'!K15</f>
        <v>-159</v>
      </c>
      <c r="M29" s="301">
        <f>[3]Expense!L15+'[3]SP Expense'!L15</f>
        <v>-45.162601626016269</v>
      </c>
      <c r="N29" s="1040">
        <f>[3]Expense!M15+'[3]SP Expense'!M15</f>
        <v>88.972644275623082</v>
      </c>
      <c r="O29" s="1041">
        <f>[3]Expense!N15+'[3]SP Expense'!N15</f>
        <v>250.44892164788587</v>
      </c>
      <c r="P29" s="1041">
        <f>[3]Expense!O15+'[3]SP Expense'!O15</f>
        <v>289.44892164788587</v>
      </c>
      <c r="Q29" s="1041">
        <f>[3]Expense!P15+'[3]SP Expense'!P15</f>
        <v>289.44892164788587</v>
      </c>
      <c r="R29" s="1041">
        <f>[3]Expense!Q15+'[3]SP Expense'!Q15</f>
        <v>289.44892164788587</v>
      </c>
      <c r="S29" s="1041">
        <f>[3]Expense!R15+'[3]SP Expense'!R15</f>
        <v>289.44892164788587</v>
      </c>
    </row>
    <row r="30" spans="1:19" ht="13.5" thickBot="1" x14ac:dyDescent="0.25">
      <c r="A30" s="25" t="s">
        <v>220</v>
      </c>
      <c r="B30" s="296" t="s">
        <v>241</v>
      </c>
      <c r="C30" s="1057">
        <f>SUM(C24:C29)</f>
        <v>0</v>
      </c>
      <c r="D30" s="1057">
        <f t="shared" ref="D30:S30" si="6">SUM(D24:D29)</f>
        <v>70082.776068750012</v>
      </c>
      <c r="E30" s="1057">
        <f t="shared" si="6"/>
        <v>77753.695748124985</v>
      </c>
      <c r="F30" s="331">
        <f t="shared" si="6"/>
        <v>92118.291748125004</v>
      </c>
      <c r="G30" s="331">
        <f t="shared" si="6"/>
        <v>94241.413862500005</v>
      </c>
      <c r="H30" s="331">
        <f t="shared" si="6"/>
        <v>153984.1288869</v>
      </c>
      <c r="I30" s="331">
        <f t="shared" si="6"/>
        <v>180283.80087499999</v>
      </c>
      <c r="J30" s="331">
        <f t="shared" si="6"/>
        <v>180714.53818750003</v>
      </c>
      <c r="K30" s="331">
        <f t="shared" si="6"/>
        <v>212991.73749999999</v>
      </c>
      <c r="L30" s="331">
        <f t="shared" si="6"/>
        <v>204938.03325000001</v>
      </c>
      <c r="M30" s="331">
        <f t="shared" si="6"/>
        <v>209042.42354660243</v>
      </c>
      <c r="N30" s="1058">
        <f t="shared" si="6"/>
        <v>197604.29100365061</v>
      </c>
      <c r="O30" s="1059">
        <f t="shared" si="6"/>
        <v>187287.78294361249</v>
      </c>
      <c r="P30" s="1059">
        <f t="shared" si="6"/>
        <v>172169.83436798383</v>
      </c>
      <c r="Q30" s="1059">
        <f t="shared" si="6"/>
        <v>166381.53690819463</v>
      </c>
      <c r="R30" s="1059">
        <f t="shared" si="6"/>
        <v>143047.82496699278</v>
      </c>
      <c r="S30" s="1059">
        <f t="shared" si="6"/>
        <v>123415.02309748527</v>
      </c>
    </row>
    <row r="31" spans="1:19" ht="13.5" thickTop="1" x14ac:dyDescent="0.2">
      <c r="A31" s="614"/>
      <c r="B31" s="614"/>
      <c r="C31" s="614"/>
      <c r="D31" s="614"/>
      <c r="E31" s="614"/>
      <c r="F31" s="887"/>
      <c r="G31" s="887"/>
      <c r="H31" s="887"/>
      <c r="I31" s="887"/>
      <c r="J31" s="887"/>
      <c r="K31" s="887"/>
      <c r="L31" s="887"/>
      <c r="M31" s="887"/>
      <c r="N31" s="980"/>
      <c r="O31" s="1039"/>
      <c r="P31" s="1039"/>
      <c r="Q31" s="1039"/>
    </row>
    <row r="32" spans="1:19" x14ac:dyDescent="0.2">
      <c r="A32" s="614"/>
      <c r="B32" s="614"/>
      <c r="C32" s="614"/>
      <c r="D32" s="614"/>
      <c r="E32" s="614"/>
      <c r="F32" s="887"/>
      <c r="G32" s="887"/>
      <c r="H32" s="887"/>
      <c r="I32" s="887"/>
      <c r="J32" s="887"/>
      <c r="K32" s="887"/>
      <c r="L32" s="887"/>
      <c r="M32" s="887"/>
      <c r="N32" s="980"/>
      <c r="O32" s="1039"/>
      <c r="P32" s="1039"/>
      <c r="Q32" s="1039"/>
    </row>
    <row r="33" spans="1:17" x14ac:dyDescent="0.2">
      <c r="A33" s="614"/>
      <c r="B33" s="614"/>
      <c r="C33" s="614"/>
      <c r="D33" s="614"/>
      <c r="E33" s="614"/>
      <c r="F33" s="887"/>
      <c r="G33" s="887"/>
      <c r="H33" s="887"/>
      <c r="I33" s="887"/>
      <c r="J33" s="887"/>
      <c r="K33" s="887"/>
      <c r="L33" s="887"/>
      <c r="M33" s="887"/>
      <c r="N33" s="980"/>
      <c r="O33" s="1039"/>
      <c r="P33" s="1039"/>
      <c r="Q33" s="1039"/>
    </row>
    <row r="34" spans="1:17" x14ac:dyDescent="0.2">
      <c r="A34" s="614"/>
      <c r="B34" s="614"/>
      <c r="C34" s="614"/>
      <c r="D34" s="614"/>
      <c r="E34" s="614"/>
      <c r="F34" s="887"/>
      <c r="G34" s="887"/>
      <c r="H34" s="887"/>
      <c r="I34" s="887"/>
      <c r="J34" s="887"/>
      <c r="K34" s="887"/>
      <c r="L34" s="887"/>
      <c r="M34" s="887"/>
      <c r="N34" s="980"/>
      <c r="O34" s="1039"/>
      <c r="P34" s="1039"/>
      <c r="Q34" s="1039"/>
    </row>
  </sheetData>
  <pageMargins left="0.37" right="0.31" top="0.47" bottom="0.61" header="0.19" footer="0.28999999999999998"/>
  <pageSetup paperSize="5" scale="64" orientation="landscape" r:id="rId1"/>
  <headerFooter alignWithMargins="0">
    <oddFooter>&amp;L&amp;F &amp;C&amp;A&amp;R&amp;D  &amp;T</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AF52"/>
  <sheetViews>
    <sheetView workbookViewId="0">
      <pane xSplit="2" ySplit="4" topLeftCell="W5" activePane="bottomRight" state="frozen"/>
      <selection activeCell="W18" sqref="W18"/>
      <selection pane="topRight" activeCell="W18" sqref="W18"/>
      <selection pane="bottomLeft" activeCell="W18" sqref="W18"/>
      <selection pane="bottomRight" activeCell="X21" sqref="X21"/>
    </sheetView>
  </sheetViews>
  <sheetFormatPr defaultRowHeight="12.75" outlineLevelCol="1" x14ac:dyDescent="0.2"/>
  <cols>
    <col min="1" max="1" width="48.140625" customWidth="1"/>
    <col min="2" max="2" width="20.28515625" customWidth="1"/>
    <col min="3" max="4" width="9.140625" hidden="1" customWidth="1"/>
    <col min="5" max="5" width="8.85546875" hidden="1" customWidth="1"/>
    <col min="6" max="6" width="11.5703125" hidden="1" customWidth="1"/>
    <col min="7" max="13" width="11.5703125" hidden="1" customWidth="1" outlineLevel="1"/>
    <col min="14" max="14" width="11" hidden="1" customWidth="1" outlineLevel="1"/>
    <col min="15" max="16" width="9.140625" hidden="1" customWidth="1" outlineLevel="1"/>
    <col min="17" max="17" width="9.140625" style="115" hidden="1" customWidth="1" outlineLevel="1"/>
    <col min="18" max="18" width="15" style="115" hidden="1" customWidth="1" outlineLevel="1"/>
    <col min="19" max="19" width="14.7109375" style="115" hidden="1" customWidth="1" outlineLevel="1"/>
    <col min="20" max="20" width="15.28515625" style="115" hidden="1" customWidth="1" outlineLevel="1"/>
    <col min="21" max="21" width="15" style="115" customWidth="1" collapsed="1"/>
    <col min="22" max="22" width="14.42578125" style="115" customWidth="1"/>
    <col min="23" max="25" width="18.28515625" style="115" bestFit="1" customWidth="1"/>
    <col min="26" max="27" width="16.42578125" style="115" bestFit="1" customWidth="1"/>
    <col min="28" max="28" width="17.7109375" style="338" bestFit="1" customWidth="1"/>
    <col min="29" max="31" width="17.7109375" style="76" customWidth="1" outlineLevel="1"/>
    <col min="32" max="32" width="19.5703125" style="238" customWidth="1" outlineLevel="1"/>
    <col min="33" max="16384" width="9.140625" style="115"/>
  </cols>
  <sheetData>
    <row r="1" spans="1:32" ht="15.75" x14ac:dyDescent="0.25">
      <c r="A1" s="18" t="s">
        <v>278</v>
      </c>
    </row>
    <row r="2" spans="1:32" x14ac:dyDescent="0.2">
      <c r="A2" s="2" t="s">
        <v>279</v>
      </c>
    </row>
    <row r="3" spans="1:32" x14ac:dyDescent="0.2">
      <c r="Z3" s="339" t="s">
        <v>178</v>
      </c>
      <c r="AA3" s="339" t="s">
        <v>294</v>
      </c>
      <c r="AB3" s="337" t="s">
        <v>309</v>
      </c>
      <c r="AC3" s="309" t="s">
        <v>315</v>
      </c>
      <c r="AD3" s="309" t="s">
        <v>316</v>
      </c>
      <c r="AE3" s="309" t="s">
        <v>317</v>
      </c>
      <c r="AF3" s="310" t="s">
        <v>318</v>
      </c>
    </row>
    <row r="4" spans="1:32" s="214" customFormat="1" ht="13.5" thickBot="1" x14ac:dyDescent="0.25">
      <c r="A4" s="19" t="s">
        <v>1</v>
      </c>
      <c r="B4" s="20" t="s">
        <v>26</v>
      </c>
      <c r="C4" s="20">
        <v>1990</v>
      </c>
      <c r="D4" s="20">
        <v>1991</v>
      </c>
      <c r="E4" s="20">
        <v>1992</v>
      </c>
      <c r="F4" s="20">
        <v>1993</v>
      </c>
      <c r="G4" s="20">
        <v>1994</v>
      </c>
      <c r="H4" s="20">
        <v>1995</v>
      </c>
      <c r="I4" s="20">
        <v>1996</v>
      </c>
      <c r="J4" s="20">
        <v>1997</v>
      </c>
      <c r="K4" s="20">
        <v>1998</v>
      </c>
      <c r="L4" s="20">
        <v>1999</v>
      </c>
      <c r="M4" s="20">
        <v>2000</v>
      </c>
      <c r="N4" s="20">
        <v>2001</v>
      </c>
      <c r="O4" s="20">
        <v>2002</v>
      </c>
      <c r="P4" s="20">
        <v>2003</v>
      </c>
      <c r="Q4" s="116">
        <v>2004</v>
      </c>
      <c r="R4" s="116">
        <v>2005</v>
      </c>
      <c r="S4" s="116">
        <v>2006</v>
      </c>
      <c r="T4" s="116">
        <v>2007</v>
      </c>
      <c r="U4" s="116">
        <v>2008</v>
      </c>
      <c r="V4" s="116">
        <v>2009</v>
      </c>
      <c r="W4" s="116">
        <v>2010</v>
      </c>
      <c r="X4" s="116">
        <v>2011</v>
      </c>
      <c r="Y4" s="116">
        <v>2012</v>
      </c>
      <c r="Z4" s="116">
        <v>2013</v>
      </c>
      <c r="AA4" s="116">
        <v>2014</v>
      </c>
      <c r="AB4" s="342">
        <v>2015</v>
      </c>
      <c r="AC4" s="77">
        <v>2016</v>
      </c>
      <c r="AD4" s="77">
        <v>2017</v>
      </c>
      <c r="AE4" s="77">
        <v>2018</v>
      </c>
      <c r="AF4" s="239">
        <v>2019</v>
      </c>
    </row>
    <row r="6" spans="1:32" s="121" customFormat="1" x14ac:dyDescent="0.2">
      <c r="A6" s="12" t="s">
        <v>280</v>
      </c>
      <c r="B6" s="3"/>
      <c r="C6" s="3"/>
      <c r="D6" s="3"/>
      <c r="E6" s="3"/>
      <c r="F6" s="3"/>
      <c r="G6" s="3"/>
      <c r="H6" s="3"/>
      <c r="I6" s="3"/>
      <c r="J6" s="3"/>
      <c r="K6" s="3"/>
      <c r="L6" s="3"/>
      <c r="M6" s="3"/>
      <c r="N6" s="3"/>
      <c r="O6" s="3"/>
      <c r="P6" s="3"/>
      <c r="AB6" s="345"/>
      <c r="AC6" s="79"/>
      <c r="AD6" s="79"/>
      <c r="AE6" s="79"/>
      <c r="AF6" s="240"/>
    </row>
    <row r="7" spans="1:32" s="121" customFormat="1" x14ac:dyDescent="0.2">
      <c r="A7" s="3"/>
      <c r="B7" s="3"/>
      <c r="C7" s="3"/>
      <c r="D7" s="3"/>
      <c r="E7" s="3"/>
      <c r="F7" s="3"/>
      <c r="G7" s="3"/>
      <c r="H7" s="3"/>
      <c r="I7" s="3"/>
      <c r="J7" s="3"/>
      <c r="K7" s="3"/>
      <c r="L7" s="3"/>
      <c r="M7" s="3"/>
      <c r="N7" s="3"/>
      <c r="O7" s="3"/>
      <c r="P7" s="3"/>
      <c r="AB7" s="345"/>
      <c r="AC7" s="79"/>
      <c r="AD7" s="79"/>
      <c r="AE7" s="79"/>
      <c r="AF7" s="240"/>
    </row>
    <row r="8" spans="1:32" s="121" customFormat="1" x14ac:dyDescent="0.2">
      <c r="A8" s="3" t="s">
        <v>197</v>
      </c>
      <c r="B8" s="3" t="s">
        <v>281</v>
      </c>
      <c r="C8" s="3">
        <f>'OTPP excluding (RCA) liability'!C8</f>
        <v>12195.5</v>
      </c>
      <c r="D8" s="3">
        <f>'OTPP excluding (RCA) liability'!D8</f>
        <v>13739.5</v>
      </c>
      <c r="E8" s="3">
        <f>'OTPP excluding (RCA) liability'!E8</f>
        <v>15390.5</v>
      </c>
      <c r="F8" s="3">
        <f>'OTPP excluding (RCA) liability'!F8</f>
        <v>16999</v>
      </c>
      <c r="G8" s="3">
        <f>'OTPP excluding (RCA) liability'!G8</f>
        <v>18424</v>
      </c>
      <c r="H8" s="3">
        <f>'OTPP excluding (RCA) liability'!H8</f>
        <v>19503.5</v>
      </c>
      <c r="I8" s="3">
        <f>'OTPP excluding (RCA) liability'!I8</f>
        <v>20916.5</v>
      </c>
      <c r="J8" s="3">
        <f>'OTPP excluding (RCA) liability'!J8</f>
        <v>23235</v>
      </c>
      <c r="K8" s="3">
        <f>'OTPP excluding (RCA) liability'!K8+'RCA liab'!F8</f>
        <v>24460.5</v>
      </c>
      <c r="L8" s="3">
        <f>'OTPP excluding (RCA) liability'!L8+'RCA liab'!G8</f>
        <v>25292.5</v>
      </c>
      <c r="M8" s="3">
        <f>'OTPP excluding (RCA) liability'!M8+'RCA liab'!H8</f>
        <v>27696.5</v>
      </c>
      <c r="N8" s="3">
        <f>'OTPP excluding (RCA) liability'!N8+'RCA liab'!I8</f>
        <v>32365</v>
      </c>
      <c r="O8" s="3">
        <f>'OTPP excluding (RCA) liability'!O8+'RCA liab'!J8</f>
        <v>33897</v>
      </c>
      <c r="P8" s="3">
        <f>'OTPP excluding (RCA) liability'!P8+'RCA liab'!K8</f>
        <v>35583.5</v>
      </c>
      <c r="Q8" s="121">
        <f>'OTPP excluding (RCA) liability'!Q8+'RCA liab'!L8</f>
        <v>37139</v>
      </c>
      <c r="R8" s="121">
        <f>'OTPP excluding (RCA) liability'!R8+'RCA liab'!M8</f>
        <v>40269.5</v>
      </c>
      <c r="S8" s="121">
        <f>'OTPP excluding (RCA) liability'!S8+'RCA liab'!N8</f>
        <v>41664</v>
      </c>
      <c r="T8" s="121">
        <f>'OTPP excluding (RCA) liability'!T8+'RCA liab'!O8</f>
        <v>44300.5</v>
      </c>
      <c r="U8" s="121">
        <f>'OTPP excluding (RCA) liability'!U8+'RCA liab'!P8</f>
        <v>46124.5</v>
      </c>
      <c r="V8" s="226">
        <f>'OTPP excluding (RCA) liability'!V8+'RCA liab'!Q8</f>
        <v>48452</v>
      </c>
      <c r="W8" s="121">
        <f>'OTPP excluding (RCA) liability'!W8+'RCA liab'!R8</f>
        <v>49750.5</v>
      </c>
      <c r="X8" s="121">
        <f>'OTPP excluding (RCA) liability'!X8+'RCA liab'!S8</f>
        <v>52042.5</v>
      </c>
      <c r="Y8" s="121">
        <f>'OTPP excluding (RCA) liability'!Y8+'RCA liab'!T8</f>
        <v>53167</v>
      </c>
      <c r="Z8" s="121">
        <f>'OTPP excluding (RCA) liability'!Z8+'RCA liab'!U8</f>
        <v>54934</v>
      </c>
      <c r="AA8" s="121">
        <f>'OTPP excluding (RCA) liability'!AA8+'RCA liab'!V8</f>
        <v>57065.5</v>
      </c>
      <c r="AB8" s="345">
        <f>'OTPP excluding (RCA) liability'!AB8+'RCA liab'!W8</f>
        <v>58338</v>
      </c>
      <c r="AC8" s="79">
        <f>'OTPP excluding (RCA) liability'!AC8+'RCA liab'!X8</f>
        <v>60600.578869909761</v>
      </c>
      <c r="AD8" s="79">
        <f>'OTPP excluding (RCA) liability'!AD8+'RCA liab'!Y8</f>
        <v>62992.772937482718</v>
      </c>
      <c r="AE8" s="79">
        <f>'OTPP excluding (RCA) liability'!AE8+'RCA liab'!Z8</f>
        <v>65518.388075468276</v>
      </c>
      <c r="AF8" s="240">
        <f>'OTPP excluding (RCA) liability'!AF8+'RCA liab'!AA8</f>
        <v>68189.741449586654</v>
      </c>
    </row>
    <row r="9" spans="1:32" s="121" customFormat="1" x14ac:dyDescent="0.2">
      <c r="A9" s="3" t="s">
        <v>206</v>
      </c>
      <c r="B9" s="3" t="s">
        <v>282</v>
      </c>
      <c r="C9" s="3">
        <f>'OTPP excluding (RCA) liability'!C9</f>
        <v>0</v>
      </c>
      <c r="D9" s="3">
        <f>'OTPP excluding (RCA) liability'!D9</f>
        <v>0</v>
      </c>
      <c r="E9" s="3">
        <f>'OTPP excluding (RCA) liability'!E9</f>
        <v>0</v>
      </c>
      <c r="F9" s="3">
        <f>'OTPP excluding (RCA) liability'!F9</f>
        <v>0</v>
      </c>
      <c r="G9" s="3">
        <f>'OTPP excluding (RCA) liability'!G9</f>
        <v>0</v>
      </c>
      <c r="H9" s="3">
        <f>'OTPP excluding (RCA) liability'!H9</f>
        <v>0</v>
      </c>
      <c r="I9" s="3">
        <f>'OTPP excluding (RCA) liability'!I9</f>
        <v>250</v>
      </c>
      <c r="J9" s="3">
        <f>'OTPP excluding (RCA) liability'!J9</f>
        <v>0</v>
      </c>
      <c r="K9" s="3">
        <f>'OTPP excluding (RCA) liability'!K9</f>
        <v>0</v>
      </c>
      <c r="L9" s="3">
        <f>'OTPP excluding (RCA) liability'!L9</f>
        <v>0</v>
      </c>
      <c r="M9" s="3">
        <f>'OTPP excluding (RCA) liability'!M9</f>
        <v>0</v>
      </c>
      <c r="N9" s="3">
        <f>'OTPP excluding (RCA) liability'!N9</f>
        <v>0</v>
      </c>
      <c r="O9" s="3">
        <f>'OTPP excluding (RCA) liability'!O9</f>
        <v>0</v>
      </c>
      <c r="P9" s="3">
        <f>'OTPP excluding (RCA) liability'!P9</f>
        <v>0</v>
      </c>
      <c r="Q9" s="121">
        <f>'OTPP excluding (RCA) liability'!Q9</f>
        <v>0</v>
      </c>
      <c r="R9" s="121">
        <f>'OTPP excluding (RCA) liability'!R9</f>
        <v>0</v>
      </c>
      <c r="S9" s="121">
        <f>'OTPP excluding (RCA) liability'!S9</f>
        <v>0</v>
      </c>
      <c r="T9" s="121">
        <f>'OTPP excluding (RCA) liability'!T9</f>
        <v>0</v>
      </c>
      <c r="U9" s="121">
        <f>'OTPP excluding (RCA) liability'!U9</f>
        <v>0</v>
      </c>
      <c r="V9" s="226">
        <f>'OTPP excluding (RCA) liability'!V9</f>
        <v>0</v>
      </c>
      <c r="W9" s="121">
        <f>'OTPP excluding (RCA) liability'!W9</f>
        <v>0</v>
      </c>
      <c r="X9" s="121">
        <f>'OTPP excluding (RCA) liability'!X9</f>
        <v>0</v>
      </c>
      <c r="Y9" s="121">
        <f>'OTPP excluding (RCA) liability'!Y9</f>
        <v>0</v>
      </c>
      <c r="Z9" s="121">
        <f>'OTPP excluding (RCA) liability'!Z9</f>
        <v>0</v>
      </c>
      <c r="AA9" s="121">
        <f>'OTPP excluding (RCA) liability'!AA9</f>
        <v>0</v>
      </c>
      <c r="AB9" s="345">
        <f>'OTPP excluding (RCA) liability'!AB9</f>
        <v>0</v>
      </c>
      <c r="AC9" s="79">
        <f>'OTPP excluding (RCA) liability'!AC9</f>
        <v>0</v>
      </c>
      <c r="AD9" s="79">
        <f>'OTPP excluding (RCA) liability'!AD9</f>
        <v>0</v>
      </c>
      <c r="AE9" s="79">
        <f>'OTPP excluding (RCA) liability'!AE9</f>
        <v>0</v>
      </c>
      <c r="AF9" s="240">
        <f>'OTPP excluding (RCA) liability'!AF9</f>
        <v>0</v>
      </c>
    </row>
    <row r="10" spans="1:32" s="121" customFormat="1" x14ac:dyDescent="0.2">
      <c r="A10" s="3" t="s">
        <v>284</v>
      </c>
      <c r="B10" s="3" t="s">
        <v>286</v>
      </c>
      <c r="C10" s="3"/>
      <c r="D10" s="3"/>
      <c r="E10" s="3"/>
      <c r="F10" s="3"/>
      <c r="G10" s="3"/>
      <c r="H10" s="3"/>
      <c r="I10" s="3"/>
      <c r="J10" s="3">
        <f>'RCA liab'!$E$11</f>
        <v>220.58374999999998</v>
      </c>
      <c r="K10" s="3"/>
      <c r="L10" s="3"/>
      <c r="M10" s="3"/>
      <c r="N10" s="3"/>
      <c r="O10" s="3"/>
      <c r="P10" s="3"/>
      <c r="V10" s="226"/>
      <c r="AB10" s="345"/>
      <c r="AC10" s="79"/>
      <c r="AD10" s="79"/>
      <c r="AE10" s="79"/>
      <c r="AF10" s="240"/>
    </row>
    <row r="11" spans="1:32" s="121" customFormat="1" x14ac:dyDescent="0.2">
      <c r="A11" s="3" t="s">
        <v>198</v>
      </c>
      <c r="B11" s="3" t="s">
        <v>281</v>
      </c>
      <c r="C11" s="3">
        <f>'OTPP excluding (RCA) liability'!C10</f>
        <v>-10062</v>
      </c>
      <c r="D11" s="3">
        <f>'OTPP excluding (RCA) liability'!D10</f>
        <v>-12348.5</v>
      </c>
      <c r="E11" s="3">
        <f>'OTPP excluding (RCA) liability'!E10</f>
        <v>-13886.5</v>
      </c>
      <c r="F11" s="3">
        <f>'OTPP excluding (RCA) liability'!F10</f>
        <v>-16855.5</v>
      </c>
      <c r="G11" s="3">
        <f>'OTPP excluding (RCA) liability'!G10</f>
        <v>-17121</v>
      </c>
      <c r="H11" s="3">
        <f>'OTPP excluding (RCA) liability'!H10</f>
        <v>-19046</v>
      </c>
      <c r="I11" s="3">
        <f>'OTPP excluding (RCA) liability'!I10</f>
        <v>-21506.5</v>
      </c>
      <c r="J11" s="3">
        <f>'OTPP excluding (RCA) liability'!J10</f>
        <v>-24450.5</v>
      </c>
      <c r="K11" s="3">
        <f>'OTPP excluding (RCA) liability'!K10+'RCA liab'!F9</f>
        <v>-27191.5</v>
      </c>
      <c r="L11" s="3">
        <f>'OTPP excluding (RCA) liability'!L10+'RCA liab'!G9</f>
        <v>-30520</v>
      </c>
      <c r="M11" s="3">
        <f>'OTPP excluding (RCA) liability'!M10+'RCA liab'!H9</f>
        <v>-34391</v>
      </c>
      <c r="N11" s="3">
        <f>'OTPP excluding (RCA) liability'!N10+'RCA liab'!I9</f>
        <v>-36215.5</v>
      </c>
      <c r="O11" s="3">
        <f>'OTPP excluding (RCA) liability'!O10+'RCA liab'!J9</f>
        <v>-37929.574500000002</v>
      </c>
      <c r="P11" s="3">
        <f>'OTPP excluding (RCA) liability'!P10+'RCA liab'!K9</f>
        <v>-39581.111499999999</v>
      </c>
      <c r="Q11" s="121">
        <f>'OTPP excluding (RCA) liability'!Q10+'RCA liab'!L9</f>
        <v>-41399.464</v>
      </c>
      <c r="R11" s="121">
        <f>'OTPP excluding (RCA) liability'!R10+'RCA liab'!M9</f>
        <v>-44351.792999999998</v>
      </c>
      <c r="S11" s="121">
        <f>'OTPP excluding (RCA) liability'!S10+'RCA liab'!N9</f>
        <v>-47430.243000000002</v>
      </c>
      <c r="T11" s="121">
        <f>'OTPP excluding (RCA) liability'!T10+'RCA liab'!O9</f>
        <v>-52463.788500000002</v>
      </c>
      <c r="U11" s="121">
        <f>'OTPP excluding (RCA) liability'!U10+'RCA liab'!P9</f>
        <v>-53485.36</v>
      </c>
      <c r="V11" s="226">
        <f>'OTPP excluding (RCA) liability'!V10+'RCA liab'!Q9</f>
        <v>-54562.862500000003</v>
      </c>
      <c r="W11" s="121">
        <f>'OTPP excluding (RCA) liability'!W10+'RCA liab'!R9</f>
        <v>-57130.684500000003</v>
      </c>
      <c r="X11" s="121">
        <f>'OTPP excluding (RCA) liability'!X10+'RCA liab'!S9</f>
        <v>-57850.2785</v>
      </c>
      <c r="Y11" s="121">
        <f>'OTPP excluding (RCA) liability'!Y10+'RCA liab'!T9</f>
        <v>-59940.584000000003</v>
      </c>
      <c r="Z11" s="121">
        <f>'OTPP excluding (RCA) liability'!Z10+'RCA liab'!U9</f>
        <v>-65445.682500000003</v>
      </c>
      <c r="AA11" s="121">
        <f>'OTPP excluding (RCA) liability'!AA10+'RCA liab'!V9</f>
        <v>-71551.051000000007</v>
      </c>
      <c r="AB11" s="345">
        <f>'OTPP excluding (RCA) liability'!AB10+'RCA liab'!W9</f>
        <v>-78511.562999999995</v>
      </c>
      <c r="AC11" s="79">
        <f>'OTPP excluding (RCA) liability'!AC10+'RCA liab'!X9</f>
        <v>-85415.242688564147</v>
      </c>
      <c r="AD11" s="79">
        <f>'OTPP excluding (RCA) liability'!AD10+'RCA liab'!Y9</f>
        <v>-91878.668161446098</v>
      </c>
      <c r="AE11" s="79">
        <f>'OTPP excluding (RCA) liability'!AE10+'RCA liab'!Z9</f>
        <v>-98081.557530280363</v>
      </c>
      <c r="AF11" s="240">
        <f>'OTPP excluding (RCA) liability'!AF10+'RCA liab'!AA9</f>
        <v>-103860.52592315835</v>
      </c>
    </row>
    <row r="12" spans="1:32" s="121" customFormat="1" x14ac:dyDescent="0.2">
      <c r="A12" s="3" t="s">
        <v>391</v>
      </c>
      <c r="B12" s="3" t="s">
        <v>281</v>
      </c>
      <c r="C12" s="3">
        <f>'OTPP excluding (RCA) liability'!C11</f>
        <v>0</v>
      </c>
      <c r="D12" s="3">
        <f>'OTPP excluding (RCA) liability'!D11</f>
        <v>721.71500000000015</v>
      </c>
      <c r="E12" s="3">
        <f>'OTPP excluding (RCA) liability'!E11</f>
        <v>343.21125000000029</v>
      </c>
      <c r="F12" s="3">
        <f>'OTPP excluding (RCA) liability'!F11</f>
        <v>1586.2581249999985</v>
      </c>
      <c r="G12" s="3">
        <f>'OTPP excluding (RCA) liability'!G11</f>
        <v>746.65187499999774</v>
      </c>
      <c r="H12" s="3">
        <f>'OTPP excluding (RCA) liability'!H11</f>
        <v>1618.3456249999999</v>
      </c>
      <c r="I12" s="3">
        <f>'OTPP excluding (RCA) liability'!I11</f>
        <v>2252.1831250000014</v>
      </c>
      <c r="J12" s="3">
        <f>'OTPP excluding (RCA) liability'!J11</f>
        <v>2676.4274999999998</v>
      </c>
      <c r="K12" s="3">
        <f>'OTPP excluding (RCA) liability'!K11+'RCA liab'!F10</f>
        <v>3815.9006250000007</v>
      </c>
      <c r="L12" s="3">
        <f>'OTPP excluding (RCA) liability'!L11+'RCA liab'!G10</f>
        <v>5592.5537499999973</v>
      </c>
      <c r="M12" s="3">
        <f>'OTPP excluding (RCA) liability'!M11+'RCA liab'!H10</f>
        <v>6153.217499999997</v>
      </c>
      <c r="N12" s="3">
        <f>'OTPP excluding (RCA) liability'!N11+'RCA liab'!I10</f>
        <v>2823.5169999999962</v>
      </c>
      <c r="O12" s="3">
        <f>'OTPP excluding (RCA) liability'!O11+'RCA liab'!J10</f>
        <v>2678.831898749997</v>
      </c>
      <c r="P12" s="3">
        <f>'OTPP excluding (RCA) liability'!P11+'RCA liab'!K10</f>
        <v>2296.2518987499952</v>
      </c>
      <c r="Q12" s="121">
        <f>'OTPP excluding (RCA) liability'!Q11+'RCA liab'!L10</f>
        <v>2184.6393987499923</v>
      </c>
      <c r="R12" s="121">
        <f>'OTPP excluding (RCA) liability'!R11+'RCA liab'!M10</f>
        <v>1648.4143987499938</v>
      </c>
      <c r="S12" s="121">
        <f>'OTPP excluding (RCA) liability'!S11+'RCA liab'!N10</f>
        <v>3008.1893987499952</v>
      </c>
      <c r="T12" s="121">
        <f>'OTPP excluding (RCA) liability'!T11+'RCA liab'!O10</f>
        <v>4648.5150237499929</v>
      </c>
      <c r="U12" s="121">
        <f>'OTPP excluding (RCA) liability'!U11+'RCA liab'!P10</f>
        <v>2703.1025237499944</v>
      </c>
      <c r="V12" s="226">
        <f>'OTPP excluding (RCA) liability'!V11+'RCA liab'!Q10</f>
        <v>315.45439874999471</v>
      </c>
      <c r="W12" s="121">
        <f>'OTPP excluding (RCA) liability'!W11+'RCA liab'!R10</f>
        <v>763.58207546427911</v>
      </c>
      <c r="X12" s="121">
        <f>'OTPP excluding (RCA) liability'!X11+'RCA liab'!S10</f>
        <v>-1660.329549035725</v>
      </c>
      <c r="Y12" s="121">
        <f>'OTPP excluding (RCA) liability'!Y11+'RCA liab'!T10</f>
        <v>-1243.414934524566</v>
      </c>
      <c r="Z12" s="121">
        <f>'OTPP excluding (RCA) liability'!Z11+'RCA liab'!U10</f>
        <v>1861.7704339754291</v>
      </c>
      <c r="AA12" s="121">
        <f>'OTPP excluding (RCA) liability'!AA11+'RCA liab'!V10</f>
        <v>4827.6877089754362</v>
      </c>
      <c r="AB12" s="345">
        <f>'OTPP excluding (RCA) liability'!AB11+'RCA liab'!W10</f>
        <v>9012.3937104754477</v>
      </c>
      <c r="AC12" s="79">
        <f>'OTPP excluding (RCA) liability'!AC11+'RCA liab'!X10</f>
        <v>11519.763852744069</v>
      </c>
      <c r="AD12" s="79">
        <f>'OTPP excluding (RCA) liability'!AD11+'RCA liab'!Y10</f>
        <v>13024.011657052146</v>
      </c>
      <c r="AE12" s="79">
        <f>'OTPP excluding (RCA) liability'!AE11+'RCA liab'!Z10</f>
        <v>13783.992782937257</v>
      </c>
      <c r="AF12" s="240">
        <f>'OTPP excluding (RCA) liability'!AF11+'RCA liab'!AA10</f>
        <v>13670.860923949494</v>
      </c>
    </row>
    <row r="13" spans="1:32" s="121" customFormat="1" x14ac:dyDescent="0.2">
      <c r="A13" s="3" t="s">
        <v>203</v>
      </c>
      <c r="B13" s="3" t="s">
        <v>282</v>
      </c>
      <c r="C13" s="3">
        <f>'OTPP excluding (RCA) liability'!C12</f>
        <v>446.5</v>
      </c>
      <c r="D13" s="3">
        <f>'OTPP excluding (RCA) liability'!D12</f>
        <v>472.31750000000011</v>
      </c>
      <c r="E13" s="3">
        <f>'OTPP excluding (RCA) liability'!E12</f>
        <v>590.31750000000011</v>
      </c>
      <c r="F13" s="3">
        <f>'OTPP excluding (RCA) liability'!F12</f>
        <v>721.31750000000011</v>
      </c>
      <c r="G13" s="3">
        <f>'OTPP excluding (RCA) liability'!G12</f>
        <v>404.81750000000193</v>
      </c>
      <c r="H13" s="3">
        <f>'OTPP excluding (RCA) liability'!H12</f>
        <v>401.31750000000284</v>
      </c>
      <c r="I13" s="3">
        <f>'OTPP excluding (RCA) liability'!I12</f>
        <v>351.31750000000056</v>
      </c>
      <c r="J13" s="3">
        <f>'OTPP excluding (RCA) liability'!J12</f>
        <v>338.31749999999943</v>
      </c>
      <c r="K13" s="3">
        <f>'OTPP excluding (RCA) liability'!K12</f>
        <v>351.81750000000102</v>
      </c>
      <c r="L13" s="3">
        <f>'OTPP excluding (RCA) liability'!L12</f>
        <v>410.31750000000011</v>
      </c>
      <c r="M13" s="3">
        <f>'OTPP excluding (RCA) liability'!M12</f>
        <v>421.31750000000306</v>
      </c>
      <c r="N13" s="3">
        <f>'OTPP excluding (RCA) liability'!N12</f>
        <v>435.80031500000382</v>
      </c>
      <c r="O13" s="3">
        <f>'OTPP excluding (RCA) liability'!O12</f>
        <v>449.1789020000042</v>
      </c>
      <c r="P13" s="3">
        <f>'OTPP excluding (RCA) liability'!P12</f>
        <v>472.2073145000038</v>
      </c>
      <c r="Q13" s="121">
        <f>'OTPP excluding (RCA) liability'!Q12</f>
        <v>497.13549750000516</v>
      </c>
      <c r="R13" s="121">
        <f>'OTPP excluding (RCA) liability'!R12</f>
        <v>522.53073100000802</v>
      </c>
      <c r="S13" s="121">
        <f>'OTPP excluding (RCA) liability'!S12</f>
        <v>529.45758061765332</v>
      </c>
      <c r="T13" s="121">
        <f>'OTPP excluding (RCA) liability'!T12</f>
        <v>649.83554023529905</v>
      </c>
      <c r="U13" s="121">
        <f>'OTPP excluding (RCA) liability'!U12</f>
        <v>687.3208343529484</v>
      </c>
      <c r="V13" s="226">
        <f>'OTPP excluding (RCA) liability'!V12</f>
        <v>763.52104947059343</v>
      </c>
      <c r="W13" s="121">
        <f>'OTPP excluding (RCA) liability'!W12</f>
        <v>773.87541058824002</v>
      </c>
      <c r="X13" s="121">
        <f>'OTPP excluding (RCA) liability'!X12</f>
        <v>799.45422620588795</v>
      </c>
      <c r="Y13" s="121">
        <f>'OTPP excluding (RCA) liability'!Y12</f>
        <v>825.91103732353861</v>
      </c>
      <c r="Z13" s="121">
        <f>'OTPP excluding (RCA) liability'!Z12</f>
        <v>853.01835694118824</v>
      </c>
      <c r="AA13" s="121">
        <f>'OTPP excluding (RCA) liability'!AA12</f>
        <v>881.60331555883761</v>
      </c>
      <c r="AB13" s="345">
        <f>'OTPP excluding (RCA) liability'!AB12</f>
        <v>895.46956602647913</v>
      </c>
      <c r="AC13" s="79">
        <f>'OTPP excluding (RCA) liability'!AC12</f>
        <v>910.37871949425119</v>
      </c>
      <c r="AD13" s="79">
        <f>'OTPP excluding (RCA) liability'!AD12</f>
        <v>924.64029045566429</v>
      </c>
      <c r="AE13" s="79">
        <f>'OTPP excluding (RCA) liability'!AE12</f>
        <v>938.31987110463797</v>
      </c>
      <c r="AF13" s="240">
        <f>'OTPP excluding (RCA) liability'!AF12</f>
        <v>951.39729337327958</v>
      </c>
    </row>
    <row r="14" spans="1:32" s="121" customFormat="1" x14ac:dyDescent="0.2">
      <c r="A14" s="3" t="s">
        <v>199</v>
      </c>
      <c r="B14" s="3" t="s">
        <v>282</v>
      </c>
      <c r="C14" s="55" t="str">
        <f>'OTPP excluding (RCA) liability'!C14</f>
        <v>n/a</v>
      </c>
      <c r="D14" s="55" t="str">
        <f>'OTPP excluding (RCA) liability'!D14</f>
        <v>n/a</v>
      </c>
      <c r="E14" s="55" t="str">
        <f>'OTPP excluding (RCA) liability'!E14</f>
        <v>n/a</v>
      </c>
      <c r="F14" s="55" t="str">
        <f>'OTPP excluding (RCA) liability'!F14</f>
        <v>n/a</v>
      </c>
      <c r="G14" s="55">
        <f>'OTPP excluding (RCA) liability'!G14</f>
        <v>35</v>
      </c>
      <c r="H14" s="55">
        <f>'OTPP excluding (RCA) liability'!H14</f>
        <v>39.5</v>
      </c>
      <c r="I14" s="55">
        <f>'OTPP excluding (RCA) liability'!I14</f>
        <v>30.5</v>
      </c>
      <c r="J14" s="55">
        <f>'OTPP excluding (RCA) liability'!J14</f>
        <v>34</v>
      </c>
      <c r="K14" s="55">
        <f>'OTPP excluding (RCA) liability'!K14</f>
        <v>26.5</v>
      </c>
      <c r="L14" s="55">
        <f>'OTPP excluding (RCA) liability'!L14</f>
        <v>22</v>
      </c>
      <c r="M14" s="55">
        <f>'OTPP excluding (RCA) liability'!M14</f>
        <v>20.5</v>
      </c>
      <c r="N14" s="55">
        <f>'OTPP excluding (RCA) liability'!N14</f>
        <v>22</v>
      </c>
      <c r="O14" s="55">
        <f>'OTPP excluding (RCA) liability'!O14</f>
        <v>27</v>
      </c>
      <c r="P14" s="55">
        <f>'OTPP excluding (RCA) liability'!P14</f>
        <v>21.5</v>
      </c>
      <c r="Q14" s="144">
        <f>'OTPP excluding (RCA) liability'!Q14</f>
        <v>20</v>
      </c>
      <c r="R14" s="144">
        <f>'OTPP excluding (RCA) liability'!R14</f>
        <v>18</v>
      </c>
      <c r="S14" s="144">
        <f>'OTPP excluding (RCA) liability'!S14</f>
        <v>17</v>
      </c>
      <c r="T14" s="144">
        <f>'OTPP excluding (RCA) liability'!T14</f>
        <v>15.5</v>
      </c>
      <c r="U14" s="144">
        <f>'OTPP excluding (RCA) liability'!U14</f>
        <v>23.5</v>
      </c>
      <c r="V14" s="227">
        <f>'OTPP excluding (RCA) liability'!V14</f>
        <v>28.990893499999999</v>
      </c>
      <c r="W14" s="144">
        <f>'OTPP excluding (RCA) liability'!W14</f>
        <v>29.2927505</v>
      </c>
      <c r="X14" s="144">
        <f>'OTPP excluding (RCA) liability'!X14</f>
        <v>19.860441999999999</v>
      </c>
      <c r="Y14" s="144">
        <f>'OTPP excluding (RCA) liability'!Y14</f>
        <v>19.6341185</v>
      </c>
      <c r="Z14" s="144">
        <f>'OTPP excluding (RCA) liability'!Z14</f>
        <v>18.951650000000001</v>
      </c>
      <c r="AA14" s="144">
        <f>'OTPP excluding (RCA) liability'!AA14</f>
        <v>18.367251499999998</v>
      </c>
      <c r="AB14" s="374">
        <f>'OTPP excluding (RCA) liability'!AB14</f>
        <v>19</v>
      </c>
      <c r="AC14" s="101">
        <f>'OTPP excluding (RCA) liability'!AC14</f>
        <v>21.682182705882354</v>
      </c>
      <c r="AD14" s="101">
        <f>'OTPP excluding (RCA) liability'!AD14</f>
        <v>21.682182705882354</v>
      </c>
      <c r="AE14" s="101">
        <f>'OTPP excluding (RCA) liability'!AE14</f>
        <v>21.682182705882354</v>
      </c>
      <c r="AF14" s="277">
        <f>'OTPP excluding (RCA) liability'!AF14</f>
        <v>21.682182705882354</v>
      </c>
    </row>
    <row r="15" spans="1:32" s="121" customFormat="1" x14ac:dyDescent="0.2">
      <c r="A15" s="3" t="s">
        <v>248</v>
      </c>
      <c r="B15" s="3" t="s">
        <v>282</v>
      </c>
      <c r="C15" s="3">
        <f>'OTPP excluding (RCA) liability'!C15</f>
        <v>0</v>
      </c>
      <c r="D15" s="3">
        <f>'OTPP excluding (RCA) liability'!D15</f>
        <v>0</v>
      </c>
      <c r="E15" s="3">
        <f>'OTPP excluding (RCA) liability'!E15</f>
        <v>0</v>
      </c>
      <c r="F15" s="3">
        <f>'OTPP excluding (RCA) liability'!F15</f>
        <v>2264</v>
      </c>
      <c r="G15" s="3">
        <f>'OTPP excluding (RCA) liability'!G15</f>
        <v>2090</v>
      </c>
      <c r="H15" s="3">
        <f>'OTPP excluding (RCA) liability'!H15</f>
        <v>1916</v>
      </c>
      <c r="I15" s="3">
        <f>'OTPP excluding (RCA) liability'!I15</f>
        <v>1742</v>
      </c>
      <c r="J15" s="3">
        <f>'OTPP excluding (RCA) liability'!J15</f>
        <v>1568</v>
      </c>
      <c r="K15" s="3">
        <f>'OTPP excluding (RCA) liability'!K15</f>
        <v>1394</v>
      </c>
      <c r="L15" s="3">
        <f>'OTPP excluding (RCA) liability'!L15</f>
        <v>1220</v>
      </c>
      <c r="M15" s="3">
        <f>'OTPP excluding (RCA) liability'!M15</f>
        <v>1046</v>
      </c>
      <c r="N15" s="3">
        <f>'OTPP excluding (RCA) liability'!N15</f>
        <v>871</v>
      </c>
      <c r="O15" s="3">
        <f>'OTPP excluding (RCA) liability'!O15</f>
        <v>698</v>
      </c>
      <c r="P15" s="3">
        <f>'OTPP excluding (RCA) liability'!P15</f>
        <v>524</v>
      </c>
      <c r="Q15" s="121">
        <f>'OTPP excluding (RCA) liability'!Q15</f>
        <v>350</v>
      </c>
      <c r="R15" s="121">
        <f>'OTPP excluding (RCA) liability'!R15</f>
        <v>176</v>
      </c>
      <c r="S15" s="121">
        <f>'OTPP excluding (RCA) liability'!S15</f>
        <v>0</v>
      </c>
      <c r="T15" s="121">
        <f>'OTPP excluding (RCA) liability'!T15</f>
        <v>0</v>
      </c>
      <c r="U15" s="121">
        <f>'OTPP excluding (RCA) liability'!U15</f>
        <v>0</v>
      </c>
      <c r="V15" s="226">
        <f>'OTPP excluding (RCA) liability'!V15</f>
        <v>0</v>
      </c>
      <c r="W15" s="121">
        <f>'OTPP excluding (RCA) liability'!W15</f>
        <v>0</v>
      </c>
      <c r="X15" s="121">
        <f>'OTPP excluding (RCA) liability'!X15</f>
        <v>0</v>
      </c>
      <c r="Y15" s="121">
        <f>'OTPP excluding (RCA) liability'!Y15</f>
        <v>0</v>
      </c>
      <c r="Z15" s="121">
        <f>'OTPP excluding (RCA) liability'!Z15</f>
        <v>0</v>
      </c>
      <c r="AA15" s="121">
        <f>'OTPP excluding (RCA) liability'!AA15</f>
        <v>0</v>
      </c>
      <c r="AB15" s="345">
        <f>'OTPP excluding (RCA) liability'!AB15</f>
        <v>0</v>
      </c>
      <c r="AC15" s="79">
        <f>'OTPP excluding (RCA) liability'!AC15</f>
        <v>0</v>
      </c>
      <c r="AD15" s="79">
        <f>'OTPP excluding (RCA) liability'!AD15</f>
        <v>0</v>
      </c>
      <c r="AE15" s="79">
        <f>'OTPP excluding (RCA) liability'!AE15</f>
        <v>0</v>
      </c>
      <c r="AF15" s="240">
        <f>'OTPP excluding (RCA) liability'!AF15</f>
        <v>0</v>
      </c>
    </row>
    <row r="16" spans="1:32" s="121" customFormat="1" x14ac:dyDescent="0.2">
      <c r="A16" s="3" t="s">
        <v>249</v>
      </c>
      <c r="B16" s="3" t="s">
        <v>282</v>
      </c>
      <c r="C16" s="24" t="str">
        <f>'OTPP excluding (RCA) liability'!C16</f>
        <v>n/a</v>
      </c>
      <c r="D16" s="24" t="str">
        <f>'OTPP excluding (RCA) liability'!D16</f>
        <v>n/a</v>
      </c>
      <c r="E16" s="24" t="str">
        <f>'OTPP excluding (RCA) liability'!E16</f>
        <v>n/a</v>
      </c>
      <c r="F16" s="24">
        <f>'OTPP excluding (RCA) liability'!F16</f>
        <v>118.5</v>
      </c>
      <c r="G16" s="24">
        <f>'OTPP excluding (RCA) liability'!G16</f>
        <v>179</v>
      </c>
      <c r="H16" s="24">
        <f>'OTPP excluding (RCA) liability'!H16</f>
        <v>136</v>
      </c>
      <c r="I16" s="24">
        <f>'OTPP excluding (RCA) liability'!I16</f>
        <v>-18.5</v>
      </c>
      <c r="J16" s="24">
        <f>'OTPP excluding (RCA) liability'!J16</f>
        <v>-271.5</v>
      </c>
      <c r="K16" s="24">
        <f>'OTPP excluding (RCA) liability'!K16</f>
        <v>-479.5</v>
      </c>
      <c r="L16" s="24">
        <f>'OTPP excluding (RCA) liability'!L16</f>
        <v>-459.5</v>
      </c>
      <c r="M16" s="24">
        <f>'OTPP excluding (RCA) liability'!M16</f>
        <v>-425</v>
      </c>
      <c r="N16" s="24">
        <f>'OTPP excluding (RCA) liability'!N16</f>
        <v>-385.51718499999993</v>
      </c>
      <c r="O16" s="24">
        <f>'OTPP excluding (RCA) liability'!O16</f>
        <v>-342.138598</v>
      </c>
      <c r="P16" s="24">
        <f>'OTPP excluding (RCA) liability'!P16</f>
        <v>-289.1101855</v>
      </c>
      <c r="Q16" s="131">
        <f>'OTPP excluding (RCA) liability'!Q16</f>
        <v>-234.68200250000001</v>
      </c>
      <c r="R16" s="131">
        <f>'OTPP excluding (RCA) liability'!R16</f>
        <v>-173.78676899999999</v>
      </c>
      <c r="S16" s="131">
        <f>'OTPP excluding (RCA) liability'!S16</f>
        <v>-130.8452135</v>
      </c>
      <c r="T16" s="131">
        <f>'OTPP excluding (RCA) liability'!T16</f>
        <v>38.547452000000021</v>
      </c>
      <c r="U16" s="131">
        <f>'OTPP excluding (RCA) liability'!U16</f>
        <v>112.54745200000002</v>
      </c>
      <c r="V16" s="228">
        <f>'OTPP excluding (RCA) liability'!V16</f>
        <v>177.26237300000003</v>
      </c>
      <c r="W16" s="131">
        <f>'OTPP excluding (RCA) liability'!W16</f>
        <v>190.22886857142856</v>
      </c>
      <c r="X16" s="131">
        <f>'OTPP excluding (RCA) liability'!X16</f>
        <v>201.82239007142852</v>
      </c>
      <c r="Y16" s="131">
        <f>'OTPP excluding (RCA) liability'!Y16</f>
        <v>222.15202314285705</v>
      </c>
      <c r="Z16" s="131">
        <f>'OTPP excluding (RCA) liability'!Z16</f>
        <v>238.274048642857</v>
      </c>
      <c r="AA16" s="131">
        <f>'OTPP excluding (RCA) liability'!AA16</f>
        <v>255.87371314285701</v>
      </c>
      <c r="AB16" s="350">
        <f>'OTPP excluding (RCA) liability'!AB16</f>
        <v>254.25466949285703</v>
      </c>
      <c r="AC16" s="86">
        <f>'OTPP excluding (RCA) liability'!AC16</f>
        <v>247.6068075315182</v>
      </c>
      <c r="AD16" s="86">
        <f>'OTPP excluding (RCA) liability'!AD16</f>
        <v>241.74880494170486</v>
      </c>
      <c r="AE16" s="86">
        <f>'OTPP excluding (RCA) liability'!AE16</f>
        <v>234.62797737593644</v>
      </c>
      <c r="AF16" s="247">
        <f>'OTPP excluding (RCA) liability'!AF16</f>
        <v>227.2356006387343</v>
      </c>
    </row>
    <row r="17" spans="1:32" s="215" customFormat="1" ht="15.75" x14ac:dyDescent="0.25">
      <c r="A17" s="52" t="s">
        <v>205</v>
      </c>
      <c r="B17" s="9" t="s">
        <v>241</v>
      </c>
      <c r="C17" s="56">
        <f t="shared" ref="C17:Q17" si="0">SUM(C8:C16)</f>
        <v>2580</v>
      </c>
      <c r="D17" s="56">
        <f t="shared" si="0"/>
        <v>2585.0325000000003</v>
      </c>
      <c r="E17" s="56">
        <f t="shared" si="0"/>
        <v>2437.5287500000004</v>
      </c>
      <c r="F17" s="56">
        <f t="shared" si="0"/>
        <v>4833.5756249999986</v>
      </c>
      <c r="G17" s="56">
        <f t="shared" si="0"/>
        <v>4758.4693749999997</v>
      </c>
      <c r="H17" s="56">
        <f t="shared" si="0"/>
        <v>4568.6631250000028</v>
      </c>
      <c r="I17" s="56">
        <f t="shared" si="0"/>
        <v>4017.5006250000019</v>
      </c>
      <c r="J17" s="56">
        <f t="shared" si="0"/>
        <v>3350.3287500000006</v>
      </c>
      <c r="K17" s="56">
        <f t="shared" si="0"/>
        <v>2377.7181250000017</v>
      </c>
      <c r="L17" s="56">
        <f t="shared" si="0"/>
        <v>1557.8712499999974</v>
      </c>
      <c r="M17" s="56">
        <f t="shared" si="0"/>
        <v>521.53500000000008</v>
      </c>
      <c r="N17" s="56">
        <f t="shared" si="0"/>
        <v>-83.699869999999919</v>
      </c>
      <c r="O17" s="56">
        <f t="shared" si="0"/>
        <v>-521.70229725000127</v>
      </c>
      <c r="P17" s="56">
        <f t="shared" si="0"/>
        <v>-972.76247224999997</v>
      </c>
      <c r="Q17" s="145">
        <f t="shared" si="0"/>
        <v>-1443.3711062500024</v>
      </c>
      <c r="R17" s="145">
        <f t="shared" ref="R17:AD17" si="1">SUM(R8:R16)</f>
        <v>-1891.1346392499961</v>
      </c>
      <c r="S17" s="145">
        <f t="shared" si="1"/>
        <v>-2342.4412341323532</v>
      </c>
      <c r="T17" s="145">
        <f t="shared" si="1"/>
        <v>-2810.8904840147106</v>
      </c>
      <c r="U17" s="145">
        <f t="shared" si="1"/>
        <v>-3834.3891898970578</v>
      </c>
      <c r="V17" s="145">
        <f t="shared" si="1"/>
        <v>-4825.633785279415</v>
      </c>
      <c r="W17" s="145">
        <f t="shared" si="1"/>
        <v>-5623.2053948760558</v>
      </c>
      <c r="X17" s="145">
        <f>SUM(X8:X16)</f>
        <v>-6446.9709907584092</v>
      </c>
      <c r="Y17" s="145">
        <f t="shared" si="1"/>
        <v>-6949.3017555581728</v>
      </c>
      <c r="Z17" s="145">
        <f t="shared" si="1"/>
        <v>-7539.6680104405277</v>
      </c>
      <c r="AA17" s="145">
        <f t="shared" si="1"/>
        <v>-8502.0190108228762</v>
      </c>
      <c r="AB17" s="375">
        <f t="shared" si="1"/>
        <v>-9992.4450540052112</v>
      </c>
      <c r="AC17" s="102">
        <f t="shared" si="1"/>
        <v>-12115.232256178666</v>
      </c>
      <c r="AD17" s="102">
        <f t="shared" si="1"/>
        <v>-14673.812288807983</v>
      </c>
      <c r="AE17" s="102">
        <f t="shared" ref="AE17:AF17" si="2">SUM(AE8:AE16)</f>
        <v>-17584.546640688372</v>
      </c>
      <c r="AF17" s="278">
        <f t="shared" si="2"/>
        <v>-20799.608472904303</v>
      </c>
    </row>
    <row r="18" spans="1:32" s="215" customFormat="1" ht="15.75" x14ac:dyDescent="0.25">
      <c r="A18" s="52"/>
      <c r="B18" s="9"/>
      <c r="C18" s="71"/>
      <c r="D18" s="71"/>
      <c r="E18" s="71"/>
      <c r="F18" s="71"/>
      <c r="G18" s="71"/>
      <c r="H18" s="71"/>
      <c r="I18" s="71"/>
      <c r="J18" s="71"/>
      <c r="K18" s="71"/>
      <c r="L18" s="71"/>
      <c r="M18" s="71"/>
      <c r="N18" s="71"/>
      <c r="O18" s="71"/>
      <c r="P18" s="71"/>
      <c r="Q18" s="154"/>
      <c r="R18" s="156">
        <f t="shared" ref="R18:AD18" si="3">R17*1000000</f>
        <v>-1891134639.2499962</v>
      </c>
      <c r="S18" s="156">
        <f t="shared" si="3"/>
        <v>-2342441234.1323533</v>
      </c>
      <c r="T18" s="156">
        <f t="shared" si="3"/>
        <v>-2810890484.0147104</v>
      </c>
      <c r="U18" s="156">
        <f t="shared" si="3"/>
        <v>-3834389189.897058</v>
      </c>
      <c r="V18" s="156">
        <f t="shared" si="3"/>
        <v>-4825633785.2794151</v>
      </c>
      <c r="W18" s="156">
        <f t="shared" si="3"/>
        <v>-5623205394.8760557</v>
      </c>
      <c r="X18" s="154">
        <f t="shared" si="3"/>
        <v>-6446970990.7584095</v>
      </c>
      <c r="Y18" s="154">
        <f t="shared" si="3"/>
        <v>-6949301755.5581732</v>
      </c>
      <c r="Z18" s="381">
        <f t="shared" si="3"/>
        <v>-7539668010.4405279</v>
      </c>
      <c r="AA18" s="381">
        <f t="shared" si="3"/>
        <v>-8502019010.822876</v>
      </c>
      <c r="AB18" s="561">
        <f t="shared" si="3"/>
        <v>-9992445054.0052109</v>
      </c>
      <c r="AC18" s="315">
        <f t="shared" si="3"/>
        <v>-12115232256.178665</v>
      </c>
      <c r="AD18" s="315">
        <f t="shared" si="3"/>
        <v>-14673812288.807983</v>
      </c>
      <c r="AE18" s="315">
        <f t="shared" ref="AE18:AF18" si="4">AE17*1000000</f>
        <v>-17584546640.68837</v>
      </c>
      <c r="AF18" s="315">
        <f t="shared" si="4"/>
        <v>-20799608472.904305</v>
      </c>
    </row>
    <row r="19" spans="1:32" s="146" customFormat="1" x14ac:dyDescent="0.2">
      <c r="A19" s="9"/>
      <c r="B19" s="9"/>
      <c r="C19" s="9"/>
      <c r="D19" s="9"/>
      <c r="E19" s="9"/>
      <c r="F19" s="9"/>
      <c r="G19" s="9"/>
      <c r="H19" s="9"/>
      <c r="I19" s="9"/>
      <c r="J19" s="9"/>
      <c r="K19" s="9"/>
      <c r="L19" s="9"/>
      <c r="M19" s="9"/>
      <c r="N19" s="9"/>
      <c r="O19" s="9"/>
      <c r="P19" s="9"/>
      <c r="AA19" s="301" t="s">
        <v>470</v>
      </c>
      <c r="AB19" s="344">
        <v>-992316327</v>
      </c>
      <c r="AC19" s="103"/>
      <c r="AD19" s="103"/>
      <c r="AE19" s="103"/>
      <c r="AF19" s="266"/>
    </row>
    <row r="20" spans="1:32" s="146" customFormat="1" x14ac:dyDescent="0.2">
      <c r="A20" s="12" t="s">
        <v>255</v>
      </c>
      <c r="B20" s="9"/>
      <c r="C20" s="9"/>
      <c r="D20" s="9"/>
      <c r="E20" s="9"/>
      <c r="F20" s="9"/>
      <c r="G20" s="9"/>
      <c r="H20" s="9"/>
      <c r="I20" s="9"/>
      <c r="J20" s="9"/>
      <c r="K20" s="9"/>
      <c r="L20" s="9"/>
      <c r="M20" s="9"/>
      <c r="N20" s="9"/>
      <c r="O20" s="9"/>
      <c r="P20" s="9"/>
      <c r="AB20" s="344"/>
      <c r="AC20" s="103"/>
      <c r="AD20" s="103"/>
      <c r="AE20" s="103"/>
      <c r="AF20" s="266"/>
    </row>
    <row r="21" spans="1:32" s="146" customFormat="1" x14ac:dyDescent="0.2">
      <c r="A21" s="9" t="s">
        <v>252</v>
      </c>
      <c r="B21" s="9" t="s">
        <v>66</v>
      </c>
      <c r="C21" s="9"/>
      <c r="D21" s="9"/>
      <c r="E21" s="9"/>
      <c r="F21" s="9"/>
      <c r="G21" s="9">
        <f>+F17</f>
        <v>4833.5756249999986</v>
      </c>
      <c r="H21" s="9">
        <f t="shared" ref="H21:Q21" si="5">+G17</f>
        <v>4758.4693749999997</v>
      </c>
      <c r="I21" s="9">
        <f t="shared" si="5"/>
        <v>4568.6631250000028</v>
      </c>
      <c r="J21" s="9">
        <f t="shared" si="5"/>
        <v>4017.5006250000019</v>
      </c>
      <c r="K21" s="9">
        <f t="shared" si="5"/>
        <v>3350.3287500000006</v>
      </c>
      <c r="L21" s="9">
        <f t="shared" si="5"/>
        <v>2377.7181250000017</v>
      </c>
      <c r="M21" s="9">
        <f t="shared" si="5"/>
        <v>1557.8712499999974</v>
      </c>
      <c r="N21" s="9">
        <f t="shared" si="5"/>
        <v>521.53500000000008</v>
      </c>
      <c r="O21" s="9">
        <f t="shared" si="5"/>
        <v>-83.699869999999919</v>
      </c>
      <c r="P21" s="9">
        <f t="shared" si="5"/>
        <v>-521.70229725000127</v>
      </c>
      <c r="Q21" s="146">
        <f t="shared" si="5"/>
        <v>-972.76247224999997</v>
      </c>
      <c r="R21" s="146">
        <f t="shared" ref="R21:AF21" si="6">+Q17</f>
        <v>-1443.3711062500024</v>
      </c>
      <c r="S21" s="146">
        <f t="shared" si="6"/>
        <v>-1891.1346392499961</v>
      </c>
      <c r="T21" s="146">
        <f t="shared" si="6"/>
        <v>-2342.4412341323532</v>
      </c>
      <c r="U21" s="146">
        <f t="shared" si="6"/>
        <v>-2810.8904840147106</v>
      </c>
      <c r="V21" s="146">
        <f t="shared" si="6"/>
        <v>-3834.3891898970578</v>
      </c>
      <c r="W21" s="146">
        <f t="shared" si="6"/>
        <v>-4825.633785279415</v>
      </c>
      <c r="X21" s="146">
        <f>+W17</f>
        <v>-5623.2053948760558</v>
      </c>
      <c r="Y21" s="146">
        <f t="shared" si="6"/>
        <v>-6446.9709907584092</v>
      </c>
      <c r="Z21" s="146">
        <f t="shared" si="6"/>
        <v>-6949.3017555581728</v>
      </c>
      <c r="AA21" s="146">
        <f t="shared" si="6"/>
        <v>-7539.6680104405277</v>
      </c>
      <c r="AB21" s="344">
        <f t="shared" si="6"/>
        <v>-8502.0190108228762</v>
      </c>
      <c r="AC21" s="103">
        <f t="shared" si="6"/>
        <v>-9992.4450540052112</v>
      </c>
      <c r="AD21" s="103">
        <f t="shared" si="6"/>
        <v>-12115.232256178666</v>
      </c>
      <c r="AE21" s="103">
        <f t="shared" si="6"/>
        <v>-14673.812288807983</v>
      </c>
      <c r="AF21" s="266">
        <f t="shared" si="6"/>
        <v>-17584.546640688372</v>
      </c>
    </row>
    <row r="22" spans="1:32" s="146" customFormat="1" x14ac:dyDescent="0.2">
      <c r="A22" s="9" t="s">
        <v>211</v>
      </c>
      <c r="B22" s="9" t="s">
        <v>283</v>
      </c>
      <c r="C22" s="9"/>
      <c r="D22" s="9"/>
      <c r="E22" s="9"/>
      <c r="F22" s="9"/>
      <c r="G22" s="9">
        <f>G40</f>
        <v>490.89374999999995</v>
      </c>
      <c r="H22" s="9">
        <f t="shared" ref="H22:N22" si="7">H40</f>
        <v>496.19374999999991</v>
      </c>
      <c r="I22" s="9">
        <f t="shared" si="7"/>
        <v>374.83750000000009</v>
      </c>
      <c r="J22" s="9">
        <f t="shared" si="7"/>
        <v>464.828125</v>
      </c>
      <c r="K22" s="9">
        <f t="shared" si="7"/>
        <v>136.38937499999997</v>
      </c>
      <c r="L22" s="9">
        <f t="shared" si="7"/>
        <v>-152.8468750000001</v>
      </c>
      <c r="M22" s="9">
        <f t="shared" si="7"/>
        <v>-401.5474999999999</v>
      </c>
      <c r="N22" s="9">
        <f t="shared" si="7"/>
        <v>42.510749999999916</v>
      </c>
      <c r="O22" s="9">
        <f t="shared" ref="O22:U22" si="8">O40</f>
        <v>238.24039875000005</v>
      </c>
      <c r="P22" s="9">
        <f t="shared" si="8"/>
        <v>234.77439487499964</v>
      </c>
      <c r="Q22" s="146">
        <f t="shared" si="8"/>
        <v>239.72432156249982</v>
      </c>
      <c r="R22" s="146">
        <f t="shared" si="8"/>
        <v>294.79290849999967</v>
      </c>
      <c r="S22" s="146">
        <f t="shared" si="8"/>
        <v>345.42178361764712</v>
      </c>
      <c r="T22" s="146">
        <f t="shared" si="8"/>
        <v>341.91277174264695</v>
      </c>
      <c r="U22" s="146">
        <f t="shared" si="8"/>
        <v>49.981939117647116</v>
      </c>
      <c r="V22" s="146">
        <f t="shared" ref="V22:AA22" si="9">V40</f>
        <v>255.10110261764743</v>
      </c>
      <c r="W22" s="146">
        <f t="shared" si="9"/>
        <v>521.87171615336092</v>
      </c>
      <c r="X22" s="146">
        <f t="shared" si="9"/>
        <v>522.57717230514731</v>
      </c>
      <c r="Y22" s="146">
        <f>Y40</f>
        <v>894.68598745023655</v>
      </c>
      <c r="Z22" s="146">
        <f t="shared" si="9"/>
        <v>877.97365661764707</v>
      </c>
      <c r="AA22" s="146">
        <f t="shared" si="9"/>
        <v>567.68878886764685</v>
      </c>
      <c r="AB22" s="344">
        <f>AB40</f>
        <v>113.18279286764664</v>
      </c>
      <c r="AC22" s="103">
        <f>AC40</f>
        <v>-452.65816598285755</v>
      </c>
      <c r="AD22" s="103">
        <f>AD40</f>
        <v>-819.83476177699049</v>
      </c>
      <c r="AE22" s="103">
        <f>AE40</f>
        <v>-1110.3006855079802</v>
      </c>
      <c r="AF22" s="266">
        <f>AF40</f>
        <v>-1350.801660794222</v>
      </c>
    </row>
    <row r="23" spans="1:32" s="146" customFormat="1" x14ac:dyDescent="0.2">
      <c r="A23" s="9" t="s">
        <v>251</v>
      </c>
      <c r="B23" s="9" t="s">
        <v>254</v>
      </c>
      <c r="C23" s="9"/>
      <c r="D23" s="9"/>
      <c r="E23" s="9"/>
      <c r="F23" s="9"/>
      <c r="G23" s="147">
        <f>'Data Input'!H46*-1</f>
        <v>-566</v>
      </c>
      <c r="H23" s="147">
        <f>'Data Input'!I46*-1-'RCA data'!C34</f>
        <v>-686</v>
      </c>
      <c r="I23" s="147">
        <f>'Data Input'!J46*-1-'RCA data'!D34</f>
        <v>-926</v>
      </c>
      <c r="J23" s="147">
        <f>'Data Input'!K46*-1-'RCA data'!E34</f>
        <v>-1132</v>
      </c>
      <c r="K23" s="147">
        <f>'Data Input'!L46*-1-'RCA data'!F34</f>
        <v>-1109</v>
      </c>
      <c r="L23" s="147">
        <f>'Data Input'!M46*-1-'RCA data'!G34</f>
        <v>-667</v>
      </c>
      <c r="M23" s="147">
        <f>'Data Input'!N46*-1-'RCA data'!H34</f>
        <v>-635</v>
      </c>
      <c r="N23" s="147">
        <f>'Data Input'!O46*-1-'RCA data'!I34</f>
        <v>-645.03436999999997</v>
      </c>
      <c r="O23" s="147">
        <f>'Data Input'!P46*-1-'RCA data'!J34</f>
        <v>-676.24282600000004</v>
      </c>
      <c r="P23" s="147">
        <f>'Data Input'!Q46*-1-'RCA data'!K34</f>
        <v>-684.943175</v>
      </c>
      <c r="Q23" s="147">
        <f>'Data Input'!R46*-1-'RCA data'!L34</f>
        <v>-709.86459278000007</v>
      </c>
      <c r="R23" s="147">
        <f>'Data Input'!S46*-1-'RCA data'!M34</f>
        <v>-741.48453299999994</v>
      </c>
      <c r="S23" s="147">
        <f>'Data Input'!T46*-1-'RCA data'!N34</f>
        <v>-797.03366590999997</v>
      </c>
      <c r="T23" s="147">
        <f>'Data Input'!U46*-1-'RCA data'!O34</f>
        <v>-808.96671099999992</v>
      </c>
      <c r="U23" s="147">
        <f>'Data Input'!V46*-1-'RCA data'!P34</f>
        <v>-1072.5734319999999</v>
      </c>
      <c r="V23" s="147">
        <f>'Data Input'!W46*-1-'RCA data'!Q34</f>
        <v>-1246.11346366</v>
      </c>
      <c r="W23" s="147">
        <f>'Data Input'!X46*-1-'RCA data'!R34</f>
        <v>-1318.4009160000001</v>
      </c>
      <c r="X23" s="147">
        <f>'Data Input'!Y46*-1-'RCA data'!S34</f>
        <v>-1346.195416</v>
      </c>
      <c r="Y23" s="147">
        <f>'Data Input'!Z46*-1-'RCA data'!T34</f>
        <v>-1395.52219311</v>
      </c>
      <c r="Z23" s="147">
        <f>'Data Input'!AA46*-1-'RCA data'!U34</f>
        <v>-1466.1618190000002</v>
      </c>
      <c r="AA23" s="147">
        <f>'Data Input'!AB46*-1-'RCA data'!V34</f>
        <v>-1530.930482</v>
      </c>
      <c r="AB23" s="376">
        <f>'Data Input'!AC46*-1-'RCA data'!W34</f>
        <v>-1600.9070463</v>
      </c>
      <c r="AC23" s="104">
        <f>'Data Input'!AD46*-1-'RCA data'!X34</f>
        <v>-1666.9120079905738</v>
      </c>
      <c r="AD23" s="104">
        <f>'Data Input'!AE46*-1-'RCA data'!Y34</f>
        <v>-1735.4365180831569</v>
      </c>
      <c r="AE23" s="104">
        <f>'Data Input'!AF46*-1-'RCA data'!Z34</f>
        <v>-1797.0289698082915</v>
      </c>
      <c r="AF23" s="279">
        <f>'Data Input'!AG46*-1-'RCA data'!AA34</f>
        <v>-1860.7551458725352</v>
      </c>
    </row>
    <row r="24" spans="1:32" s="119" customFormat="1" x14ac:dyDescent="0.2">
      <c r="A24" s="8" t="s">
        <v>253</v>
      </c>
      <c r="B24" s="8" t="s">
        <v>31</v>
      </c>
      <c r="C24" s="8"/>
      <c r="D24" s="8"/>
      <c r="E24" s="8"/>
      <c r="F24" s="8"/>
      <c r="G24" s="21">
        <f>SUM(G21:G23)</f>
        <v>4758.4693749999988</v>
      </c>
      <c r="H24" s="21">
        <f t="shared" ref="H24:Q24" si="10">SUM(H21:H23)</f>
        <v>4568.6631249999991</v>
      </c>
      <c r="I24" s="21">
        <f t="shared" si="10"/>
        <v>4017.5006250000024</v>
      </c>
      <c r="J24" s="21">
        <f t="shared" si="10"/>
        <v>3350.3287500000024</v>
      </c>
      <c r="K24" s="21">
        <f t="shared" si="10"/>
        <v>2377.7181250000003</v>
      </c>
      <c r="L24" s="21">
        <f t="shared" si="10"/>
        <v>1557.8712500000015</v>
      </c>
      <c r="M24" s="21">
        <f t="shared" si="10"/>
        <v>521.32374999999752</v>
      </c>
      <c r="N24" s="21">
        <f t="shared" si="10"/>
        <v>-80.988619999999969</v>
      </c>
      <c r="O24" s="21">
        <f t="shared" si="10"/>
        <v>-521.7022972499999</v>
      </c>
      <c r="P24" s="21">
        <f t="shared" si="10"/>
        <v>-971.87107737500162</v>
      </c>
      <c r="Q24" s="140">
        <f t="shared" si="10"/>
        <v>-1442.9027434675002</v>
      </c>
      <c r="R24" s="140">
        <f t="shared" ref="R24:AD24" si="11">SUM(R21:R23)</f>
        <v>-1890.0627307500026</v>
      </c>
      <c r="S24" s="140">
        <f t="shared" si="11"/>
        <v>-2342.746521542349</v>
      </c>
      <c r="T24" s="140">
        <f t="shared" si="11"/>
        <v>-2809.495173389706</v>
      </c>
      <c r="U24" s="140">
        <f t="shared" si="11"/>
        <v>-3833.4819768970638</v>
      </c>
      <c r="V24" s="140">
        <f t="shared" si="11"/>
        <v>-4825.4015509394103</v>
      </c>
      <c r="W24" s="140">
        <f t="shared" si="11"/>
        <v>-5622.162985126055</v>
      </c>
      <c r="X24" s="140">
        <f t="shared" si="11"/>
        <v>-6446.8236385709079</v>
      </c>
      <c r="Y24" s="140">
        <f t="shared" si="11"/>
        <v>-6947.8071964181727</v>
      </c>
      <c r="Z24" s="140">
        <f t="shared" si="11"/>
        <v>-7537.4899179405256</v>
      </c>
      <c r="AA24" s="140">
        <f t="shared" si="11"/>
        <v>-8502.909703572881</v>
      </c>
      <c r="AB24" s="361">
        <f t="shared" si="11"/>
        <v>-9989.7432642552303</v>
      </c>
      <c r="AC24" s="95">
        <f t="shared" si="11"/>
        <v>-12112.015227978642</v>
      </c>
      <c r="AD24" s="95">
        <f t="shared" si="11"/>
        <v>-14670.503536038814</v>
      </c>
      <c r="AE24" s="95">
        <f t="shared" ref="AE24:AF24" si="12">SUM(AE21:AE23)</f>
        <v>-17581.141944124254</v>
      </c>
      <c r="AF24" s="261">
        <f t="shared" si="12"/>
        <v>-20796.10344735513</v>
      </c>
    </row>
    <row r="25" spans="1:32" s="146" customFormat="1" x14ac:dyDescent="0.2">
      <c r="A25" s="9" t="s">
        <v>217</v>
      </c>
      <c r="B25" s="9"/>
      <c r="C25" s="9"/>
      <c r="D25" s="9"/>
      <c r="E25" s="9"/>
      <c r="F25" s="9"/>
      <c r="G25" s="9">
        <f>G24-G17</f>
        <v>0</v>
      </c>
      <c r="H25" s="9">
        <f t="shared" ref="H25:Q25" si="13">H24-H17</f>
        <v>0</v>
      </c>
      <c r="I25" s="9">
        <f t="shared" si="13"/>
        <v>0</v>
      </c>
      <c r="J25" s="9">
        <f t="shared" si="13"/>
        <v>0</v>
      </c>
      <c r="K25" s="9">
        <f t="shared" si="13"/>
        <v>0</v>
      </c>
      <c r="L25" s="9">
        <f t="shared" si="13"/>
        <v>4.0927261579781771E-12</v>
      </c>
      <c r="M25" s="9">
        <f t="shared" si="13"/>
        <v>-0.21125000000256478</v>
      </c>
      <c r="N25" s="9">
        <f t="shared" si="13"/>
        <v>2.71124999999995</v>
      </c>
      <c r="O25" s="9">
        <f t="shared" si="13"/>
        <v>1.3642420526593924E-12</v>
      </c>
      <c r="P25" s="9">
        <f t="shared" si="13"/>
        <v>0.89139487499835468</v>
      </c>
      <c r="Q25" s="146">
        <f t="shared" si="13"/>
        <v>0.46836278250225405</v>
      </c>
      <c r="R25" s="146">
        <f t="shared" ref="R25:Y25" si="14">R24-R17</f>
        <v>1.0719084999934694</v>
      </c>
      <c r="S25" s="146">
        <f t="shared" si="14"/>
        <v>-0.30528740999579895</v>
      </c>
      <c r="T25" s="146">
        <f t="shared" si="14"/>
        <v>1.3953106250046403</v>
      </c>
      <c r="U25" s="146">
        <f>U24-U17</f>
        <v>0.90721299999404437</v>
      </c>
      <c r="V25" s="146">
        <f t="shared" si="14"/>
        <v>0.23223434000465204</v>
      </c>
      <c r="W25" s="146">
        <f t="shared" si="14"/>
        <v>1.0424097500008429</v>
      </c>
      <c r="X25" s="146">
        <f t="shared" si="14"/>
        <v>0.14735218750138301</v>
      </c>
      <c r="Y25" s="146">
        <f t="shared" si="14"/>
        <v>1.4945591400000922</v>
      </c>
      <c r="Z25" s="146">
        <f t="shared" ref="Z25:AE25" si="15">Z24-Z17</f>
        <v>2.1780925000020943</v>
      </c>
      <c r="AA25" s="146">
        <f t="shared" si="15"/>
        <v>-0.8906927500047459</v>
      </c>
      <c r="AB25" s="344">
        <f t="shared" si="15"/>
        <v>2.7017897499808896</v>
      </c>
      <c r="AC25" s="103">
        <f t="shared" si="15"/>
        <v>3.2170282000242878</v>
      </c>
      <c r="AD25" s="103">
        <f t="shared" si="15"/>
        <v>3.3087527691695868</v>
      </c>
      <c r="AE25" s="103">
        <f t="shared" si="15"/>
        <v>3.4046965641173301</v>
      </c>
      <c r="AF25" s="266">
        <f t="shared" ref="AF25" si="16">AF24-AF17</f>
        <v>3.5050255491732969</v>
      </c>
    </row>
    <row r="26" spans="1:32" s="146" customFormat="1" x14ac:dyDescent="0.2">
      <c r="A26" s="9"/>
      <c r="B26" s="9"/>
      <c r="C26" s="9"/>
      <c r="D26" s="9"/>
      <c r="E26" s="9"/>
      <c r="F26" s="9"/>
      <c r="G26" s="9"/>
      <c r="H26" s="9"/>
      <c r="I26" s="9"/>
      <c r="J26" s="9"/>
      <c r="K26" s="9"/>
      <c r="L26" s="9"/>
      <c r="M26" s="9"/>
      <c r="N26" s="9"/>
      <c r="O26" s="9"/>
      <c r="P26" s="9"/>
      <c r="AB26" s="344"/>
      <c r="AC26" s="103"/>
      <c r="AD26" s="103"/>
      <c r="AE26" s="103"/>
      <c r="AF26" s="266"/>
    </row>
    <row r="27" spans="1:32" s="146" customFormat="1" x14ac:dyDescent="0.2">
      <c r="A27" s="9"/>
      <c r="B27" s="9"/>
      <c r="C27" s="9"/>
      <c r="D27" s="9"/>
      <c r="E27" s="9"/>
      <c r="F27" s="9"/>
      <c r="G27" s="9"/>
      <c r="H27" s="9"/>
      <c r="I27" s="9"/>
      <c r="J27" s="9"/>
      <c r="K27" s="9"/>
      <c r="L27" s="9"/>
      <c r="M27" s="9"/>
      <c r="N27" s="9"/>
      <c r="O27" s="9"/>
      <c r="P27" s="9"/>
      <c r="AB27" s="344"/>
      <c r="AC27" s="103"/>
      <c r="AD27" s="103"/>
      <c r="AE27" s="103"/>
      <c r="AF27" s="266"/>
    </row>
    <row r="28" spans="1:32" s="121" customFormat="1" x14ac:dyDescent="0.2">
      <c r="A28" s="12" t="s">
        <v>285</v>
      </c>
      <c r="B28" s="3"/>
      <c r="C28" s="3"/>
      <c r="D28" s="3"/>
      <c r="E28" s="3"/>
      <c r="F28" s="3"/>
      <c r="G28" s="3"/>
      <c r="H28" s="3"/>
      <c r="I28" s="3"/>
      <c r="J28" s="3"/>
      <c r="K28" s="3"/>
      <c r="L28" s="3"/>
      <c r="M28" s="3"/>
      <c r="N28" s="3"/>
      <c r="O28" s="3"/>
      <c r="P28" s="3"/>
      <c r="AB28" s="345"/>
      <c r="AC28" s="79"/>
      <c r="AD28" s="79"/>
      <c r="AE28" s="79"/>
      <c r="AF28" s="240"/>
    </row>
    <row r="29" spans="1:32" s="121" customFormat="1" x14ac:dyDescent="0.2">
      <c r="A29" s="3"/>
      <c r="B29" s="3"/>
      <c r="C29" s="3"/>
      <c r="D29" s="3"/>
      <c r="E29" s="3"/>
      <c r="F29" s="3"/>
      <c r="G29" s="3"/>
      <c r="H29" s="3"/>
      <c r="I29" s="3"/>
      <c r="J29" s="3"/>
      <c r="K29" s="3"/>
      <c r="L29" s="3"/>
      <c r="M29" s="3"/>
      <c r="N29" s="3"/>
      <c r="O29" s="3"/>
      <c r="P29" s="3"/>
      <c r="AB29" s="345"/>
      <c r="AC29" s="79"/>
      <c r="AD29" s="79"/>
      <c r="AE29" s="79"/>
      <c r="AF29" s="240"/>
    </row>
    <row r="30" spans="1:32" s="121" customFormat="1" x14ac:dyDescent="0.2">
      <c r="A30" s="3" t="s">
        <v>218</v>
      </c>
      <c r="B30" s="3" t="s">
        <v>347</v>
      </c>
      <c r="C30" s="3">
        <f>'OTPP expense (excluding RCA)'!C10</f>
        <v>465</v>
      </c>
      <c r="D30" s="3">
        <f>'OTPP expense (excluding RCA)'!D10</f>
        <v>590</v>
      </c>
      <c r="E30" s="3">
        <f>'OTPP expense (excluding RCA)'!E10</f>
        <v>594</v>
      </c>
      <c r="F30" s="3">
        <f>'OTPP expense (excluding RCA)'!F10</f>
        <v>585</v>
      </c>
      <c r="G30" s="3">
        <f>'OTPP expense (excluding RCA)'!G10</f>
        <v>646</v>
      </c>
      <c r="H30" s="3">
        <f>'OTPP expense (excluding RCA)'!H10</f>
        <v>681.5</v>
      </c>
      <c r="I30" s="3">
        <f>'OTPP expense (excluding RCA)'!I10</f>
        <v>668.5</v>
      </c>
      <c r="J30" s="3">
        <f>'OTPP expense (excluding RCA)'!J10</f>
        <v>602</v>
      </c>
      <c r="K30" s="3">
        <f>'OTPP expense (excluding RCA)'!K10+'RCA exp'!E10</f>
        <v>665</v>
      </c>
      <c r="L30" s="3">
        <f>'OTPP expense (excluding RCA)'!L10+'RCA exp'!F10</f>
        <v>661.5</v>
      </c>
      <c r="M30" s="3">
        <f>'OTPP expense (excluding RCA)'!M10+'RCA exp'!G10</f>
        <v>659</v>
      </c>
      <c r="N30" s="3">
        <f>'OTPP expense (excluding RCA)'!N10+'RCA exp'!H10</f>
        <v>785.5</v>
      </c>
      <c r="O30" s="3">
        <f>'OTPP expense (excluding RCA)'!O10+'RCA exp'!I10</f>
        <v>863.82399999999996</v>
      </c>
      <c r="P30" s="3">
        <f>'OTPP expense (excluding RCA)'!P10+'RCA exp'!J10</f>
        <v>872.03800000000001</v>
      </c>
      <c r="Q30" s="121">
        <f>'OTPP expense (excluding RCA)'!Q10+'RCA exp'!K10</f>
        <v>883.16849999999999</v>
      </c>
      <c r="R30" s="121">
        <f>'OTPP expense (excluding RCA)'!R10+'RCA exp'!L10</f>
        <v>960.29750000000001</v>
      </c>
      <c r="S30" s="121">
        <f>'OTPP expense (excluding RCA)'!S10+'RCA exp'!M10</f>
        <v>1001.165</v>
      </c>
      <c r="T30" s="121">
        <f>'OTPP expense (excluding RCA)'!T10+'RCA exp'!N10</f>
        <v>1055.6524999999999</v>
      </c>
      <c r="U30" s="121">
        <f>'OTPP expense (excluding RCA)'!U10+'RCA exp'!O10</f>
        <v>1123.4195</v>
      </c>
      <c r="V30" s="226">
        <f>'OTPP expense (excluding RCA)'!V10+'RCA exp'!P10</f>
        <v>1179.4725000000001</v>
      </c>
      <c r="W30" s="121">
        <f>'OTPP expense (excluding RCA)'!W10+'RCA exp'!Q10</f>
        <v>1223.4095</v>
      </c>
      <c r="X30" s="121">
        <f>'OTPP expense (excluding RCA)'!X10+'RCA exp'!R10</f>
        <v>1290.0060000000001</v>
      </c>
      <c r="Y30" s="121">
        <f>'OTPP expense (excluding RCA)'!Y10+'RCA exp'!S10</f>
        <v>1402.7874999999999</v>
      </c>
      <c r="Z30" s="121">
        <f>'OTPP expense (excluding RCA)'!Z10+'RCA exp'!T10</f>
        <v>1333.7255</v>
      </c>
      <c r="AA30" s="121">
        <f>'OTPP expense (excluding RCA)'!AA10+'RCA exp'!U10</f>
        <v>1465.268</v>
      </c>
      <c r="AB30" s="345">
        <f>'OTPP expense (excluding RCA)'!AB10+'RCA exp'!V10</f>
        <v>1455.1120000000001</v>
      </c>
      <c r="AC30" s="79">
        <f>'OTPP expense (excluding RCA)'!AC10+'RCA exp'!W10</f>
        <v>1516.011675</v>
      </c>
      <c r="AD30" s="79">
        <f>'OTPP expense (excluding RCA)'!AD10+'RCA exp'!X10</f>
        <v>1635.3715152148434</v>
      </c>
      <c r="AE30" s="79">
        <f>'OTPP expense (excluding RCA)'!AE10+'RCA exp'!Y10</f>
        <v>1754.6302188377069</v>
      </c>
      <c r="AF30" s="240">
        <f>'OTPP expense (excluding RCA)'!AF10+'RCA exp'!Z10</f>
        <v>1882.5426198656914</v>
      </c>
    </row>
    <row r="31" spans="1:32" s="121" customFormat="1" x14ac:dyDescent="0.2">
      <c r="A31" s="3" t="s">
        <v>219</v>
      </c>
      <c r="B31" s="3" t="s">
        <v>347</v>
      </c>
      <c r="C31" s="23" t="str">
        <f>'OTPP expense (excluding RCA)'!C11</f>
        <v>n/a</v>
      </c>
      <c r="D31" s="23">
        <f>'OTPP expense (excluding RCA)'!D11</f>
        <v>-55.5</v>
      </c>
      <c r="E31" s="23">
        <f>'OTPP expense (excluding RCA)'!E11</f>
        <v>-30.5</v>
      </c>
      <c r="F31" s="23">
        <f>'OTPP expense (excluding RCA)'!F11</f>
        <v>-128.5</v>
      </c>
      <c r="G31" s="23">
        <f>'OTPP expense (excluding RCA)'!G11</f>
        <v>-74</v>
      </c>
      <c r="H31" s="23">
        <f>'OTPP expense (excluding RCA)'!H11</f>
        <v>-146.5</v>
      </c>
      <c r="I31" s="23">
        <f>'OTPP expense (excluding RCA)'!I11</f>
        <v>-190</v>
      </c>
      <c r="J31" s="23">
        <f>'OTPP expense (excluding RCA)'!J11</f>
        <v>-219.5</v>
      </c>
      <c r="K31" s="23">
        <f>'OTPP expense (excluding RCA)'!K11+'RCA exp'!E11</f>
        <v>-333.5</v>
      </c>
      <c r="L31" s="23">
        <f>'OTPP expense (excluding RCA)'!L11+'RCA exp'!F11</f>
        <v>-496</v>
      </c>
      <c r="M31" s="23">
        <f>'OTPP expense (excluding RCA)'!M11+'RCA exp'!G11</f>
        <v>-577</v>
      </c>
      <c r="N31" s="23">
        <f>'OTPP expense (excluding RCA)'!N11+'RCA exp'!H11</f>
        <v>-243</v>
      </c>
      <c r="O31" s="23">
        <f>'OTPP expense (excluding RCA)'!O11+'RCA exp'!I11</f>
        <v>-251.5</v>
      </c>
      <c r="P31" s="23">
        <f>'OTPP expense (excluding RCA)'!P11+'RCA exp'!J11</f>
        <v>-240</v>
      </c>
      <c r="Q31" s="130">
        <f>'OTPP expense (excluding RCA)'!Q11+'RCA exp'!K11</f>
        <v>-251</v>
      </c>
      <c r="R31" s="130">
        <f>'OTPP expense (excluding RCA)'!R11+'RCA exp'!L11</f>
        <v>-252</v>
      </c>
      <c r="S31" s="130">
        <f>'OTPP expense (excluding RCA)'!S11+'RCA exp'!M11</f>
        <v>-254.5</v>
      </c>
      <c r="T31" s="130">
        <f>'OTPP expense (excluding RCA)'!T11+'RCA exp'!N11</f>
        <v>-374</v>
      </c>
      <c r="U31" s="130">
        <f>'OTPP expense (excluding RCA)'!U11+'RCA exp'!O11</f>
        <v>-574</v>
      </c>
      <c r="V31" s="230">
        <f>'OTPP expense (excluding RCA)'!V11+'RCA exp'!P11</f>
        <v>-476</v>
      </c>
      <c r="W31" s="130">
        <f>'OTPP expense (excluding RCA)'!W11+'RCA exp'!Q11</f>
        <v>-304.5</v>
      </c>
      <c r="X31" s="130">
        <f>'OTPP expense (excluding RCA)'!X11+'RCA exp'!R11</f>
        <v>-253</v>
      </c>
      <c r="Y31" s="130">
        <f>'OTPP expense (excluding RCA)'!Y11+'RCA exp'!S11</f>
        <v>-98.5</v>
      </c>
      <c r="Z31" s="130">
        <f>'OTPP expense (excluding RCA)'!Z11+'RCA exp'!T11</f>
        <v>28</v>
      </c>
      <c r="AA31" s="130">
        <f>'OTPP expense (excluding RCA)'!AA11+'RCA exp'!U11</f>
        <v>-164</v>
      </c>
      <c r="AB31" s="348">
        <f>'OTPP expense (excluding RCA)'!AB11+'RCA exp'!V11</f>
        <v>-373.5</v>
      </c>
      <c r="AC31" s="84">
        <f>'OTPP expense (excluding RCA)'!AC11+'RCA exp'!W11</f>
        <v>-682</v>
      </c>
      <c r="AD31" s="84">
        <f>'OTPP expense (excluding RCA)'!AD11+'RCA exp'!X11</f>
        <v>-880.5</v>
      </c>
      <c r="AE31" s="84">
        <f>'OTPP expense (excluding RCA)'!AE11+'RCA exp'!Y11</f>
        <v>-1036</v>
      </c>
      <c r="AF31" s="245">
        <f>'OTPP expense (excluding RCA)'!AF11+'RCA exp'!Z11</f>
        <v>-1176</v>
      </c>
    </row>
    <row r="32" spans="1:32" s="121" customFormat="1" x14ac:dyDescent="0.2">
      <c r="A32" s="3" t="s">
        <v>221</v>
      </c>
      <c r="B32" s="3" t="s">
        <v>347</v>
      </c>
      <c r="C32" s="3">
        <f>'OTPP expense (excluding RCA)'!C12</f>
        <v>167.3175</v>
      </c>
      <c r="D32" s="3">
        <f>'OTPP expense (excluding RCA)'!D12</f>
        <v>209.71499999999992</v>
      </c>
      <c r="E32" s="3">
        <f>'OTPP expense (excluding RCA)'!E12</f>
        <v>115.49624999999992</v>
      </c>
      <c r="F32" s="3">
        <f>'OTPP expense (excluding RCA)'!F12</f>
        <v>126.546875</v>
      </c>
      <c r="G32" s="3">
        <f>'OTPP expense (excluding RCA)'!G12</f>
        <v>108.89374999999995</v>
      </c>
      <c r="H32" s="3">
        <f>'OTPP expense (excluding RCA)'!H12</f>
        <v>148.19374999999991</v>
      </c>
      <c r="I32" s="3">
        <f>'OTPP expense (excluding RCA)'!I12</f>
        <v>71.337500000000091</v>
      </c>
      <c r="J32" s="3">
        <f>'OTPP expense (excluding RCA)'!J12</f>
        <v>17.744374999999991</v>
      </c>
      <c r="K32" s="23">
        <f>'OTPP expense (excluding RCA)'!K12+'RCA exp'!E12</f>
        <v>-57.110625000000034</v>
      </c>
      <c r="L32" s="23">
        <f>'OTPP expense (excluding RCA)'!L12+'RCA exp'!F12</f>
        <v>-183.3468750000001</v>
      </c>
      <c r="M32" s="23">
        <f>'OTPP expense (excluding RCA)'!M12+'RCA exp'!G12</f>
        <v>-349.5474999999999</v>
      </c>
      <c r="N32" s="23">
        <f>'OTPP expense (excluding RCA)'!N12+'RCA exp'!H12</f>
        <v>-368.98925000000014</v>
      </c>
      <c r="O32" s="23">
        <f>'OTPP expense (excluding RCA)'!O12+'RCA exp'!I12</f>
        <v>-244.08360124999987</v>
      </c>
      <c r="P32" s="23">
        <f>'OTPP expense (excluding RCA)'!P12+'RCA exp'!J12</f>
        <v>-265.26360512500037</v>
      </c>
      <c r="Q32" s="130">
        <f>'OTPP expense (excluding RCA)'!Q12+'RCA exp'!K12</f>
        <v>-258.44417843750017</v>
      </c>
      <c r="R32" s="130">
        <f>'OTPP expense (excluding RCA)'!R12+'RCA exp'!L12</f>
        <v>-278.50459150000034</v>
      </c>
      <c r="S32" s="130">
        <f>'OTPP expense (excluding RCA)'!S12+'RCA exp'!M12</f>
        <v>-255.72851049999991</v>
      </c>
      <c r="T32" s="130">
        <f>'OTPP expense (excluding RCA)'!T12+'RCA exp'!N12</f>
        <v>-378.22502237500004</v>
      </c>
      <c r="U32" s="130">
        <f>'OTPP expense (excluding RCA)'!U12+'RCA exp'!O12</f>
        <v>-533.92285499999991</v>
      </c>
      <c r="V32" s="230">
        <f>'OTPP expense (excluding RCA)'!V12+'RCA exp'!P12</f>
        <v>-478.85669149999973</v>
      </c>
      <c r="W32" s="130">
        <f>'OTPP expense (excluding RCA)'!W12+'RCA exp'!Q12</f>
        <v>-393.52307796428619</v>
      </c>
      <c r="X32" s="130">
        <f>'OTPP expense (excluding RCA)'!X12+'RCA exp'!R12</f>
        <v>-490.91412181249984</v>
      </c>
      <c r="Y32" s="130">
        <f>'OTPP expense (excluding RCA)'!Y12+'RCA exp'!S12</f>
        <v>-384.08680666741043</v>
      </c>
      <c r="Z32" s="130">
        <f>'OTPP expense (excluding RCA)'!Z12+'RCA exp'!T12</f>
        <v>-454.23713750000002</v>
      </c>
      <c r="AA32" s="130">
        <f>'OTPP expense (excluding RCA)'!AA12+'RCA exp'!U12</f>
        <v>-703.06450525000025</v>
      </c>
      <c r="AB32" s="348">
        <f>'OTPP expense (excluding RCA)'!AB12+'RCA exp'!V12</f>
        <v>-935.91450125000051</v>
      </c>
      <c r="AC32" s="84">
        <f>'OTPP expense (excluding RCA)'!AC12+'RCA exp'!W12</f>
        <v>-1251.6551351005046</v>
      </c>
      <c r="AD32" s="84">
        <f>'OTPP expense (excluding RCA)'!AD12+'RCA exp'!X12</f>
        <v>-1540.1652875775424</v>
      </c>
      <c r="AE32" s="84">
        <f>'OTPP expense (excluding RCA)'!AE12+'RCA exp'!Y12</f>
        <v>-1792.8429684645901</v>
      </c>
      <c r="AF32" s="245">
        <f>'OTPP expense (excluding RCA)'!AF12+'RCA exp'!Z12</f>
        <v>-2020.6908282799291</v>
      </c>
    </row>
    <row r="33" spans="1:32" s="121" customFormat="1" x14ac:dyDescent="0.2">
      <c r="A33" s="3" t="s">
        <v>222</v>
      </c>
      <c r="B33" s="3" t="s">
        <v>347</v>
      </c>
      <c r="C33" s="3">
        <f>'OTPP expense (excluding RCA)'!C13</f>
        <v>0</v>
      </c>
      <c r="D33" s="3">
        <f>'OTPP expense (excluding RCA)'!D13</f>
        <v>0</v>
      </c>
      <c r="E33" s="3">
        <f>'OTPP expense (excluding RCA)'!E13</f>
        <v>0</v>
      </c>
      <c r="F33" s="3">
        <f>'OTPP expense (excluding RCA)'!F13</f>
        <v>0</v>
      </c>
      <c r="G33" s="3">
        <f>'OTPP expense (excluding RCA)'!G13</f>
        <v>0</v>
      </c>
      <c r="H33" s="3">
        <f>'OTPP expense (excluding RCA)'!H13</f>
        <v>0</v>
      </c>
      <c r="I33" s="3">
        <f>'OTPP expense (excluding RCA)'!I13</f>
        <v>129</v>
      </c>
      <c r="J33" s="3">
        <f>'OTPP expense (excluding RCA)'!J13</f>
        <v>1006.5</v>
      </c>
      <c r="K33" s="3">
        <f>'OTPP expense (excluding RCA)'!K13+'RCA exp'!E13</f>
        <v>0</v>
      </c>
      <c r="L33" s="3">
        <f>'OTPP expense (excluding RCA)'!L13+'RCA exp'!F13</f>
        <v>0</v>
      </c>
      <c r="M33" s="3">
        <f>'OTPP expense (excluding RCA)'!M13+'RCA exp'!G13</f>
        <v>0</v>
      </c>
      <c r="N33" s="3">
        <f>'OTPP expense (excluding RCA)'!N13+'RCA exp'!H13</f>
        <v>2279</v>
      </c>
      <c r="O33" s="3">
        <f>'OTPP expense (excluding RCA)'!O13+'RCA exp'!I13</f>
        <v>0</v>
      </c>
      <c r="P33" s="3">
        <f>'OTPP expense (excluding RCA)'!P13+'RCA exp'!J13</f>
        <v>0</v>
      </c>
      <c r="Q33" s="121">
        <f>'OTPP expense (excluding RCA)'!Q13+'RCA exp'!K13</f>
        <v>0</v>
      </c>
      <c r="R33" s="121">
        <f>'OTPP expense (excluding RCA)'!R13+'RCA exp'!L13</f>
        <v>0</v>
      </c>
      <c r="S33" s="121">
        <f>'OTPP expense (excluding RCA)'!S13+'RCA exp'!M13</f>
        <v>0</v>
      </c>
      <c r="T33" s="121">
        <f>'OTPP expense (excluding RCA)'!T13+'RCA exp'!N13</f>
        <v>0</v>
      </c>
      <c r="U33" s="121">
        <f>'OTPP expense (excluding RCA)'!U13+'RCA exp'!O13</f>
        <v>0</v>
      </c>
      <c r="V33" s="226">
        <f>'OTPP expense (excluding RCA)'!V13+'RCA exp'!P13</f>
        <v>0</v>
      </c>
      <c r="W33" s="121">
        <f>'OTPP expense (excluding RCA)'!W13+'RCA exp'!Q13</f>
        <v>0</v>
      </c>
      <c r="X33" s="121">
        <f>'OTPP expense (excluding RCA)'!X13+'RCA exp'!R13</f>
        <v>0</v>
      </c>
      <c r="Y33" s="121">
        <f>'OTPP expense (excluding RCA)'!Y13+'RCA exp'!S13</f>
        <v>0</v>
      </c>
      <c r="Z33" s="121">
        <f>'OTPP expense (excluding RCA)'!Z13+'RCA exp'!T13</f>
        <v>0</v>
      </c>
      <c r="AA33" s="121">
        <f>'OTPP expense (excluding RCA)'!AA13+'RCA exp'!U13</f>
        <v>0</v>
      </c>
      <c r="AB33" s="345">
        <f>'OTPP expense (excluding RCA)'!AB13+'RCA exp'!V13</f>
        <v>0</v>
      </c>
      <c r="AC33" s="79">
        <f>'OTPP expense (excluding RCA)'!AC13+'RCA exp'!W13</f>
        <v>0</v>
      </c>
      <c r="AD33" s="79">
        <f>'OTPP expense (excluding RCA)'!AD13+'RCA exp'!X13</f>
        <v>0</v>
      </c>
      <c r="AE33" s="79">
        <f>'OTPP expense (excluding RCA)'!AE13+'RCA exp'!Y13</f>
        <v>0</v>
      </c>
      <c r="AF33" s="240">
        <f>'OTPP expense (excluding RCA)'!AF13+'RCA exp'!Z13</f>
        <v>0</v>
      </c>
    </row>
    <row r="34" spans="1:32" s="121" customFormat="1" x14ac:dyDescent="0.2">
      <c r="A34" s="3" t="s">
        <v>206</v>
      </c>
      <c r="B34" s="3" t="s">
        <v>348</v>
      </c>
      <c r="C34" s="3">
        <f>'OTPP expense (excluding RCA)'!C14</f>
        <v>0</v>
      </c>
      <c r="D34" s="3">
        <f>'OTPP expense (excluding RCA)'!D14</f>
        <v>0</v>
      </c>
      <c r="E34" s="3">
        <f>'OTPP expense (excluding RCA)'!E14</f>
        <v>0</v>
      </c>
      <c r="F34" s="3">
        <f>'OTPP expense (excluding RCA)'!F14</f>
        <v>0</v>
      </c>
      <c r="G34" s="3">
        <f>'OTPP expense (excluding RCA)'!G14</f>
        <v>0</v>
      </c>
      <c r="H34" s="3">
        <f>'OTPP expense (excluding RCA)'!H14</f>
        <v>0</v>
      </c>
      <c r="I34" s="3">
        <f>'OTPP expense (excluding RCA)'!I14</f>
        <v>250</v>
      </c>
      <c r="J34" s="3">
        <f>'OTPP expense (excluding RCA)'!J14</f>
        <v>-250</v>
      </c>
      <c r="K34" s="3">
        <f>'OTPP expense (excluding RCA)'!K14</f>
        <v>0</v>
      </c>
      <c r="L34" s="3">
        <f>'OTPP expense (excluding RCA)'!L14</f>
        <v>0</v>
      </c>
      <c r="M34" s="3">
        <f>'OTPP expense (excluding RCA)'!M14</f>
        <v>0</v>
      </c>
      <c r="N34" s="3">
        <f>'OTPP expense (excluding RCA)'!N14</f>
        <v>0</v>
      </c>
      <c r="O34" s="3">
        <f>'OTPP expense (excluding RCA)'!O14</f>
        <v>0</v>
      </c>
      <c r="P34" s="3">
        <f>'OTPP expense (excluding RCA)'!P14</f>
        <v>0</v>
      </c>
      <c r="Q34" s="121">
        <f>'OTPP expense (excluding RCA)'!Q14</f>
        <v>0</v>
      </c>
      <c r="R34" s="121">
        <f>'OTPP expense (excluding RCA)'!R14</f>
        <v>0</v>
      </c>
      <c r="S34" s="121">
        <f>'OTPP expense (excluding RCA)'!S14</f>
        <v>0</v>
      </c>
      <c r="T34" s="121">
        <f>'OTPP expense (excluding RCA)'!T14</f>
        <v>0</v>
      </c>
      <c r="U34" s="121">
        <f>'OTPP expense (excluding RCA)'!U14</f>
        <v>0</v>
      </c>
      <c r="V34" s="226">
        <f>'OTPP expense (excluding RCA)'!V14</f>
        <v>0</v>
      </c>
      <c r="W34" s="121">
        <f>'OTPP expense (excluding RCA)'!W14</f>
        <v>0</v>
      </c>
      <c r="X34" s="121">
        <f>'OTPP expense (excluding RCA)'!X14</f>
        <v>0</v>
      </c>
      <c r="Y34" s="121">
        <f>'OTPP expense (excluding RCA)'!Y14</f>
        <v>0</v>
      </c>
      <c r="Z34" s="121">
        <f>'OTPP expense (excluding RCA)'!Z14</f>
        <v>0</v>
      </c>
      <c r="AA34" s="121">
        <f>'OTPP expense (excluding RCA)'!AA14</f>
        <v>0</v>
      </c>
      <c r="AB34" s="345">
        <f>'OTPP expense (excluding RCA)'!AB14</f>
        <v>0</v>
      </c>
      <c r="AC34" s="79">
        <f>'OTPP expense (excluding RCA)'!AC14</f>
        <v>0</v>
      </c>
      <c r="AD34" s="79">
        <f>'OTPP expense (excluding RCA)'!AD14</f>
        <v>0</v>
      </c>
      <c r="AE34" s="79">
        <f>'OTPP expense (excluding RCA)'!AE14</f>
        <v>0</v>
      </c>
      <c r="AF34" s="240">
        <f>'OTPP expense (excluding RCA)'!AF14</f>
        <v>0</v>
      </c>
    </row>
    <row r="35" spans="1:32" s="121" customFormat="1" x14ac:dyDescent="0.2">
      <c r="A35" s="3" t="s">
        <v>284</v>
      </c>
      <c r="B35" s="3" t="s">
        <v>349</v>
      </c>
      <c r="C35" s="3"/>
      <c r="D35" s="3"/>
      <c r="E35" s="3"/>
      <c r="F35" s="3"/>
      <c r="G35" s="3"/>
      <c r="H35" s="3"/>
      <c r="I35" s="3"/>
      <c r="J35" s="3">
        <f>'RCA liab'!$E$11</f>
        <v>220.58374999999998</v>
      </c>
      <c r="K35" s="3"/>
      <c r="L35" s="3"/>
      <c r="M35" s="3"/>
      <c r="N35" s="3"/>
      <c r="O35" s="3"/>
      <c r="P35" s="3"/>
      <c r="V35" s="226"/>
      <c r="AB35" s="345"/>
      <c r="AC35" s="79"/>
      <c r="AD35" s="79"/>
      <c r="AE35" s="79"/>
      <c r="AF35" s="240"/>
    </row>
    <row r="36" spans="1:32" s="121" customFormat="1" x14ac:dyDescent="0.2">
      <c r="A36" s="3" t="s">
        <v>247</v>
      </c>
      <c r="B36" s="3" t="s">
        <v>347</v>
      </c>
      <c r="C36" s="3">
        <f>'OTPP expense (excluding RCA)'!C15</f>
        <v>0</v>
      </c>
      <c r="D36" s="3">
        <f>'OTPP expense (excluding RCA)'!D15</f>
        <v>0</v>
      </c>
      <c r="E36" s="3">
        <f>'OTPP expense (excluding RCA)'!E15</f>
        <v>0</v>
      </c>
      <c r="F36" s="3">
        <f>'OTPP expense (excluding RCA)'!F15</f>
        <v>0</v>
      </c>
      <c r="G36" s="3">
        <f>'OTPP expense (excluding RCA)'!G15</f>
        <v>0</v>
      </c>
      <c r="H36" s="3">
        <f>'OTPP expense (excluding RCA)'!H15</f>
        <v>0</v>
      </c>
      <c r="I36" s="3">
        <f>'OTPP expense (excluding RCA)'!I15</f>
        <v>-379</v>
      </c>
      <c r="J36" s="3">
        <f>'OTPP expense (excluding RCA)'!J15</f>
        <v>-756.5</v>
      </c>
      <c r="K36" s="3">
        <f>'OTPP expense (excluding RCA)'!K15+'RCA exp'!E14</f>
        <v>0</v>
      </c>
      <c r="L36" s="3">
        <f>'OTPP expense (excluding RCA)'!L15+'RCA exp'!F14</f>
        <v>0</v>
      </c>
      <c r="M36" s="3">
        <f>'OTPP expense (excluding RCA)'!M15+'RCA exp'!G14</f>
        <v>0</v>
      </c>
      <c r="N36" s="3">
        <f>'OTPP expense (excluding RCA)'!N15+'RCA exp'!H14</f>
        <v>-2279</v>
      </c>
      <c r="O36" s="3">
        <f>'OTPP expense (excluding RCA)'!O15+'RCA exp'!I14</f>
        <v>0</v>
      </c>
      <c r="P36" s="3">
        <f>'OTPP expense (excluding RCA)'!P15+'RCA exp'!J14</f>
        <v>0</v>
      </c>
      <c r="Q36" s="121">
        <f>'OTPP expense (excluding RCA)'!Q15+'RCA exp'!K14</f>
        <v>0</v>
      </c>
      <c r="R36" s="121">
        <f>'OTPP expense (excluding RCA)'!R15+'RCA exp'!L14</f>
        <v>0</v>
      </c>
      <c r="S36" s="121">
        <f>'OTPP expense (excluding RCA)'!S15+'RCA exp'!M14</f>
        <v>0</v>
      </c>
      <c r="T36" s="121">
        <f>'OTPP expense (excluding RCA)'!T15+'RCA exp'!N14</f>
        <v>0</v>
      </c>
      <c r="U36" s="121">
        <f>'OTPP expense (excluding RCA)'!U15+'RCA exp'!O14</f>
        <v>0</v>
      </c>
      <c r="V36" s="226">
        <f>'OTPP expense (excluding RCA)'!V15+'RCA exp'!P14</f>
        <v>0</v>
      </c>
      <c r="W36" s="121">
        <f>'OTPP expense (excluding RCA)'!W15+'RCA exp'!Q14</f>
        <v>0</v>
      </c>
      <c r="X36" s="121">
        <f>'OTPP expense (excluding RCA)'!X15+'RCA exp'!R14</f>
        <v>0</v>
      </c>
      <c r="Y36" s="121">
        <f>'OTPP expense (excluding RCA)'!Y15+'RCA exp'!S14</f>
        <v>0</v>
      </c>
      <c r="Z36" s="121">
        <f>'OTPP expense (excluding RCA)'!Z15+'RCA exp'!T14</f>
        <v>0</v>
      </c>
      <c r="AA36" s="121">
        <f>'OTPP expense (excluding RCA)'!AA15+'RCA exp'!U14</f>
        <v>0</v>
      </c>
      <c r="AB36" s="345">
        <f>'OTPP expense (excluding RCA)'!AB15+'RCA exp'!V14</f>
        <v>0</v>
      </c>
      <c r="AC36" s="79">
        <f>'OTPP expense (excluding RCA)'!AC15+'RCA exp'!W14</f>
        <v>0</v>
      </c>
      <c r="AD36" s="79">
        <f>'OTPP expense (excluding RCA)'!AD15+'RCA exp'!X14</f>
        <v>0</v>
      </c>
      <c r="AE36" s="79">
        <f>'OTPP expense (excluding RCA)'!AE15+'RCA exp'!Y14</f>
        <v>0</v>
      </c>
      <c r="AF36" s="240">
        <f>'OTPP expense (excluding RCA)'!AF15+'RCA exp'!Z14</f>
        <v>0</v>
      </c>
    </row>
    <row r="37" spans="1:32" s="121" customFormat="1" x14ac:dyDescent="0.2">
      <c r="A37" s="3" t="s">
        <v>246</v>
      </c>
      <c r="B37" s="3" t="s">
        <v>348</v>
      </c>
      <c r="C37" s="3">
        <f>'OTPP expense (excluding RCA)'!C16</f>
        <v>0</v>
      </c>
      <c r="D37" s="3">
        <f>'OTPP expense (excluding RCA)'!D16</f>
        <v>0</v>
      </c>
      <c r="E37" s="3">
        <f>'OTPP expense (excluding RCA)'!E16</f>
        <v>0</v>
      </c>
      <c r="F37" s="3">
        <f>'OTPP expense (excluding RCA)'!F16</f>
        <v>-174</v>
      </c>
      <c r="G37" s="3">
        <f>'OTPP expense (excluding RCA)'!G16</f>
        <v>-174</v>
      </c>
      <c r="H37" s="3">
        <f>'OTPP expense (excluding RCA)'!H16</f>
        <v>-174</v>
      </c>
      <c r="I37" s="3">
        <f>'OTPP expense (excluding RCA)'!I16</f>
        <v>-174</v>
      </c>
      <c r="J37" s="3">
        <f>'OTPP expense (excluding RCA)'!J16</f>
        <v>-174</v>
      </c>
      <c r="K37" s="3">
        <f>'OTPP expense (excluding RCA)'!K16</f>
        <v>-174</v>
      </c>
      <c r="L37" s="3">
        <f>'OTPP expense (excluding RCA)'!L16</f>
        <v>-174</v>
      </c>
      <c r="M37" s="3">
        <f>'OTPP expense (excluding RCA)'!M16</f>
        <v>-174</v>
      </c>
      <c r="N37" s="3">
        <f>'OTPP expense (excluding RCA)'!N16</f>
        <v>-174</v>
      </c>
      <c r="O37" s="3">
        <f>'OTPP expense (excluding RCA)'!O16</f>
        <v>-174</v>
      </c>
      <c r="P37" s="3">
        <f>'OTPP expense (excluding RCA)'!P16</f>
        <v>-174</v>
      </c>
      <c r="Q37" s="121">
        <f>'OTPP expense (excluding RCA)'!Q16</f>
        <v>-174</v>
      </c>
      <c r="R37" s="121">
        <f>'OTPP expense (excluding RCA)'!R16</f>
        <v>-174</v>
      </c>
      <c r="S37" s="121">
        <f>'OTPP expense (excluding RCA)'!S16</f>
        <v>-176</v>
      </c>
      <c r="T37" s="121">
        <f>'OTPP expense (excluding RCA)'!T16</f>
        <v>0</v>
      </c>
      <c r="U37" s="121">
        <f>'OTPP expense (excluding RCA)'!U16</f>
        <v>0</v>
      </c>
      <c r="V37" s="226">
        <f>'OTPP expense (excluding RCA)'!V16</f>
        <v>0</v>
      </c>
      <c r="W37" s="121">
        <f>'OTPP expense (excluding RCA)'!W16</f>
        <v>0</v>
      </c>
      <c r="X37" s="121">
        <f>'OTPP expense (excluding RCA)'!X16</f>
        <v>0</v>
      </c>
      <c r="Y37" s="121">
        <f>'OTPP expense (excluding RCA)'!Y16</f>
        <v>0</v>
      </c>
      <c r="Z37" s="121">
        <f>'OTPP expense (excluding RCA)'!Z16</f>
        <v>0</v>
      </c>
      <c r="AA37" s="121">
        <f>'OTPP expense (excluding RCA)'!AA16</f>
        <v>0</v>
      </c>
      <c r="AB37" s="345">
        <f>'OTPP expense (excluding RCA)'!AB16</f>
        <v>0</v>
      </c>
      <c r="AC37" s="79">
        <f>'OTPP expense (excluding RCA)'!AC16</f>
        <v>0</v>
      </c>
      <c r="AD37" s="79">
        <f>'OTPP expense (excluding RCA)'!AD16</f>
        <v>0</v>
      </c>
      <c r="AE37" s="79">
        <f>'OTPP expense (excluding RCA)'!AE16</f>
        <v>0</v>
      </c>
      <c r="AF37" s="240">
        <f>'OTPP expense (excluding RCA)'!AF16</f>
        <v>0</v>
      </c>
    </row>
    <row r="38" spans="1:32" s="121" customFormat="1" x14ac:dyDescent="0.2">
      <c r="A38" s="157" t="s">
        <v>342</v>
      </c>
      <c r="B38" s="157" t="s">
        <v>348</v>
      </c>
      <c r="C38" s="157"/>
      <c r="D38" s="157"/>
      <c r="E38" s="157"/>
      <c r="F38" s="157"/>
      <c r="G38" s="157"/>
      <c r="H38" s="157"/>
      <c r="I38" s="157"/>
      <c r="J38" s="157"/>
      <c r="K38" s="157"/>
      <c r="L38" s="157"/>
      <c r="M38" s="157"/>
      <c r="N38" s="157"/>
      <c r="O38" s="157"/>
      <c r="P38" s="157"/>
      <c r="Q38" s="157"/>
      <c r="R38" s="157"/>
      <c r="S38" s="157">
        <f>'OTPP expense (excluding RCA)'!S17</f>
        <v>-5.5147058823529411</v>
      </c>
      <c r="T38" s="121">
        <f>'OTPP expense (excluding RCA)'!T17</f>
        <v>-5.5147058823529411</v>
      </c>
      <c r="U38" s="121">
        <f>'OTPP expense (excluding RCA)'!U17</f>
        <v>-5.5147058823529411</v>
      </c>
      <c r="V38" s="226">
        <f>'OTPP expense (excluding RCA)'!V17</f>
        <v>-5.5147058823529411</v>
      </c>
      <c r="W38" s="121">
        <f>'OTPP expense (excluding RCA)'!W17</f>
        <v>-5.5147058823529411</v>
      </c>
      <c r="X38" s="121">
        <f>'OTPP expense (excluding RCA)'!X17</f>
        <v>-5.5147058823529411</v>
      </c>
      <c r="Y38" s="121">
        <f>'OTPP expense (excluding RCA)'!Y17</f>
        <v>-5.5147058823529411</v>
      </c>
      <c r="Z38" s="121">
        <f>'OTPP expense (excluding RCA)'!Z17</f>
        <v>-5.5147058823529411</v>
      </c>
      <c r="AA38" s="121">
        <f>'OTPP expense (excluding RCA)'!AA17</f>
        <v>-5.5147058823529411</v>
      </c>
      <c r="AB38" s="345">
        <f>'OTPP expense (excluding RCA)'!AB17</f>
        <v>-5.5147058823529411</v>
      </c>
      <c r="AC38" s="79">
        <f>'OTPP expense (excluding RCA)'!AC17</f>
        <v>-5.0147058823529411</v>
      </c>
      <c r="AD38" s="79">
        <f>'OTPP expense (excluding RCA)'!AD17</f>
        <v>-5.0147058823529411</v>
      </c>
      <c r="AE38" s="79">
        <f>'OTPP expense (excluding RCA)'!AE17</f>
        <v>-5.0147058823529411</v>
      </c>
      <c r="AF38" s="240">
        <f>'OTPP expense (excluding RCA)'!AF17</f>
        <v>-5.0147058823529411</v>
      </c>
    </row>
    <row r="39" spans="1:32" s="121" customFormat="1" x14ac:dyDescent="0.2">
      <c r="A39" s="3" t="s">
        <v>237</v>
      </c>
      <c r="B39" s="3" t="s">
        <v>348</v>
      </c>
      <c r="C39" s="24" t="str">
        <f>'OTPP expense (excluding RCA)'!C18</f>
        <v>n/a</v>
      </c>
      <c r="D39" s="24" t="str">
        <f>'OTPP expense (excluding RCA)'!D18</f>
        <v>n/a</v>
      </c>
      <c r="E39" s="24" t="str">
        <f>'OTPP expense (excluding RCA)'!E18</f>
        <v>n/a</v>
      </c>
      <c r="F39" s="24">
        <f>'OTPP expense (excluding RCA)'!F18</f>
        <v>-10</v>
      </c>
      <c r="G39" s="24">
        <f>'OTPP expense (excluding RCA)'!G18</f>
        <v>-16</v>
      </c>
      <c r="H39" s="24">
        <f>'OTPP expense (excluding RCA)'!H18</f>
        <v>-13</v>
      </c>
      <c r="I39" s="24">
        <f>'OTPP expense (excluding RCA)'!I18</f>
        <v>-1</v>
      </c>
      <c r="J39" s="24">
        <f>'OTPP expense (excluding RCA)'!J18</f>
        <v>18</v>
      </c>
      <c r="K39" s="24">
        <f>'OTPP expense (excluding RCA)'!K18</f>
        <v>36</v>
      </c>
      <c r="L39" s="24">
        <f>'OTPP expense (excluding RCA)'!L18</f>
        <v>39</v>
      </c>
      <c r="M39" s="24">
        <f>'OTPP expense (excluding RCA)'!M18</f>
        <v>40</v>
      </c>
      <c r="N39" s="24">
        <f>'OTPP expense (excluding RCA)'!N18</f>
        <v>43</v>
      </c>
      <c r="O39" s="24">
        <f>'OTPP expense (excluding RCA)'!O18</f>
        <v>44</v>
      </c>
      <c r="P39" s="24">
        <f>'OTPP expense (excluding RCA)'!P18</f>
        <v>42</v>
      </c>
      <c r="Q39" s="131">
        <f>'OTPP expense (excluding RCA)'!Q18</f>
        <v>40</v>
      </c>
      <c r="R39" s="131">
        <f>'OTPP expense (excluding RCA)'!R18</f>
        <v>39</v>
      </c>
      <c r="S39" s="131">
        <f>'OTPP expense (excluding RCA)'!S18</f>
        <v>36</v>
      </c>
      <c r="T39" s="131">
        <f>'OTPP expense (excluding RCA)'!T18</f>
        <v>44</v>
      </c>
      <c r="U39" s="131">
        <f>'OTPP expense (excluding RCA)'!U18</f>
        <v>40</v>
      </c>
      <c r="V39" s="228">
        <f>'OTPP expense (excluding RCA)'!V18</f>
        <v>36</v>
      </c>
      <c r="W39" s="131">
        <f>'OTPP expense (excluding RCA)'!W18</f>
        <v>2</v>
      </c>
      <c r="X39" s="131">
        <f>'OTPP expense (excluding RCA)'!X18</f>
        <v>-18</v>
      </c>
      <c r="Y39" s="131">
        <f>'OTPP expense (excluding RCA)'!Y18</f>
        <v>-20</v>
      </c>
      <c r="Z39" s="131">
        <f>'OTPP expense (excluding RCA)'!Z18</f>
        <v>-24</v>
      </c>
      <c r="AA39" s="131">
        <f>'OTPP expense (excluding RCA)'!AA18</f>
        <v>-25</v>
      </c>
      <c r="AB39" s="350">
        <f>'OTPP expense (excluding RCA)'!AB18</f>
        <v>-27</v>
      </c>
      <c r="AC39" s="86">
        <f>'OTPP expense (excluding RCA)'!AC18</f>
        <v>-30</v>
      </c>
      <c r="AD39" s="86">
        <f>'OTPP expense (excluding RCA)'!AD18</f>
        <v>-29.526283531938638</v>
      </c>
      <c r="AE39" s="86">
        <f>'OTPP expense (excluding RCA)'!AE18</f>
        <v>-31.073229998744214</v>
      </c>
      <c r="AF39" s="247">
        <f>'OTPP expense (excluding RCA)'!AF18</f>
        <v>-31.638746497631519</v>
      </c>
    </row>
    <row r="40" spans="1:32" s="215" customFormat="1" ht="16.5" thickBot="1" x14ac:dyDescent="0.3">
      <c r="A40" s="52" t="s">
        <v>220</v>
      </c>
      <c r="B40" s="9" t="s">
        <v>241</v>
      </c>
      <c r="C40" s="54">
        <f t="shared" ref="C40:Q40" si="17">SUM(C30:C39)</f>
        <v>632.3175</v>
      </c>
      <c r="D40" s="54">
        <f t="shared" si="17"/>
        <v>744.21499999999992</v>
      </c>
      <c r="E40" s="54">
        <f t="shared" si="17"/>
        <v>678.99624999999992</v>
      </c>
      <c r="F40" s="54">
        <f t="shared" si="17"/>
        <v>399.046875</v>
      </c>
      <c r="G40" s="54">
        <f t="shared" si="17"/>
        <v>490.89374999999995</v>
      </c>
      <c r="H40" s="54">
        <f t="shared" si="17"/>
        <v>496.19374999999991</v>
      </c>
      <c r="I40" s="54">
        <f t="shared" si="17"/>
        <v>374.83750000000009</v>
      </c>
      <c r="J40" s="54">
        <f t="shared" si="17"/>
        <v>464.828125</v>
      </c>
      <c r="K40" s="54">
        <f t="shared" si="17"/>
        <v>136.38937499999997</v>
      </c>
      <c r="L40" s="54">
        <f t="shared" si="17"/>
        <v>-152.8468750000001</v>
      </c>
      <c r="M40" s="54">
        <f t="shared" si="17"/>
        <v>-401.5474999999999</v>
      </c>
      <c r="N40" s="54">
        <f t="shared" si="17"/>
        <v>42.510749999999916</v>
      </c>
      <c r="O40" s="54">
        <f t="shared" si="17"/>
        <v>238.24039875000005</v>
      </c>
      <c r="P40" s="54">
        <f t="shared" si="17"/>
        <v>234.77439487499964</v>
      </c>
      <c r="Q40" s="126">
        <f t="shared" si="17"/>
        <v>239.72432156249982</v>
      </c>
      <c r="R40" s="126">
        <f t="shared" ref="R40:AD40" si="18">SUM(R30:R39)</f>
        <v>294.79290849999967</v>
      </c>
      <c r="S40" s="126">
        <f t="shared" si="18"/>
        <v>345.42178361764712</v>
      </c>
      <c r="T40" s="126">
        <f t="shared" si="18"/>
        <v>341.91277174264695</v>
      </c>
      <c r="U40" s="126">
        <f t="shared" si="18"/>
        <v>49.981939117647116</v>
      </c>
      <c r="V40" s="126">
        <f t="shared" si="18"/>
        <v>255.10110261764743</v>
      </c>
      <c r="W40" s="126">
        <f t="shared" si="18"/>
        <v>521.87171615336092</v>
      </c>
      <c r="X40" s="126">
        <f t="shared" si="18"/>
        <v>522.57717230514731</v>
      </c>
      <c r="Y40" s="126">
        <f t="shared" si="18"/>
        <v>894.68598745023655</v>
      </c>
      <c r="Z40" s="126">
        <f t="shared" si="18"/>
        <v>877.97365661764707</v>
      </c>
      <c r="AA40" s="126">
        <f t="shared" si="18"/>
        <v>567.68878886764685</v>
      </c>
      <c r="AB40" s="366">
        <f t="shared" si="18"/>
        <v>113.18279286764664</v>
      </c>
      <c r="AC40" s="99">
        <f t="shared" si="18"/>
        <v>-452.65816598285755</v>
      </c>
      <c r="AD40" s="99">
        <f t="shared" si="18"/>
        <v>-819.83476177699049</v>
      </c>
      <c r="AE40" s="99">
        <f t="shared" ref="AE40:AF40" si="19">SUM(AE30:AE39)</f>
        <v>-1110.3006855079802</v>
      </c>
      <c r="AF40" s="270">
        <f t="shared" si="19"/>
        <v>-1350.801660794222</v>
      </c>
    </row>
    <row r="41" spans="1:32" s="121" customFormat="1" ht="15.75" thickTop="1" x14ac:dyDescent="0.25">
      <c r="A41" s="3"/>
      <c r="B41" s="3"/>
      <c r="C41" s="3"/>
      <c r="D41" s="3"/>
      <c r="E41" s="3"/>
      <c r="F41" s="3"/>
      <c r="G41" s="3"/>
      <c r="H41" s="3"/>
      <c r="I41" s="3"/>
      <c r="J41" s="3"/>
      <c r="K41" s="3"/>
      <c r="L41" s="3"/>
      <c r="M41" s="3"/>
      <c r="N41" s="3"/>
      <c r="O41" s="3"/>
      <c r="P41" s="3"/>
      <c r="R41" s="156">
        <f t="shared" ref="R41:AD41" si="20">R40*1000000</f>
        <v>294792908.49999964</v>
      </c>
      <c r="S41" s="156">
        <f t="shared" si="20"/>
        <v>345421783.61764711</v>
      </c>
      <c r="T41" s="156">
        <f t="shared" si="20"/>
        <v>341912771.74264693</v>
      </c>
      <c r="U41" s="156">
        <f t="shared" si="20"/>
        <v>49981939.117647119</v>
      </c>
      <c r="V41" s="156">
        <f t="shared" si="20"/>
        <v>255101102.61764744</v>
      </c>
      <c r="W41" s="121">
        <f t="shared" si="20"/>
        <v>521871716.1533609</v>
      </c>
      <c r="X41" s="121">
        <f t="shared" si="20"/>
        <v>522577172.30514729</v>
      </c>
      <c r="Y41" s="121">
        <f t="shared" si="20"/>
        <v>894685987.45023656</v>
      </c>
      <c r="Z41" s="381">
        <f t="shared" si="20"/>
        <v>877973656.61764705</v>
      </c>
      <c r="AA41" s="381">
        <f t="shared" si="20"/>
        <v>567688788.86764681</v>
      </c>
      <c r="AB41" s="561">
        <f t="shared" si="20"/>
        <v>113182792.86764663</v>
      </c>
      <c r="AC41" s="315">
        <f t="shared" si="20"/>
        <v>-452658165.98285753</v>
      </c>
      <c r="AD41" s="315">
        <f t="shared" si="20"/>
        <v>-819834761.77699053</v>
      </c>
      <c r="AE41" s="315">
        <f t="shared" ref="AE41:AF41" si="21">AE40*1000000</f>
        <v>-1110300685.5079803</v>
      </c>
      <c r="AF41" s="315">
        <f t="shared" si="21"/>
        <v>-1350801660.7942221</v>
      </c>
    </row>
    <row r="42" spans="1:32" s="121" customFormat="1" x14ac:dyDescent="0.2">
      <c r="A42" s="3"/>
      <c r="B42" s="3"/>
      <c r="C42" s="3"/>
      <c r="D42" s="3"/>
      <c r="E42" s="3"/>
      <c r="F42" s="3"/>
      <c r="G42" s="3"/>
      <c r="H42" s="3"/>
      <c r="I42" s="3"/>
      <c r="J42" s="3"/>
      <c r="K42" s="3"/>
      <c r="L42" s="3"/>
      <c r="M42" s="3"/>
      <c r="N42" s="3"/>
      <c r="O42" s="3"/>
      <c r="P42" s="3"/>
      <c r="X42" s="146"/>
      <c r="Y42" s="146" t="s">
        <v>413</v>
      </c>
      <c r="Z42" s="121">
        <v>-5000000</v>
      </c>
      <c r="AA42" s="121">
        <v>-3000000</v>
      </c>
      <c r="AB42" s="121">
        <v>-3000000</v>
      </c>
      <c r="AC42" s="79"/>
      <c r="AD42" s="79"/>
      <c r="AE42" s="79"/>
      <c r="AF42" s="240"/>
    </row>
    <row r="43" spans="1:32" ht="15" x14ac:dyDescent="0.35">
      <c r="A43" s="41" t="s">
        <v>288</v>
      </c>
      <c r="Y43" s="321" t="s">
        <v>414</v>
      </c>
      <c r="Z43" s="382">
        <f>Z41+Z42</f>
        <v>872973656.61764705</v>
      </c>
      <c r="AA43" s="382">
        <f>AA41+AA42</f>
        <v>564688788.86764681</v>
      </c>
      <c r="AB43" s="562">
        <f>AB41+AB42</f>
        <v>110182792.86764663</v>
      </c>
      <c r="AC43" s="85"/>
      <c r="AD43" s="85"/>
      <c r="AE43" s="85"/>
      <c r="AF43" s="246"/>
    </row>
    <row r="44" spans="1:32" s="121" customFormat="1" x14ac:dyDescent="0.2">
      <c r="A44" s="3" t="s">
        <v>220</v>
      </c>
      <c r="B44" s="3" t="s">
        <v>66</v>
      </c>
      <c r="C44" s="3">
        <f>+C40</f>
        <v>632.3175</v>
      </c>
      <c r="D44" s="3">
        <f t="shared" ref="D44:N44" si="22">+D40</f>
        <v>744.21499999999992</v>
      </c>
      <c r="E44" s="3">
        <f t="shared" si="22"/>
        <v>678.99624999999992</v>
      </c>
      <c r="F44" s="3">
        <f t="shared" si="22"/>
        <v>399.046875</v>
      </c>
      <c r="G44" s="3">
        <f t="shared" si="22"/>
        <v>490.89374999999995</v>
      </c>
      <c r="H44" s="3">
        <f t="shared" si="22"/>
        <v>496.19374999999991</v>
      </c>
      <c r="I44" s="3">
        <f t="shared" si="22"/>
        <v>374.83750000000009</v>
      </c>
      <c r="J44" s="3">
        <f t="shared" si="22"/>
        <v>464.828125</v>
      </c>
      <c r="K44" s="3">
        <f t="shared" si="22"/>
        <v>136.38937499999997</v>
      </c>
      <c r="L44" s="3">
        <f t="shared" si="22"/>
        <v>-152.8468750000001</v>
      </c>
      <c r="M44" s="3">
        <f t="shared" si="22"/>
        <v>-401.5474999999999</v>
      </c>
      <c r="N44" s="3">
        <f t="shared" si="22"/>
        <v>42.510749999999916</v>
      </c>
      <c r="O44" s="3">
        <f t="shared" ref="O44:U44" si="23">+O40</f>
        <v>238.24039875000005</v>
      </c>
      <c r="P44" s="3">
        <f t="shared" si="23"/>
        <v>234.77439487499964</v>
      </c>
      <c r="Q44" s="121">
        <f t="shared" si="23"/>
        <v>239.72432156249982</v>
      </c>
      <c r="R44" s="121">
        <f t="shared" si="23"/>
        <v>294.79290849999967</v>
      </c>
      <c r="S44" s="121">
        <f t="shared" si="23"/>
        <v>345.42178361764712</v>
      </c>
      <c r="T44" s="121">
        <f t="shared" si="23"/>
        <v>341.91277174264695</v>
      </c>
      <c r="U44" s="121">
        <f t="shared" si="23"/>
        <v>49.981939117647116</v>
      </c>
      <c r="V44" s="121">
        <f t="shared" ref="V44:AA44" si="24">+V40</f>
        <v>255.10110261764743</v>
      </c>
      <c r="W44" s="121">
        <f t="shared" si="24"/>
        <v>521.87171615336092</v>
      </c>
      <c r="X44" s="121">
        <f t="shared" si="24"/>
        <v>522.57717230514731</v>
      </c>
      <c r="Y44" s="121">
        <f t="shared" si="24"/>
        <v>894.68598745023655</v>
      </c>
      <c r="Z44" s="106">
        <f t="shared" si="24"/>
        <v>877.97365661764707</v>
      </c>
      <c r="AA44" s="121">
        <f t="shared" si="24"/>
        <v>567.68878886764685</v>
      </c>
      <c r="AB44" s="345">
        <f>+AB40</f>
        <v>113.18279286764664</v>
      </c>
      <c r="AC44" s="79">
        <f>+AC40</f>
        <v>-452.65816598285755</v>
      </c>
      <c r="AD44" s="79">
        <f>+AD40</f>
        <v>-819.83476177699049</v>
      </c>
      <c r="AE44" s="79">
        <f>+AE40</f>
        <v>-1110.3006855079802</v>
      </c>
      <c r="AF44" s="240">
        <f>+AF40</f>
        <v>-1350.801660794222</v>
      </c>
    </row>
    <row r="45" spans="1:32" s="121" customFormat="1" x14ac:dyDescent="0.2">
      <c r="A45" s="3" t="s">
        <v>289</v>
      </c>
      <c r="B45" s="3" t="s">
        <v>287</v>
      </c>
      <c r="C45" s="6">
        <f>'Data Input'!D46*-1</f>
        <v>-655</v>
      </c>
      <c r="D45" s="6">
        <f>'Data Input'!E46*-1</f>
        <v>-872</v>
      </c>
      <c r="E45" s="6">
        <f>'Data Input'!F46*-1</f>
        <v>-933</v>
      </c>
      <c r="F45" s="6">
        <f>'Data Input'!G46*-1</f>
        <v>-441</v>
      </c>
      <c r="G45" s="6">
        <f>'Data Input'!H46*-1</f>
        <v>-566</v>
      </c>
      <c r="H45" s="125">
        <f>'Data Input'!I46*-1-'RCA data'!C34</f>
        <v>-686</v>
      </c>
      <c r="I45" s="125">
        <f>'Data Input'!J46*-1-'RCA data'!D34</f>
        <v>-926</v>
      </c>
      <c r="J45" s="125">
        <f>'Data Input'!K46*-1-'RCA data'!E34</f>
        <v>-1132</v>
      </c>
      <c r="K45" s="125">
        <f>'Data Input'!L46*-1-'RCA data'!F34</f>
        <v>-1109</v>
      </c>
      <c r="L45" s="125">
        <f>'Data Input'!M46*-1-'RCA data'!G34</f>
        <v>-667</v>
      </c>
      <c r="M45" s="125">
        <f>'Data Input'!N46*-1-'RCA data'!H34</f>
        <v>-635</v>
      </c>
      <c r="N45" s="125">
        <f>'Data Input'!O46*-1-'RCA data'!I34</f>
        <v>-645.03436999999997</v>
      </c>
      <c r="O45" s="125">
        <f>'Data Input'!P46*-1-'RCA data'!J34</f>
        <v>-676.24282600000004</v>
      </c>
      <c r="P45" s="125">
        <f>'Data Input'!Q46*-1-'RCA data'!K34</f>
        <v>-684.943175</v>
      </c>
      <c r="Q45" s="125">
        <f>'Data Input'!R46*-1-'RCA data'!L34</f>
        <v>-709.86459278000007</v>
      </c>
      <c r="R45" s="125">
        <f>'Data Input'!S46*-1-'RCA data'!M34</f>
        <v>-741.48453299999994</v>
      </c>
      <c r="S45" s="125">
        <f>'Data Input'!T46*-1-'RCA data'!N34</f>
        <v>-797.03366590999997</v>
      </c>
      <c r="T45" s="125">
        <f>'Data Input'!U46*-1-'RCA data'!O34</f>
        <v>-808.96671099999992</v>
      </c>
      <c r="U45" s="125">
        <f>'Data Input'!V46*-1-'RCA data'!P34</f>
        <v>-1072.5734319999999</v>
      </c>
      <c r="V45" s="125">
        <f>'Data Input'!W46*-1-'RCA data'!Q34</f>
        <v>-1246.11346366</v>
      </c>
      <c r="W45" s="125">
        <f>'Data Input'!X46*-1-'RCA data'!R34</f>
        <v>-1318.4009160000001</v>
      </c>
      <c r="X45" s="125">
        <f>'Data Input'!Y46*-1-'RCA data'!S34</f>
        <v>-1346.195416</v>
      </c>
      <c r="Y45" s="125">
        <f>'Data Input'!Z46*-1-'RCA data'!T34</f>
        <v>-1395.52219311</v>
      </c>
      <c r="Z45" s="125">
        <f>'Data Input'!AA46*-1-'RCA data'!U34</f>
        <v>-1466.1618190000002</v>
      </c>
      <c r="AA45" s="125">
        <f>'Data Input'!AB46*-1-'RCA data'!V34</f>
        <v>-1530.930482</v>
      </c>
      <c r="AB45" s="346">
        <f>'Data Input'!AC46*-1-'RCA data'!W34</f>
        <v>-1600.9070463</v>
      </c>
      <c r="AC45" s="81">
        <f>'Data Input'!AD46*-1-'RCA data'!X34</f>
        <v>-1666.9120079905738</v>
      </c>
      <c r="AD45" s="81">
        <f>'Data Input'!AE46*-1-'RCA data'!Y34</f>
        <v>-1735.4365180831569</v>
      </c>
      <c r="AE45" s="81">
        <f>'Data Input'!AF46*-1-'RCA data'!Z34</f>
        <v>-1797.0289698082915</v>
      </c>
      <c r="AF45" s="241">
        <f>'Data Input'!AG46*-1-'RCA data'!AA34</f>
        <v>-1860.7551458725352</v>
      </c>
    </row>
    <row r="46" spans="1:32" s="216" customFormat="1" ht="15" thickBot="1" x14ac:dyDescent="0.25">
      <c r="A46" s="59" t="s">
        <v>290</v>
      </c>
      <c r="B46" s="60" t="s">
        <v>31</v>
      </c>
      <c r="C46" s="61">
        <f>SUM(C44:C45)</f>
        <v>-22.682500000000005</v>
      </c>
      <c r="D46" s="61">
        <f t="shared" ref="D46:Q46" si="25">SUM(D44:D45)</f>
        <v>-127.78500000000008</v>
      </c>
      <c r="E46" s="61">
        <f t="shared" si="25"/>
        <v>-254.00375000000008</v>
      </c>
      <c r="F46" s="61">
        <f t="shared" si="25"/>
        <v>-41.953125</v>
      </c>
      <c r="G46" s="61">
        <f t="shared" si="25"/>
        <v>-75.106250000000045</v>
      </c>
      <c r="H46" s="61">
        <f t="shared" si="25"/>
        <v>-189.80625000000009</v>
      </c>
      <c r="I46" s="61">
        <f t="shared" si="25"/>
        <v>-551.16249999999991</v>
      </c>
      <c r="J46" s="61">
        <f t="shared" si="25"/>
        <v>-667.171875</v>
      </c>
      <c r="K46" s="61">
        <f t="shared" si="25"/>
        <v>-972.61062500000003</v>
      </c>
      <c r="L46" s="61">
        <f t="shared" si="25"/>
        <v>-819.84687500000007</v>
      </c>
      <c r="M46" s="61">
        <f t="shared" si="25"/>
        <v>-1036.5474999999999</v>
      </c>
      <c r="N46" s="61">
        <f t="shared" si="25"/>
        <v>-602.52362000000005</v>
      </c>
      <c r="O46" s="61">
        <f t="shared" si="25"/>
        <v>-438.00242724999998</v>
      </c>
      <c r="P46" s="61">
        <f t="shared" si="25"/>
        <v>-450.16878012500035</v>
      </c>
      <c r="Q46" s="152">
        <f t="shared" si="25"/>
        <v>-470.14027121750024</v>
      </c>
      <c r="R46" s="152">
        <f t="shared" ref="R46:AD46" si="26">SUM(R44:R45)</f>
        <v>-446.69162450000027</v>
      </c>
      <c r="S46" s="152">
        <f t="shared" si="26"/>
        <v>-451.61188229235285</v>
      </c>
      <c r="T46" s="152">
        <f t="shared" si="26"/>
        <v>-467.05393925735297</v>
      </c>
      <c r="U46" s="152">
        <f t="shared" si="26"/>
        <v>-1022.5914928823528</v>
      </c>
      <c r="V46" s="152">
        <f t="shared" si="26"/>
        <v>-991.0123610423525</v>
      </c>
      <c r="W46" s="152">
        <f t="shared" si="26"/>
        <v>-796.52919984663913</v>
      </c>
      <c r="X46" s="152">
        <f t="shared" si="26"/>
        <v>-823.61824369485271</v>
      </c>
      <c r="Y46" s="152">
        <f t="shared" si="26"/>
        <v>-500.83620565976344</v>
      </c>
      <c r="Z46" s="152">
        <f t="shared" si="26"/>
        <v>-588.18816238235308</v>
      </c>
      <c r="AA46" s="152">
        <f t="shared" si="26"/>
        <v>-963.24169313235313</v>
      </c>
      <c r="AB46" s="380">
        <f t="shared" si="26"/>
        <v>-1487.7242534323534</v>
      </c>
      <c r="AC46" s="107">
        <f t="shared" si="26"/>
        <v>-2119.5701739734313</v>
      </c>
      <c r="AD46" s="107">
        <f t="shared" si="26"/>
        <v>-2555.2712798601474</v>
      </c>
      <c r="AE46" s="107">
        <f t="shared" ref="AE46:AF46" si="27">SUM(AE44:AE45)</f>
        <v>-2907.3296553162718</v>
      </c>
      <c r="AF46" s="284">
        <f t="shared" si="27"/>
        <v>-3211.5568066667574</v>
      </c>
    </row>
    <row r="47" spans="1:32" ht="13.5" thickTop="1" x14ac:dyDescent="0.2">
      <c r="Y47" s="106"/>
      <c r="Z47" s="106"/>
      <c r="AA47" s="106"/>
      <c r="AB47" s="349"/>
      <c r="AC47" s="85"/>
      <c r="AD47" s="85"/>
      <c r="AE47" s="85"/>
      <c r="AF47" s="246"/>
    </row>
    <row r="49" spans="1:32" x14ac:dyDescent="0.2">
      <c r="A49" t="s">
        <v>291</v>
      </c>
      <c r="D49" s="22"/>
      <c r="G49" s="22">
        <f>F17+G46-G17</f>
        <v>0</v>
      </c>
      <c r="H49" s="22">
        <f t="shared" ref="H49:Q49" si="28">G17+H46-H17</f>
        <v>0</v>
      </c>
      <c r="I49" s="22">
        <f t="shared" si="28"/>
        <v>0</v>
      </c>
      <c r="J49" s="22">
        <f t="shared" si="28"/>
        <v>0</v>
      </c>
      <c r="K49" s="22">
        <f t="shared" si="28"/>
        <v>0</v>
      </c>
      <c r="L49" s="22">
        <f t="shared" si="28"/>
        <v>4.0927261579781771E-12</v>
      </c>
      <c r="M49" s="22">
        <f t="shared" si="28"/>
        <v>-0.21125000000256478</v>
      </c>
      <c r="N49" s="22">
        <f t="shared" si="28"/>
        <v>2.71124999999995</v>
      </c>
      <c r="O49" s="22">
        <f t="shared" si="28"/>
        <v>1.3642420526593924E-12</v>
      </c>
      <c r="P49" s="22">
        <f t="shared" si="28"/>
        <v>0.89139487499835468</v>
      </c>
      <c r="Q49" s="106">
        <f t="shared" si="28"/>
        <v>0.46836278250225405</v>
      </c>
      <c r="R49" s="106">
        <f t="shared" ref="R49:AF49" si="29">Q17+R46-R17</f>
        <v>1.0719084999934694</v>
      </c>
      <c r="S49" s="106">
        <f t="shared" si="29"/>
        <v>-0.30528740999579895</v>
      </c>
      <c r="T49" s="106">
        <f t="shared" si="29"/>
        <v>1.3953106250046403</v>
      </c>
      <c r="U49" s="106">
        <f t="shared" si="29"/>
        <v>0.90721299999449911</v>
      </c>
      <c r="V49" s="106">
        <f t="shared" si="29"/>
        <v>0.23223434000465204</v>
      </c>
      <c r="W49" s="106">
        <f t="shared" si="29"/>
        <v>1.0424097500017524</v>
      </c>
      <c r="X49" s="106">
        <f t="shared" si="29"/>
        <v>0.14735218750047352</v>
      </c>
      <c r="Y49" s="106">
        <f t="shared" si="29"/>
        <v>1.4945591400000922</v>
      </c>
      <c r="Z49" s="106">
        <f t="shared" si="29"/>
        <v>2.1780925000020943</v>
      </c>
      <c r="AA49" s="106">
        <f t="shared" si="29"/>
        <v>-0.8906927500047459</v>
      </c>
      <c r="AB49" s="349">
        <f t="shared" si="29"/>
        <v>2.7017897499808896</v>
      </c>
      <c r="AC49" s="85">
        <f t="shared" si="29"/>
        <v>3.2170282000242878</v>
      </c>
      <c r="AD49" s="85">
        <f t="shared" si="29"/>
        <v>3.3087527691695868</v>
      </c>
      <c r="AE49" s="85">
        <f t="shared" si="29"/>
        <v>3.4046965641173301</v>
      </c>
      <c r="AF49" s="246">
        <f t="shared" si="29"/>
        <v>3.5050255491732969</v>
      </c>
    </row>
    <row r="51" spans="1:32" x14ac:dyDescent="0.2">
      <c r="X51" s="303"/>
    </row>
    <row r="52" spans="1:32" x14ac:dyDescent="0.2">
      <c r="W52" s="303"/>
      <c r="Y52" s="106"/>
      <c r="Z52" s="106"/>
    </row>
  </sheetData>
  <phoneticPr fontId="0" type="noConversion"/>
  <pageMargins left="0.51181102362204722" right="0.51181102362204722" top="0.98425196850393704" bottom="0.98425196850393704" header="0.51181102362204722" footer="0.51181102362204722"/>
  <pageSetup paperSize="5" scale="74" orientation="landscape" cellComments="asDisplayed" r:id="rId1"/>
  <headerFooter alignWithMargins="0">
    <oddFooter>&amp;L&amp;"Arial,Bold"&amp;F&amp;C&amp;A&amp;R&amp;D  &amp;T</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R69"/>
  <sheetViews>
    <sheetView workbookViewId="0">
      <pane ySplit="3" topLeftCell="A4" activePane="bottomLeft" state="frozen"/>
      <selection activeCell="W18" sqref="W18"/>
      <selection pane="bottomLeft" activeCell="W18" sqref="W18"/>
    </sheetView>
  </sheetViews>
  <sheetFormatPr defaultRowHeight="12.75" outlineLevelRow="1" x14ac:dyDescent="0.2"/>
  <cols>
    <col min="1" max="1" width="2.85546875" customWidth="1"/>
    <col min="2" max="2" width="58.28515625" customWidth="1"/>
    <col min="3" max="3" width="16.5703125" bestFit="1" customWidth="1"/>
    <col min="4" max="4" width="15.5703125" bestFit="1" customWidth="1"/>
    <col min="5" max="5" width="15" bestFit="1" customWidth="1"/>
    <col min="6" max="6" width="3.28515625" customWidth="1"/>
    <col min="7" max="7" width="7.7109375" customWidth="1"/>
    <col min="8" max="8" width="8" customWidth="1"/>
    <col min="9" max="9" width="3.28515625" customWidth="1"/>
    <col min="10" max="10" width="7.7109375" customWidth="1"/>
    <col min="11" max="11" width="7.85546875" customWidth="1"/>
    <col min="12" max="12" width="3.7109375" customWidth="1"/>
    <col min="16" max="16" width="14.5703125" bestFit="1" customWidth="1"/>
    <col min="17" max="17" width="12.85546875" bestFit="1" customWidth="1"/>
    <col min="18" max="18" width="14.5703125" bestFit="1" customWidth="1"/>
  </cols>
  <sheetData>
    <row r="1" spans="1:12" x14ac:dyDescent="0.2">
      <c r="A1" s="2" t="s">
        <v>373</v>
      </c>
      <c r="B1" s="2"/>
    </row>
    <row r="2" spans="1:12" x14ac:dyDescent="0.2">
      <c r="A2" s="2" t="s">
        <v>374</v>
      </c>
      <c r="B2" s="2"/>
    </row>
    <row r="3" spans="1:12" x14ac:dyDescent="0.2">
      <c r="A3" s="44" t="s">
        <v>466</v>
      </c>
      <c r="B3" s="2"/>
    </row>
    <row r="4" spans="1:12" x14ac:dyDescent="0.2">
      <c r="C4" s="336" t="s">
        <v>375</v>
      </c>
      <c r="D4" s="335"/>
      <c r="E4" s="336"/>
      <c r="G4" s="1062" t="s">
        <v>377</v>
      </c>
      <c r="H4" s="1062"/>
      <c r="I4" s="16"/>
      <c r="J4" s="1062" t="s">
        <v>378</v>
      </c>
      <c r="K4" s="1062"/>
    </row>
    <row r="5" spans="1:12" x14ac:dyDescent="0.2">
      <c r="C5" s="336" t="s">
        <v>376</v>
      </c>
      <c r="D5" s="336">
        <v>2016</v>
      </c>
      <c r="E5" s="336">
        <v>2015</v>
      </c>
      <c r="G5" s="285" t="s">
        <v>379</v>
      </c>
      <c r="H5" s="285" t="s">
        <v>380</v>
      </c>
      <c r="J5" s="285" t="s">
        <v>379</v>
      </c>
      <c r="K5" s="285" t="s">
        <v>380</v>
      </c>
    </row>
    <row r="6" spans="1:12" x14ac:dyDescent="0.2">
      <c r="C6" s="115"/>
      <c r="D6" s="115"/>
    </row>
    <row r="7" spans="1:12" x14ac:dyDescent="0.2">
      <c r="B7" s="3" t="s">
        <v>218</v>
      </c>
      <c r="C7" s="121">
        <v>1412</v>
      </c>
      <c r="D7" s="121">
        <f>ROUND('OTPP&amp; RCA Summary'!AB30,)</f>
        <v>1455</v>
      </c>
      <c r="E7" s="121">
        <f>ROUND('OTPP&amp; RCA Summary'!AA30,)</f>
        <v>1465</v>
      </c>
      <c r="G7" s="121">
        <f>D7-E7</f>
        <v>-10</v>
      </c>
      <c r="H7" s="286">
        <f>G7/E7</f>
        <v>-6.8259385665529011E-3</v>
      </c>
      <c r="J7" s="121">
        <f>D7-C7</f>
        <v>43</v>
      </c>
      <c r="K7" s="286">
        <f>J7/C7</f>
        <v>3.0453257790368272E-2</v>
      </c>
      <c r="L7" s="292" t="s">
        <v>383</v>
      </c>
    </row>
    <row r="8" spans="1:12" x14ac:dyDescent="0.2">
      <c r="B8" s="3" t="s">
        <v>219</v>
      </c>
      <c r="C8" s="130">
        <v>-373</v>
      </c>
      <c r="D8" s="130">
        <f>ROUND('OTPP&amp; RCA Summary'!AB31,0)</f>
        <v>-374</v>
      </c>
      <c r="E8" s="121">
        <f>ROUND('OTPP&amp; RCA Summary'!AA31,0)</f>
        <v>-164</v>
      </c>
      <c r="G8" s="121">
        <f t="shared" ref="G8:G16" si="0">D8-E8</f>
        <v>-210</v>
      </c>
      <c r="H8" s="286">
        <f>G8/E8</f>
        <v>1.2804878048780488</v>
      </c>
      <c r="I8" s="292" t="s">
        <v>384</v>
      </c>
      <c r="J8" s="121">
        <f>D8-C8</f>
        <v>-1</v>
      </c>
      <c r="K8" s="286">
        <f>J8/C8</f>
        <v>2.6809651474530832E-3</v>
      </c>
    </row>
    <row r="9" spans="1:12" x14ac:dyDescent="0.2">
      <c r="B9" s="3" t="s">
        <v>390</v>
      </c>
      <c r="C9" s="130">
        <v>-935</v>
      </c>
      <c r="D9" s="130">
        <f>ROUND('OTPP&amp; RCA Summary'!AB32,0)</f>
        <v>-936</v>
      </c>
      <c r="E9" s="121">
        <f>ROUND('OTPP&amp; RCA Summary'!AA32,0)</f>
        <v>-703</v>
      </c>
      <c r="G9" s="121">
        <f t="shared" si="0"/>
        <v>-233</v>
      </c>
      <c r="H9" s="286">
        <f>G9/E9</f>
        <v>0.33143669985775248</v>
      </c>
      <c r="I9" s="292" t="s">
        <v>384</v>
      </c>
      <c r="J9" s="121">
        <f>D9-C9</f>
        <v>-1</v>
      </c>
      <c r="K9" s="286">
        <f>J9/C9</f>
        <v>1.0695187165775401E-3</v>
      </c>
    </row>
    <row r="10" spans="1:12" x14ac:dyDescent="0.2">
      <c r="B10" s="3" t="s">
        <v>222</v>
      </c>
      <c r="C10" s="121"/>
      <c r="D10" s="121">
        <f>ROUND('OTPP&amp; RCA Summary'!AB33,0)</f>
        <v>0</v>
      </c>
      <c r="E10" s="121">
        <f>ROUND('OTPP&amp; RCA Summary'!AA33,0)</f>
        <v>0</v>
      </c>
      <c r="G10" s="121">
        <f t="shared" si="0"/>
        <v>0</v>
      </c>
      <c r="H10" s="121"/>
      <c r="I10" s="293"/>
      <c r="J10" s="121"/>
      <c r="K10" s="121"/>
    </row>
    <row r="11" spans="1:12" x14ac:dyDescent="0.2">
      <c r="B11" s="3" t="s">
        <v>206</v>
      </c>
      <c r="C11" s="121"/>
      <c r="D11" s="121">
        <f>ROUND('OTPP&amp; RCA Summary'!AB34,0)</f>
        <v>0</v>
      </c>
      <c r="E11" s="121">
        <f>ROUND('OTPP&amp; RCA Summary'!AA34,0)</f>
        <v>0</v>
      </c>
      <c r="G11" s="121">
        <f t="shared" si="0"/>
        <v>0</v>
      </c>
      <c r="H11" s="121"/>
      <c r="I11" s="293"/>
      <c r="J11" s="121"/>
      <c r="K11" s="121"/>
    </row>
    <row r="12" spans="1:12" outlineLevel="1" x14ac:dyDescent="0.2">
      <c r="B12" s="121" t="s">
        <v>284</v>
      </c>
      <c r="C12" s="121"/>
      <c r="D12" s="121">
        <f>ROUND('OTPP&amp; RCA Summary'!AB35,0)</f>
        <v>0</v>
      </c>
      <c r="E12" s="121">
        <f>ROUND('OTPP&amp; RCA Summary'!AA35,0)</f>
        <v>0</v>
      </c>
      <c r="G12" s="121">
        <f t="shared" si="0"/>
        <v>0</v>
      </c>
      <c r="H12" s="121"/>
      <c r="I12" s="293"/>
      <c r="J12" s="121"/>
      <c r="K12" s="121"/>
    </row>
    <row r="13" spans="1:12" x14ac:dyDescent="0.2">
      <c r="B13" s="121" t="s">
        <v>247</v>
      </c>
      <c r="C13" s="121"/>
      <c r="D13" s="121">
        <f>ROUND('OTPP&amp; RCA Summary'!AB36,0)</f>
        <v>0</v>
      </c>
      <c r="E13" s="121">
        <f>ROUND('OTPP&amp; RCA Summary'!AA36,0)</f>
        <v>0</v>
      </c>
      <c r="G13" s="121">
        <f t="shared" si="0"/>
        <v>0</v>
      </c>
      <c r="H13" s="121"/>
      <c r="I13" s="293"/>
      <c r="J13" s="121"/>
      <c r="K13" s="121"/>
    </row>
    <row r="14" spans="1:12" outlineLevel="1" x14ac:dyDescent="0.2">
      <c r="B14" s="121" t="s">
        <v>246</v>
      </c>
      <c r="C14" s="121"/>
      <c r="D14" s="121">
        <f>ROUND('OTPP&amp; RCA Summary'!AB37,0)</f>
        <v>0</v>
      </c>
      <c r="E14" s="121">
        <f>ROUND('OTPP&amp; RCA Summary'!AA37,0)</f>
        <v>0</v>
      </c>
      <c r="G14" s="121">
        <f t="shared" si="0"/>
        <v>0</v>
      </c>
      <c r="H14" s="121"/>
      <c r="I14" s="293"/>
      <c r="J14" s="121"/>
      <c r="K14" s="121"/>
    </row>
    <row r="15" spans="1:12" x14ac:dyDescent="0.2">
      <c r="B15" s="121" t="s">
        <v>342</v>
      </c>
      <c r="C15" s="121">
        <v>-6</v>
      </c>
      <c r="D15" s="121">
        <f>ROUND('OTPP&amp; RCA Summary'!AB38,0)</f>
        <v>-6</v>
      </c>
      <c r="E15" s="121">
        <f>ROUND('OTPP&amp; RCA Summary'!AA38,0)</f>
        <v>-6</v>
      </c>
      <c r="G15" s="121">
        <f t="shared" si="0"/>
        <v>0</v>
      </c>
      <c r="H15" s="286">
        <f>G15/E15</f>
        <v>0</v>
      </c>
      <c r="I15" s="293"/>
      <c r="J15" s="121">
        <f>D15-C15</f>
        <v>0</v>
      </c>
      <c r="K15" s="286">
        <f>J15/C15</f>
        <v>0</v>
      </c>
    </row>
    <row r="16" spans="1:12" x14ac:dyDescent="0.2">
      <c r="B16" s="121" t="s">
        <v>237</v>
      </c>
      <c r="C16" s="144">
        <v>-27</v>
      </c>
      <c r="D16" s="144">
        <f>ROUND('OTPP&amp; RCA Summary'!AB39,0)</f>
        <v>-27</v>
      </c>
      <c r="E16" s="121">
        <f>ROUND('OTPP&amp; RCA Summary'!AA39,0)</f>
        <v>-25</v>
      </c>
      <c r="G16" s="121">
        <f t="shared" si="0"/>
        <v>-2</v>
      </c>
      <c r="H16" s="286">
        <f>G16/E16</f>
        <v>0.08</v>
      </c>
      <c r="I16" s="292"/>
      <c r="J16" s="121">
        <f>D16-C16</f>
        <v>0</v>
      </c>
      <c r="K16" s="286">
        <f>J16/C16</f>
        <v>0</v>
      </c>
    </row>
    <row r="17" spans="2:12" x14ac:dyDescent="0.2">
      <c r="B17" s="301" t="s">
        <v>417</v>
      </c>
      <c r="C17" s="144"/>
      <c r="D17" s="144">
        <v>-2</v>
      </c>
      <c r="E17" s="144">
        <v>-3</v>
      </c>
      <c r="G17" s="121">
        <f t="shared" ref="G17" si="1">D17-E17</f>
        <v>1</v>
      </c>
      <c r="H17" s="286">
        <f>G17/E17</f>
        <v>-0.33333333333333331</v>
      </c>
      <c r="I17" s="292"/>
      <c r="J17" s="121">
        <f>D17-C17</f>
        <v>-2</v>
      </c>
      <c r="K17" s="286" t="e">
        <f>J17/C17</f>
        <v>#DIV/0!</v>
      </c>
    </row>
    <row r="18" spans="2:12" ht="15.75" thickBot="1" x14ac:dyDescent="0.25">
      <c r="B18" s="52" t="s">
        <v>306</v>
      </c>
      <c r="C18" s="149">
        <f>SUM(C7:C16)</f>
        <v>71</v>
      </c>
      <c r="D18" s="149">
        <f>SUM(D7:D17)</f>
        <v>110</v>
      </c>
      <c r="E18" s="67">
        <f>SUM(E7:E17)</f>
        <v>564</v>
      </c>
      <c r="G18" s="66">
        <f>SUM(G7:G17)</f>
        <v>-454</v>
      </c>
      <c r="H18" s="287">
        <f>G18/E18</f>
        <v>-0.80496453900709219</v>
      </c>
      <c r="I18" s="293"/>
      <c r="J18" s="66">
        <f>SUM(J7:J17)</f>
        <v>39</v>
      </c>
      <c r="K18" s="287">
        <f>J18/C18</f>
        <v>0.54929577464788737</v>
      </c>
      <c r="L18" s="288" t="s">
        <v>381</v>
      </c>
    </row>
    <row r="19" spans="2:12" ht="13.5" thickTop="1" x14ac:dyDescent="0.2">
      <c r="C19" s="115"/>
      <c r="D19" s="115"/>
      <c r="I19" s="293"/>
    </row>
    <row r="20" spans="2:12" x14ac:dyDescent="0.2">
      <c r="C20" s="115"/>
      <c r="D20" s="335"/>
      <c r="E20" s="285"/>
      <c r="G20" s="1062" t="s">
        <v>377</v>
      </c>
      <c r="H20" s="1062"/>
      <c r="I20" s="293"/>
    </row>
    <row r="21" spans="2:12" x14ac:dyDescent="0.2">
      <c r="C21" s="115"/>
      <c r="D21" s="336">
        <v>2016</v>
      </c>
      <c r="E21" s="336">
        <v>2015</v>
      </c>
      <c r="G21" s="285" t="s">
        <v>379</v>
      </c>
      <c r="H21" s="285" t="s">
        <v>380</v>
      </c>
      <c r="I21" s="293"/>
    </row>
    <row r="22" spans="2:12" x14ac:dyDescent="0.2">
      <c r="C22" s="115"/>
      <c r="D22" s="336"/>
      <c r="E22" s="336"/>
      <c r="G22" s="285"/>
      <c r="H22" s="285"/>
      <c r="I22" s="293"/>
    </row>
    <row r="23" spans="2:12" x14ac:dyDescent="0.2">
      <c r="B23" s="3" t="s">
        <v>197</v>
      </c>
      <c r="C23" s="127"/>
      <c r="D23" s="121">
        <f>ROUND('OTPP&amp; RCA Summary'!AB8,0)</f>
        <v>58338</v>
      </c>
      <c r="E23" s="121">
        <f>'OTPP&amp; RCA Summary'!AA8</f>
        <v>57065.5</v>
      </c>
      <c r="G23" s="121">
        <f>D23-E23</f>
        <v>1272.5</v>
      </c>
      <c r="H23" s="286">
        <f>G23/E23</f>
        <v>2.2298937186215839E-2</v>
      </c>
      <c r="I23" s="292" t="s">
        <v>385</v>
      </c>
      <c r="J23" s="127"/>
      <c r="K23" s="290"/>
    </row>
    <row r="24" spans="2:12" hidden="1" outlineLevel="1" x14ac:dyDescent="0.2">
      <c r="B24" s="3" t="s">
        <v>206</v>
      </c>
      <c r="C24" s="127"/>
      <c r="D24" s="121">
        <f>'OTPP&amp; RCA Summary'!X9</f>
        <v>0</v>
      </c>
      <c r="E24" s="121">
        <f>'OTPP&amp; RCA Summary'!W9</f>
        <v>0</v>
      </c>
      <c r="G24" s="121">
        <f t="shared" ref="G24:G31" si="2">D24-E24</f>
        <v>0</v>
      </c>
      <c r="H24" s="286" t="e">
        <f t="shared" ref="H24:H29" si="3">G24/E24</f>
        <v>#DIV/0!</v>
      </c>
      <c r="I24" s="293"/>
      <c r="J24" s="127"/>
      <c r="K24" s="290"/>
    </row>
    <row r="25" spans="2:12" hidden="1" outlineLevel="1" x14ac:dyDescent="0.2">
      <c r="B25" s="3" t="s">
        <v>284</v>
      </c>
      <c r="C25" s="127"/>
      <c r="D25" s="121">
        <f>'OTPP&amp; RCA Summary'!X10</f>
        <v>0</v>
      </c>
      <c r="E25" s="121">
        <f>'OTPP&amp; RCA Summary'!W10</f>
        <v>0</v>
      </c>
      <c r="G25" s="121">
        <f t="shared" si="2"/>
        <v>0</v>
      </c>
      <c r="H25" s="286" t="e">
        <f t="shared" si="3"/>
        <v>#DIV/0!</v>
      </c>
      <c r="I25" s="293"/>
      <c r="J25" s="127"/>
      <c r="K25" s="290"/>
    </row>
    <row r="26" spans="2:12" collapsed="1" x14ac:dyDescent="0.2">
      <c r="B26" s="3" t="s">
        <v>198</v>
      </c>
      <c r="C26" s="127"/>
      <c r="D26" s="121">
        <f>ROUND('OTPP&amp; RCA Summary'!AB11,0)</f>
        <v>-78512</v>
      </c>
      <c r="E26" s="121">
        <f>'OTPP&amp; RCA Summary'!AA11</f>
        <v>-71551.051000000007</v>
      </c>
      <c r="G26" s="121">
        <f>D26-E26</f>
        <v>-6960.9489999999932</v>
      </c>
      <c r="H26" s="286">
        <f t="shared" si="3"/>
        <v>9.7286467532112036E-2</v>
      </c>
      <c r="I26" s="292" t="s">
        <v>387</v>
      </c>
      <c r="J26" s="127"/>
      <c r="K26" s="290"/>
    </row>
    <row r="27" spans="2:12" x14ac:dyDescent="0.2">
      <c r="B27" s="3" t="s">
        <v>391</v>
      </c>
      <c r="C27" s="127"/>
      <c r="D27" s="121">
        <f>ROUND('OTPP&amp; RCA Summary'!AB12,0)</f>
        <v>9012</v>
      </c>
      <c r="E27" s="121">
        <f>'OTPP&amp; RCA Summary'!AA12</f>
        <v>4827.6877089754362</v>
      </c>
      <c r="G27" s="121">
        <f t="shared" si="2"/>
        <v>4184.3122910245638</v>
      </c>
      <c r="H27" s="286">
        <f t="shared" si="3"/>
        <v>0.86673217972348637</v>
      </c>
      <c r="I27" s="292" t="s">
        <v>388</v>
      </c>
      <c r="J27" s="127"/>
      <c r="K27" s="290"/>
    </row>
    <row r="28" spans="2:12" x14ac:dyDescent="0.2">
      <c r="B28" s="3" t="s">
        <v>203</v>
      </c>
      <c r="C28" s="127"/>
      <c r="D28" s="121">
        <f>ROUND('OTPP&amp; RCA Summary'!AB13,0)</f>
        <v>895</v>
      </c>
      <c r="E28" s="121">
        <f>'OTPP&amp; RCA Summary'!AA13</f>
        <v>881.60331555883761</v>
      </c>
      <c r="G28" s="121">
        <f t="shared" si="2"/>
        <v>13.396684441162392</v>
      </c>
      <c r="H28" s="286">
        <f t="shared" si="3"/>
        <v>1.5195819031908243E-2</v>
      </c>
      <c r="I28" s="288" t="s">
        <v>381</v>
      </c>
      <c r="J28" s="127"/>
      <c r="K28" s="290"/>
    </row>
    <row r="29" spans="2:12" x14ac:dyDescent="0.2">
      <c r="B29" s="3" t="s">
        <v>199</v>
      </c>
      <c r="C29" s="127"/>
      <c r="D29" s="121">
        <f>ROUND('OTPP&amp; RCA Summary'!AB14,0)</f>
        <v>19</v>
      </c>
      <c r="E29" s="121">
        <f>'OTPP&amp; RCA Summary'!AA14</f>
        <v>18.367251499999998</v>
      </c>
      <c r="G29" s="121">
        <f t="shared" si="2"/>
        <v>0.63274850000000171</v>
      </c>
      <c r="H29" s="286">
        <f t="shared" si="3"/>
        <v>3.4449819560645849E-2</v>
      </c>
      <c r="I29" s="288" t="s">
        <v>381</v>
      </c>
      <c r="J29" s="127"/>
      <c r="K29" s="290"/>
    </row>
    <row r="30" spans="2:12" outlineLevel="1" x14ac:dyDescent="0.2">
      <c r="B30" s="3" t="s">
        <v>248</v>
      </c>
      <c r="C30" s="127"/>
      <c r="D30" s="121">
        <f>ROUND('OTPP&amp; RCA Summary'!AB15,0)</f>
        <v>0</v>
      </c>
      <c r="E30" s="121">
        <f>'OTPP&amp; RCA Summary'!AA15</f>
        <v>0</v>
      </c>
      <c r="G30" s="121">
        <f t="shared" si="2"/>
        <v>0</v>
      </c>
      <c r="H30" s="121"/>
      <c r="I30" s="288" t="s">
        <v>381</v>
      </c>
      <c r="J30" s="127"/>
      <c r="K30" s="290"/>
    </row>
    <row r="31" spans="2:12" x14ac:dyDescent="0.2">
      <c r="B31" s="3" t="s">
        <v>249</v>
      </c>
      <c r="C31" s="127"/>
      <c r="D31" s="121">
        <f>ROUND('OTPP&amp; RCA Summary'!AB16,0)</f>
        <v>254</v>
      </c>
      <c r="E31" s="121">
        <f>'OTPP&amp; RCA Summary'!AA16</f>
        <v>255.87371314285701</v>
      </c>
      <c r="G31" s="121">
        <f t="shared" si="2"/>
        <v>-1.8737131428570137</v>
      </c>
      <c r="H31" s="286">
        <f>G31/E31</f>
        <v>-7.3228043625212088E-3</v>
      </c>
      <c r="I31" s="288" t="s">
        <v>381</v>
      </c>
      <c r="J31" s="127"/>
      <c r="K31" s="290"/>
    </row>
    <row r="32" spans="2:12" x14ac:dyDescent="0.2">
      <c r="B32" s="9" t="s">
        <v>405</v>
      </c>
      <c r="C32" s="127"/>
      <c r="D32" s="121">
        <f>1</f>
        <v>1</v>
      </c>
      <c r="E32" s="121">
        <v>-1</v>
      </c>
      <c r="G32" s="121">
        <f t="shared" ref="G32" si="4">D32-E32</f>
        <v>2</v>
      </c>
      <c r="H32" s="286">
        <f>G32/E32</f>
        <v>-2</v>
      </c>
      <c r="I32" s="288" t="s">
        <v>381</v>
      </c>
      <c r="J32" s="127"/>
      <c r="K32" s="290"/>
    </row>
    <row r="33" spans="1:14" ht="15.75" thickBot="1" x14ac:dyDescent="0.25">
      <c r="B33" s="52" t="s">
        <v>389</v>
      </c>
      <c r="C33" s="127"/>
      <c r="D33" s="148">
        <f>SUM(D23:D32)</f>
        <v>-9993</v>
      </c>
      <c r="E33" s="331">
        <f>SUM(E23:E32)</f>
        <v>-8503.0190108228762</v>
      </c>
      <c r="G33" s="148">
        <f>SUM(G23:G31)</f>
        <v>-1491.980989177124</v>
      </c>
      <c r="H33" s="291">
        <f>G33/E33</f>
        <v>0.17546485398634173</v>
      </c>
      <c r="J33" s="127"/>
      <c r="K33" s="290"/>
    </row>
    <row r="34" spans="1:14" ht="13.5" thickTop="1" x14ac:dyDescent="0.2">
      <c r="C34" s="121"/>
      <c r="D34" s="121"/>
      <c r="E34" s="121"/>
      <c r="G34" s="289"/>
      <c r="H34" s="290"/>
      <c r="I34" s="115"/>
      <c r="J34" s="121"/>
      <c r="K34" s="115"/>
    </row>
    <row r="35" spans="1:14" x14ac:dyDescent="0.2">
      <c r="A35" s="288" t="s">
        <v>381</v>
      </c>
      <c r="B35" s="3" t="s">
        <v>382</v>
      </c>
      <c r="C35" s="115"/>
      <c r="E35" s="115"/>
    </row>
    <row r="37" spans="1:14" x14ac:dyDescent="0.2">
      <c r="A37" s="28" t="s">
        <v>386</v>
      </c>
    </row>
    <row r="39" spans="1:14" x14ac:dyDescent="0.2">
      <c r="A39" s="457" t="s">
        <v>383</v>
      </c>
      <c r="B39" s="195" t="s">
        <v>469</v>
      </c>
      <c r="C39" s="115"/>
      <c r="D39" s="115"/>
      <c r="E39" s="115"/>
      <c r="F39" s="115"/>
      <c r="G39" s="115"/>
      <c r="H39" s="115"/>
      <c r="I39" s="115"/>
      <c r="J39" s="115"/>
      <c r="K39" s="115"/>
      <c r="L39" s="115"/>
    </row>
    <row r="40" spans="1:14" x14ac:dyDescent="0.2">
      <c r="A40" s="457" t="s">
        <v>384</v>
      </c>
      <c r="B40" s="1063" t="s">
        <v>461</v>
      </c>
      <c r="C40" s="1064"/>
      <c r="D40" s="1064"/>
      <c r="E40" s="1064"/>
      <c r="F40" s="1064"/>
      <c r="G40" s="1064"/>
      <c r="H40" s="1064"/>
      <c r="I40" s="1064"/>
      <c r="J40" s="1064"/>
      <c r="K40" s="1064"/>
      <c r="L40" s="1064"/>
    </row>
    <row r="41" spans="1:14" x14ac:dyDescent="0.2">
      <c r="A41" s="457"/>
      <c r="B41" s="1064"/>
      <c r="C41" s="1064"/>
      <c r="D41" s="1064"/>
      <c r="E41" s="1064"/>
      <c r="F41" s="1064"/>
      <c r="G41" s="1064"/>
      <c r="H41" s="1064"/>
      <c r="I41" s="1064"/>
      <c r="J41" s="1064"/>
      <c r="K41" s="1064"/>
      <c r="L41" s="1064"/>
    </row>
    <row r="42" spans="1:14" x14ac:dyDescent="0.2">
      <c r="A42" s="457" t="s">
        <v>385</v>
      </c>
      <c r="B42" s="195" t="s">
        <v>462</v>
      </c>
      <c r="C42" s="115"/>
      <c r="D42" s="115"/>
      <c r="E42" s="115"/>
      <c r="F42" s="115"/>
      <c r="G42" s="115"/>
      <c r="H42" s="115"/>
      <c r="I42" s="115"/>
      <c r="J42" s="115"/>
      <c r="K42" s="115"/>
      <c r="L42" s="115"/>
    </row>
    <row r="43" spans="1:14" x14ac:dyDescent="0.2">
      <c r="A43" s="457" t="s">
        <v>387</v>
      </c>
      <c r="B43" s="195" t="s">
        <v>463</v>
      </c>
      <c r="C43" s="115"/>
      <c r="D43" s="115"/>
      <c r="E43" s="115"/>
      <c r="F43" s="115"/>
      <c r="G43" s="115"/>
      <c r="H43" s="115"/>
      <c r="I43" s="115"/>
      <c r="J43" s="115"/>
      <c r="K43" s="115"/>
      <c r="L43" s="115"/>
    </row>
    <row r="44" spans="1:14" x14ac:dyDescent="0.2">
      <c r="A44" s="457" t="s">
        <v>388</v>
      </c>
      <c r="B44" s="458" t="s">
        <v>464</v>
      </c>
      <c r="C44" s="459"/>
      <c r="D44" s="459"/>
      <c r="E44" s="459"/>
      <c r="F44" s="459"/>
      <c r="G44" s="459"/>
      <c r="H44" s="459"/>
      <c r="I44" s="459"/>
      <c r="J44" s="459"/>
      <c r="K44" s="459"/>
      <c r="L44" s="459"/>
    </row>
    <row r="45" spans="1:14" x14ac:dyDescent="0.2">
      <c r="A45" s="115"/>
      <c r="B45" s="459"/>
      <c r="C45" s="459"/>
      <c r="D45" s="459"/>
      <c r="E45" s="459"/>
      <c r="F45" s="459"/>
      <c r="G45" s="459"/>
      <c r="H45" s="459"/>
      <c r="I45" s="459"/>
      <c r="J45" s="459"/>
      <c r="K45" s="459"/>
      <c r="L45" s="459"/>
    </row>
    <row r="46" spans="1:14" ht="12" customHeight="1" x14ac:dyDescent="0.2">
      <c r="A46" s="1065" t="s">
        <v>465</v>
      </c>
      <c r="B46" s="1064"/>
      <c r="C46" s="1064"/>
      <c r="D46" s="1064"/>
      <c r="E46" s="1064"/>
      <c r="F46" s="1064"/>
      <c r="G46" s="1064"/>
      <c r="H46" s="1064"/>
      <c r="I46" s="1064"/>
      <c r="J46" s="1064"/>
      <c r="K46" s="1064"/>
      <c r="L46" s="459"/>
      <c r="N46" s="332"/>
    </row>
    <row r="47" spans="1:14" ht="26.25" customHeight="1" x14ac:dyDescent="0.2">
      <c r="A47" s="1064"/>
      <c r="B47" s="1064"/>
      <c r="C47" s="1064"/>
      <c r="D47" s="1064"/>
      <c r="E47" s="1064"/>
      <c r="F47" s="1064"/>
      <c r="G47" s="1064"/>
      <c r="H47" s="1064"/>
      <c r="I47" s="1064"/>
      <c r="J47" s="1064"/>
      <c r="K47" s="1064"/>
      <c r="L47" s="459"/>
      <c r="N47" s="332"/>
    </row>
    <row r="48" spans="1:14" x14ac:dyDescent="0.2">
      <c r="A48" s="457"/>
      <c r="B48" s="115"/>
      <c r="C48" s="115"/>
      <c r="D48" s="115"/>
      <c r="E48" s="115"/>
      <c r="F48" s="115"/>
      <c r="G48" s="115"/>
      <c r="H48" s="115"/>
      <c r="I48" s="115"/>
      <c r="J48" s="115"/>
      <c r="K48" s="115"/>
      <c r="L48" s="115"/>
      <c r="N48" s="332"/>
    </row>
    <row r="49" spans="2:18" s="115" customFormat="1" x14ac:dyDescent="0.2">
      <c r="N49" s="195"/>
    </row>
    <row r="50" spans="2:18" s="115" customFormat="1" x14ac:dyDescent="0.2">
      <c r="B50" s="214" t="s">
        <v>392</v>
      </c>
      <c r="C50" s="214">
        <v>237610</v>
      </c>
      <c r="D50" s="214">
        <v>237620</v>
      </c>
      <c r="N50" s="170"/>
    </row>
    <row r="51" spans="2:18" s="115" customFormat="1" x14ac:dyDescent="0.2">
      <c r="B51" s="195" t="s">
        <v>460</v>
      </c>
      <c r="C51" s="420">
        <v>8667523127</v>
      </c>
      <c r="D51" s="420">
        <v>-164931053</v>
      </c>
      <c r="E51" s="106">
        <f t="shared" ref="E51:E56" si="5">SUM(C51:D51)</f>
        <v>8502592074</v>
      </c>
      <c r="P51" s="420"/>
      <c r="Q51" s="420"/>
      <c r="R51" s="289"/>
    </row>
    <row r="52" spans="2:18" s="115" customFormat="1" x14ac:dyDescent="0.2">
      <c r="B52" s="115" t="s">
        <v>467</v>
      </c>
      <c r="C52" s="420">
        <f>-'OTPP excluding (RCA) liability'!AB19</f>
        <v>10146996452.755217</v>
      </c>
      <c r="D52" s="420">
        <f>-'RCA liab'!W13</f>
        <v>-153051398.75</v>
      </c>
      <c r="E52" s="106">
        <f t="shared" si="5"/>
        <v>9993945054.0052166</v>
      </c>
      <c r="P52" s="420"/>
      <c r="Q52" s="420"/>
      <c r="R52" s="289"/>
    </row>
    <row r="53" spans="2:18" s="115" customFormat="1" x14ac:dyDescent="0.2">
      <c r="B53" s="115" t="s">
        <v>393</v>
      </c>
      <c r="C53" s="420">
        <f>'OTPP excluding (RCA) liability'!AB23*1000000</f>
        <v>-1598238087.3</v>
      </c>
      <c r="D53" s="420">
        <f>'RCA liab'!W16*1000000</f>
        <v>-2668959</v>
      </c>
      <c r="E53" s="106">
        <f t="shared" si="5"/>
        <v>-1600907046.3</v>
      </c>
      <c r="P53" s="420"/>
      <c r="Q53" s="420"/>
      <c r="R53" s="289"/>
    </row>
    <row r="54" spans="2:18" s="115" customFormat="1" ht="13.5" thickBot="1" x14ac:dyDescent="0.25">
      <c r="B54" s="115" t="s">
        <v>396</v>
      </c>
      <c r="C54" s="106">
        <f>C51-C52-C53</f>
        <v>118764761.54478335</v>
      </c>
      <c r="D54" s="106">
        <f>D51-D52-D53</f>
        <v>-9210695.25</v>
      </c>
      <c r="E54" s="420">
        <f>SUM(C54:D54)</f>
        <v>109554066.29478335</v>
      </c>
      <c r="P54" s="106"/>
      <c r="Q54" s="106"/>
      <c r="R54" s="564"/>
    </row>
    <row r="55" spans="2:18" s="115" customFormat="1" ht="13.5" thickBot="1" x14ac:dyDescent="0.25">
      <c r="B55" s="115" t="s">
        <v>395</v>
      </c>
      <c r="C55" s="106">
        <f>ROUND('OTPP expense (excluding RCA)'!AB21,0)</f>
        <v>118324044</v>
      </c>
      <c r="D55" s="106">
        <f>ROUND('RCA exp'!V17-3000000,0)</f>
        <v>-8141251</v>
      </c>
      <c r="E55" s="410">
        <f t="shared" si="5"/>
        <v>110182793</v>
      </c>
      <c r="P55" s="106"/>
      <c r="Q55" s="106"/>
      <c r="R55" s="565"/>
    </row>
    <row r="56" spans="2:18" s="115" customFormat="1" x14ac:dyDescent="0.2">
      <c r="B56" s="115" t="s">
        <v>394</v>
      </c>
      <c r="C56" s="106">
        <f>C54-C55</f>
        <v>440717.54478335381</v>
      </c>
      <c r="D56" s="106">
        <f>D54-D55</f>
        <v>-1069444.25</v>
      </c>
      <c r="E56" s="416">
        <f t="shared" si="5"/>
        <v>-628726.70521664619</v>
      </c>
      <c r="F56" s="115" t="s">
        <v>421</v>
      </c>
      <c r="P56" s="106"/>
      <c r="Q56" s="106"/>
      <c r="R56" s="566"/>
    </row>
    <row r="57" spans="2:18" s="115" customFormat="1" x14ac:dyDescent="0.2">
      <c r="R57" s="171"/>
    </row>
    <row r="58" spans="2:18" s="115" customFormat="1" x14ac:dyDescent="0.2"/>
    <row r="59" spans="2:18" s="115" customFormat="1" x14ac:dyDescent="0.2">
      <c r="B59" s="115" t="str">
        <f>B51</f>
        <v>Asset (Obligation) March 31, 2015 Per IFIS</v>
      </c>
      <c r="C59" s="106">
        <f>C51</f>
        <v>8667523127</v>
      </c>
      <c r="D59" s="106">
        <f>D51</f>
        <v>-164931053</v>
      </c>
      <c r="E59" s="106">
        <f>SUM(C59:D59)</f>
        <v>8502592074</v>
      </c>
      <c r="P59" s="106"/>
      <c r="Q59" s="106"/>
      <c r="R59" s="106"/>
    </row>
    <row r="60" spans="2:18" s="115" customFormat="1" ht="12.75" hidden="1" customHeight="1" x14ac:dyDescent="0.2"/>
    <row r="61" spans="2:18" s="115" customFormat="1" x14ac:dyDescent="0.2">
      <c r="B61" s="115" t="s">
        <v>422</v>
      </c>
      <c r="C61" s="106">
        <f>-C53</f>
        <v>1598238087.3</v>
      </c>
      <c r="D61" s="106">
        <f>-D53</f>
        <v>2668959</v>
      </c>
      <c r="E61" s="106">
        <f>SUM(C61:D61)</f>
        <v>1600907046.3</v>
      </c>
      <c r="P61" s="106"/>
      <c r="Q61" s="106"/>
      <c r="R61" s="106"/>
    </row>
    <row r="62" spans="2:18" s="115" customFormat="1" x14ac:dyDescent="0.2">
      <c r="B62" s="115" t="s">
        <v>423</v>
      </c>
      <c r="C62" s="106">
        <f>-C55</f>
        <v>-118324044</v>
      </c>
      <c r="D62" s="106">
        <f>-D55</f>
        <v>8141251</v>
      </c>
      <c r="E62" s="106">
        <f t="shared" ref="E62:E63" si="6">SUM(C62:D62)</f>
        <v>-110182793</v>
      </c>
      <c r="P62" s="289"/>
      <c r="Q62" s="289"/>
      <c r="R62" s="289"/>
    </row>
    <row r="63" spans="2:18" s="115" customFormat="1" x14ac:dyDescent="0.2">
      <c r="B63" s="214" t="s">
        <v>468</v>
      </c>
      <c r="C63" s="413">
        <f>SUM(C59:C62)</f>
        <v>10147437170.299999</v>
      </c>
      <c r="D63" s="412">
        <f>SUM(D59:D62)</f>
        <v>-154120843</v>
      </c>
      <c r="E63" s="411">
        <f t="shared" si="6"/>
        <v>9993316327.2999992</v>
      </c>
      <c r="P63" s="563"/>
      <c r="Q63" s="563"/>
      <c r="R63" s="563"/>
    </row>
    <row r="64" spans="2:18" s="115" customFormat="1" x14ac:dyDescent="0.2"/>
    <row r="65" s="115" customFormat="1" x14ac:dyDescent="0.2"/>
    <row r="66" s="115" customFormat="1" x14ac:dyDescent="0.2"/>
    <row r="67" s="115" customFormat="1" x14ac:dyDescent="0.2"/>
    <row r="68" s="115" customFormat="1" x14ac:dyDescent="0.2"/>
    <row r="69" s="115" customFormat="1" x14ac:dyDescent="0.2"/>
  </sheetData>
  <mergeCells count="5">
    <mergeCell ref="G4:H4"/>
    <mergeCell ref="J4:K4"/>
    <mergeCell ref="G20:H20"/>
    <mergeCell ref="B40:L41"/>
    <mergeCell ref="A46:K47"/>
  </mergeCells>
  <phoneticPr fontId="19" type="noConversion"/>
  <pageMargins left="0.75" right="0.75" top="1" bottom="1" header="0.5" footer="0.5"/>
  <pageSetup scale="59" orientation="landscape" r:id="rId1"/>
  <headerFooter alignWithMargins="0"/>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Z39"/>
  <sheetViews>
    <sheetView workbookViewId="0">
      <pane xSplit="1" ySplit="4" topLeftCell="B5" activePane="bottomRight" state="frozen"/>
      <selection activeCell="W18" sqref="W18"/>
      <selection pane="topRight" activeCell="W18" sqref="W18"/>
      <selection pane="bottomLeft" activeCell="W18" sqref="W18"/>
      <selection pane="bottomRight" activeCell="W18" sqref="W18"/>
    </sheetView>
  </sheetViews>
  <sheetFormatPr defaultRowHeight="12.75" x14ac:dyDescent="0.2"/>
  <cols>
    <col min="1" max="1" width="15.85546875" style="441" customWidth="1"/>
    <col min="2" max="2" width="11.140625" style="419" customWidth="1"/>
    <col min="3" max="5" width="9.140625" style="419"/>
    <col min="6" max="16" width="9.140625" style="418"/>
    <col min="17" max="17" width="9.140625" style="417"/>
    <col min="18" max="16384" width="9.140625" style="418"/>
  </cols>
  <sheetData>
    <row r="1" spans="1:25" x14ac:dyDescent="0.2">
      <c r="A1" s="414" t="s">
        <v>424</v>
      </c>
      <c r="R1" s="417"/>
      <c r="S1" s="415"/>
      <c r="T1" s="550"/>
    </row>
    <row r="2" spans="1:25" x14ac:dyDescent="0.2">
      <c r="R2" s="417"/>
      <c r="S2" s="415"/>
      <c r="T2" s="550"/>
    </row>
    <row r="3" spans="1:25" s="429" customFormat="1" x14ac:dyDescent="0.2">
      <c r="A3" s="437" t="s">
        <v>425</v>
      </c>
      <c r="B3" s="433" t="s">
        <v>426</v>
      </c>
      <c r="C3" s="433"/>
      <c r="D3" s="433"/>
      <c r="E3" s="433"/>
      <c r="Q3" s="425"/>
      <c r="R3" s="425"/>
      <c r="S3" s="421"/>
      <c r="T3" s="551"/>
    </row>
    <row r="4" spans="1:25" s="437" customFormat="1" x14ac:dyDescent="0.2">
      <c r="A4" s="443" t="s">
        <v>427</v>
      </c>
      <c r="B4" s="440" t="s">
        <v>428</v>
      </c>
      <c r="C4" s="436">
        <v>1998</v>
      </c>
      <c r="D4" s="436">
        <v>1999</v>
      </c>
      <c r="E4" s="436">
        <v>2000</v>
      </c>
      <c r="F4" s="443">
        <v>2001</v>
      </c>
      <c r="G4" s="443">
        <v>2002</v>
      </c>
      <c r="H4" s="443">
        <v>2003</v>
      </c>
      <c r="I4" s="443">
        <v>2004</v>
      </c>
      <c r="J4" s="443">
        <v>2005</v>
      </c>
      <c r="K4" s="443">
        <v>2006</v>
      </c>
      <c r="L4" s="443">
        <v>2007</v>
      </c>
      <c r="M4" s="443">
        <v>2008</v>
      </c>
      <c r="N4" s="443">
        <v>2009</v>
      </c>
      <c r="O4" s="443">
        <v>2010</v>
      </c>
      <c r="P4" s="443">
        <v>2011</v>
      </c>
      <c r="Q4" s="432">
        <v>2012</v>
      </c>
      <c r="R4" s="432">
        <v>2013</v>
      </c>
      <c r="S4" s="428">
        <v>2014</v>
      </c>
      <c r="T4" s="552">
        <v>2015</v>
      </c>
      <c r="U4" s="424">
        <v>2016</v>
      </c>
      <c r="V4" s="443">
        <v>2017</v>
      </c>
      <c r="W4" s="443">
        <v>2018</v>
      </c>
      <c r="X4" s="443">
        <v>2019</v>
      </c>
      <c r="Y4" s="443" t="s">
        <v>414</v>
      </c>
    </row>
    <row r="5" spans="1:25" x14ac:dyDescent="0.2">
      <c r="R5" s="417"/>
      <c r="S5" s="415"/>
      <c r="T5" s="550"/>
    </row>
    <row r="6" spans="1:25" x14ac:dyDescent="0.2">
      <c r="A6" s="441">
        <v>1998</v>
      </c>
      <c r="B6" s="419">
        <v>1290</v>
      </c>
      <c r="C6" s="419">
        <f>ROUND($B6/5,0)</f>
        <v>258</v>
      </c>
      <c r="D6" s="419">
        <f>ROUND($B6/5,0)</f>
        <v>258</v>
      </c>
      <c r="E6" s="419">
        <f>ROUND($B6/5,0)</f>
        <v>258</v>
      </c>
      <c r="F6" s="419">
        <f>ROUND($B6/5,0)</f>
        <v>258</v>
      </c>
      <c r="G6" s="419">
        <f>ROUND($B6/5,0)</f>
        <v>258</v>
      </c>
      <c r="R6" s="417"/>
      <c r="S6" s="415"/>
      <c r="T6" s="550"/>
      <c r="Y6" s="418">
        <f t="shared" ref="Y6:Y14" si="0">SUM(C6:R6)</f>
        <v>1290</v>
      </c>
    </row>
    <row r="7" spans="1:25" x14ac:dyDescent="0.2">
      <c r="A7" s="441">
        <v>1999</v>
      </c>
      <c r="B7" s="419">
        <v>6710</v>
      </c>
      <c r="D7" s="419">
        <f>ROUND($B7/5,0)</f>
        <v>1342</v>
      </c>
      <c r="E7" s="419">
        <f>ROUND($B7/5,0)</f>
        <v>1342</v>
      </c>
      <c r="F7" s="419">
        <f>ROUND($B7/5,0)</f>
        <v>1342</v>
      </c>
      <c r="G7" s="419">
        <f>ROUND($B7/5,0)</f>
        <v>1342</v>
      </c>
      <c r="H7" s="419">
        <f>ROUND($B7/5,0)</f>
        <v>1342</v>
      </c>
      <c r="R7" s="417"/>
      <c r="S7" s="415"/>
      <c r="T7" s="550"/>
      <c r="Y7" s="418">
        <f t="shared" si="0"/>
        <v>6710</v>
      </c>
    </row>
    <row r="8" spans="1:25" x14ac:dyDescent="0.2">
      <c r="A8" s="441">
        <v>2000</v>
      </c>
      <c r="B8" s="419">
        <f>-1117</f>
        <v>-1117</v>
      </c>
      <c r="E8" s="419">
        <f>ROUND($B8/5,0)</f>
        <v>-223</v>
      </c>
      <c r="F8" s="419">
        <f>ROUND($B8/5,0)</f>
        <v>-223</v>
      </c>
      <c r="G8" s="419">
        <f>ROUND($B8/5,0)</f>
        <v>-223</v>
      </c>
      <c r="H8" s="419">
        <f>ROUND($B8/5,0)-1</f>
        <v>-224</v>
      </c>
      <c r="I8" s="419">
        <f>ROUND($B8/5,0)-1</f>
        <v>-224</v>
      </c>
      <c r="R8" s="417"/>
      <c r="S8" s="415"/>
      <c r="T8" s="550"/>
      <c r="Y8" s="418">
        <f t="shared" si="0"/>
        <v>-1117</v>
      </c>
    </row>
    <row r="9" spans="1:25" x14ac:dyDescent="0.2">
      <c r="A9" s="441">
        <v>2001</v>
      </c>
      <c r="B9" s="419">
        <v>-6555</v>
      </c>
      <c r="F9" s="419">
        <f>ROUND($B9/5,0)</f>
        <v>-1311</v>
      </c>
      <c r="G9" s="419">
        <f>ROUND($B9/5,0)</f>
        <v>-1311</v>
      </c>
      <c r="H9" s="419">
        <f>ROUND($B9/5,0)</f>
        <v>-1311</v>
      </c>
      <c r="I9" s="419">
        <f>ROUND($B9/5,0)</f>
        <v>-1311</v>
      </c>
      <c r="J9" s="419">
        <f>ROUND($B9/5,0)</f>
        <v>-1311</v>
      </c>
      <c r="R9" s="417"/>
      <c r="S9" s="415"/>
      <c r="T9" s="550"/>
      <c r="Y9" s="418">
        <f t="shared" si="0"/>
        <v>-6555</v>
      </c>
    </row>
    <row r="10" spans="1:25" x14ac:dyDescent="0.2">
      <c r="A10" s="441">
        <v>2002</v>
      </c>
      <c r="B10" s="419">
        <v>-8256</v>
      </c>
      <c r="G10" s="419">
        <f>ROUND($B10/5,0)</f>
        <v>-1651</v>
      </c>
      <c r="H10" s="419">
        <f>ROUND($B10/5,0)</f>
        <v>-1651</v>
      </c>
      <c r="I10" s="419">
        <f>ROUND($B10/5,0)</f>
        <v>-1651</v>
      </c>
      <c r="J10" s="419">
        <f>ROUND($B10/5,0)</f>
        <v>-1651</v>
      </c>
      <c r="K10" s="419">
        <f>ROUND($B10/5,0)-1</f>
        <v>-1652</v>
      </c>
      <c r="R10" s="417"/>
      <c r="S10" s="415"/>
      <c r="T10" s="550"/>
      <c r="Y10" s="418">
        <f t="shared" si="0"/>
        <v>-8256</v>
      </c>
    </row>
    <row r="11" spans="1:25" x14ac:dyDescent="0.2">
      <c r="A11" s="441">
        <v>2003</v>
      </c>
      <c r="B11" s="419">
        <v>5400</v>
      </c>
      <c r="H11" s="419">
        <f>ROUND($B11/5,0)</f>
        <v>1080</v>
      </c>
      <c r="I11" s="419">
        <f>ROUND($B11/5,0)</f>
        <v>1080</v>
      </c>
      <c r="J11" s="419">
        <f>ROUND($B11/5,0)</f>
        <v>1080</v>
      </c>
      <c r="K11" s="419">
        <f>ROUND($B11/5,0)</f>
        <v>1080</v>
      </c>
      <c r="L11" s="419">
        <f>ROUND($B11/5,0)</f>
        <v>1080</v>
      </c>
      <c r="R11" s="417"/>
      <c r="S11" s="415"/>
      <c r="T11" s="550"/>
      <c r="Y11" s="418">
        <f t="shared" si="0"/>
        <v>5400</v>
      </c>
    </row>
    <row r="12" spans="1:25" x14ac:dyDescent="0.2">
      <c r="A12" s="441">
        <v>2004</v>
      </c>
      <c r="B12" s="419">
        <f>727*5+1</f>
        <v>3636</v>
      </c>
      <c r="I12" s="419">
        <f>ROUND($B12/5,0)</f>
        <v>727</v>
      </c>
      <c r="J12" s="419">
        <f>ROUND($B12/5,0)</f>
        <v>727</v>
      </c>
      <c r="K12" s="419">
        <f>ROUND($B12/5,0)+1</f>
        <v>728</v>
      </c>
      <c r="L12" s="419">
        <f t="shared" ref="L12:M15" si="1">ROUND($B12/5,0)</f>
        <v>727</v>
      </c>
      <c r="M12" s="419">
        <f t="shared" si="1"/>
        <v>727</v>
      </c>
      <c r="N12" s="419"/>
      <c r="O12" s="419"/>
      <c r="P12" s="419"/>
      <c r="Q12" s="439"/>
      <c r="R12" s="417"/>
      <c r="S12" s="415"/>
      <c r="T12" s="550"/>
      <c r="Y12" s="418">
        <f t="shared" si="0"/>
        <v>3636</v>
      </c>
    </row>
    <row r="13" spans="1:25" x14ac:dyDescent="0.2">
      <c r="A13" s="441">
        <v>2005</v>
      </c>
      <c r="B13" s="419">
        <v>5929</v>
      </c>
      <c r="J13" s="419">
        <f>ROUND($B13/5,0)-1</f>
        <v>1185</v>
      </c>
      <c r="K13" s="419">
        <f>ROUND($B13/5,0)</f>
        <v>1186</v>
      </c>
      <c r="L13" s="419">
        <f t="shared" si="1"/>
        <v>1186</v>
      </c>
      <c r="M13" s="419">
        <f t="shared" si="1"/>
        <v>1186</v>
      </c>
      <c r="N13" s="419">
        <f>ROUND($B13/5,0)</f>
        <v>1186</v>
      </c>
      <c r="O13" s="419"/>
      <c r="P13" s="419"/>
      <c r="Q13" s="439"/>
      <c r="R13" s="417"/>
      <c r="S13" s="415"/>
      <c r="T13" s="550"/>
      <c r="Y13" s="418">
        <f t="shared" si="0"/>
        <v>5929</v>
      </c>
    </row>
    <row r="14" spans="1:25" x14ac:dyDescent="0.2">
      <c r="A14" s="441">
        <v>2006</v>
      </c>
      <c r="B14" s="419">
        <f>5072+1268</f>
        <v>6340</v>
      </c>
      <c r="K14" s="419">
        <f>ROUND($B14/5,0)</f>
        <v>1268</v>
      </c>
      <c r="L14" s="419">
        <f t="shared" si="1"/>
        <v>1268</v>
      </c>
      <c r="M14" s="419">
        <f t="shared" si="1"/>
        <v>1268</v>
      </c>
      <c r="N14" s="419">
        <f>ROUND($B14/5,0)</f>
        <v>1268</v>
      </c>
      <c r="O14" s="419">
        <f>ROUND($B14/5,0)</f>
        <v>1268</v>
      </c>
      <c r="P14" s="435"/>
      <c r="Q14" s="439"/>
      <c r="R14" s="417"/>
      <c r="S14" s="415"/>
      <c r="T14" s="550"/>
      <c r="Y14" s="418">
        <f t="shared" si="0"/>
        <v>6340</v>
      </c>
    </row>
    <row r="15" spans="1:25" x14ac:dyDescent="0.2">
      <c r="A15" s="441">
        <v>2007</v>
      </c>
      <c r="B15" s="419">
        <f>-3274-818</f>
        <v>-4092</v>
      </c>
      <c r="L15" s="419">
        <f t="shared" si="1"/>
        <v>-818</v>
      </c>
      <c r="M15" s="419">
        <f t="shared" si="1"/>
        <v>-818</v>
      </c>
      <c r="N15" s="419">
        <f>ROUND($B15/5,0)</f>
        <v>-818</v>
      </c>
      <c r="O15" s="419">
        <f>ROUND($B15/5,0)-1</f>
        <v>-819</v>
      </c>
      <c r="P15" s="435">
        <f>ROUND($B15/5,0)-1</f>
        <v>-819</v>
      </c>
      <c r="Q15" s="439"/>
      <c r="R15" s="417"/>
      <c r="S15" s="415"/>
      <c r="T15" s="550"/>
      <c r="Y15" s="418">
        <f>SUM(C15:R15)</f>
        <v>-4092</v>
      </c>
    </row>
    <row r="16" spans="1:25" s="417" customFormat="1" x14ac:dyDescent="0.2">
      <c r="A16" s="431">
        <v>2008</v>
      </c>
      <c r="B16" s="427">
        <f>-20790-5198</f>
        <v>-25988</v>
      </c>
      <c r="C16" s="439"/>
      <c r="D16" s="439"/>
      <c r="E16" s="439"/>
      <c r="L16" s="439"/>
      <c r="M16" s="439">
        <f>ROUND($B16/5,0)</f>
        <v>-5198</v>
      </c>
      <c r="N16" s="439">
        <f>ROUND($B16/5,0)</f>
        <v>-5198</v>
      </c>
      <c r="O16" s="439">
        <f>ROUND($B16/5,0)</f>
        <v>-5198</v>
      </c>
      <c r="P16" s="427">
        <f>ROUND($B16/5,0)</f>
        <v>-5198</v>
      </c>
      <c r="Q16" s="439">
        <f>ROUND($B16/5,0)+1</f>
        <v>-5197</v>
      </c>
      <c r="S16" s="415"/>
      <c r="T16" s="550"/>
      <c r="Y16" s="417">
        <f>SUM(C16:R16)</f>
        <v>-25989</v>
      </c>
    </row>
    <row r="17" spans="1:26" s="417" customFormat="1" x14ac:dyDescent="0.2">
      <c r="A17" s="431">
        <v>2009</v>
      </c>
      <c r="B17" s="439">
        <f>3258+815</f>
        <v>4073</v>
      </c>
      <c r="C17" s="439"/>
      <c r="D17" s="439"/>
      <c r="E17" s="439"/>
      <c r="N17" s="417">
        <v>815</v>
      </c>
      <c r="O17" s="417">
        <v>815</v>
      </c>
      <c r="P17" s="423">
        <v>815</v>
      </c>
      <c r="Q17" s="417">
        <v>814</v>
      </c>
      <c r="R17" s="417">
        <v>814</v>
      </c>
      <c r="S17" s="415"/>
      <c r="T17" s="550"/>
      <c r="Y17" s="417">
        <f>SUM(C17:R17)</f>
        <v>4073</v>
      </c>
    </row>
    <row r="18" spans="1:26" x14ac:dyDescent="0.2">
      <c r="A18" s="431">
        <v>2010</v>
      </c>
      <c r="B18" s="439">
        <f>2115+529</f>
        <v>2644</v>
      </c>
      <c r="C18" s="439"/>
      <c r="D18" s="439"/>
      <c r="E18" s="439"/>
      <c r="F18" s="417"/>
      <c r="G18" s="417"/>
      <c r="H18" s="417"/>
      <c r="I18" s="417"/>
      <c r="J18" s="417"/>
      <c r="K18" s="417"/>
      <c r="L18" s="417"/>
      <c r="M18" s="417"/>
      <c r="N18" s="417"/>
      <c r="O18" s="417">
        <f>ROUND($B$18/5,0)</f>
        <v>529</v>
      </c>
      <c r="P18" s="423">
        <f>ROUND($B$18/5,0)</f>
        <v>529</v>
      </c>
      <c r="Q18" s="417">
        <f>ROUND($B$18/5,0)</f>
        <v>529</v>
      </c>
      <c r="R18" s="417">
        <f>ROUND($B$18/5,0)</f>
        <v>529</v>
      </c>
      <c r="S18" s="415">
        <f>ROUND($B$18/5,0)-1</f>
        <v>528</v>
      </c>
      <c r="T18" s="550"/>
      <c r="U18" s="417"/>
      <c r="V18" s="417"/>
      <c r="W18" s="417"/>
      <c r="X18" s="417"/>
      <c r="Y18" s="417">
        <f>SUM(O18:S18)</f>
        <v>2644</v>
      </c>
    </row>
    <row r="19" spans="1:26" s="417" customFormat="1" x14ac:dyDescent="0.2">
      <c r="A19" s="431">
        <v>2011</v>
      </c>
      <c r="B19" s="439">
        <f>-'[4]Comparison of smoothing 2011'!K27</f>
        <v>4247</v>
      </c>
      <c r="C19" s="439"/>
      <c r="D19" s="439"/>
      <c r="E19" s="439"/>
      <c r="P19" s="417">
        <f>ROUND($B$19/5,0)+1</f>
        <v>850</v>
      </c>
      <c r="Q19" s="417">
        <f>ROUND($B$19/5,0)+1</f>
        <v>850</v>
      </c>
      <c r="R19" s="417">
        <f>ROUND($B$19/5,0)</f>
        <v>849</v>
      </c>
      <c r="S19" s="415">
        <f>ROUND($B$19/5,0)</f>
        <v>849</v>
      </c>
      <c r="T19" s="550">
        <f>ROUND($B$19/5,0)</f>
        <v>849</v>
      </c>
      <c r="Y19" s="417">
        <f>SUM(P19:T19)</f>
        <v>4247</v>
      </c>
    </row>
    <row r="20" spans="1:26" s="417" customFormat="1" x14ac:dyDescent="0.2">
      <c r="A20" s="431">
        <v>2012</v>
      </c>
      <c r="B20" s="439">
        <f>-'[4]Gain avai. for smoothing 2012'!K20</f>
        <v>6555</v>
      </c>
      <c r="C20" s="439"/>
      <c r="D20" s="439"/>
      <c r="E20" s="439"/>
      <c r="Q20" s="417">
        <f>ROUND($B$20/5,0)</f>
        <v>1311</v>
      </c>
      <c r="R20" s="417">
        <f>ROUND($B$20/5,0)</f>
        <v>1311</v>
      </c>
      <c r="S20" s="415">
        <f>ROUND($B$20/5,0)</f>
        <v>1311</v>
      </c>
      <c r="T20" s="550">
        <f>ROUND($B$20/5,0)-1</f>
        <v>1310</v>
      </c>
      <c r="U20" s="417">
        <f>ROUND($B$20/5,0)-1</f>
        <v>1310</v>
      </c>
      <c r="Y20" s="417">
        <f>SUM(P20:U20)</f>
        <v>6553</v>
      </c>
    </row>
    <row r="21" spans="1:26" s="417" customFormat="1" x14ac:dyDescent="0.2">
      <c r="A21" s="431">
        <v>2013</v>
      </c>
      <c r="B21" s="439">
        <f>-'[4]Gain avai. for smoothing 2013'!K20</f>
        <v>4673</v>
      </c>
      <c r="C21" s="439"/>
      <c r="D21" s="439"/>
      <c r="E21" s="439"/>
      <c r="R21" s="417">
        <f>ROUND($B$21/5,0)+1</f>
        <v>936</v>
      </c>
      <c r="S21" s="415">
        <f>ROUND($B$21/5,0)</f>
        <v>935</v>
      </c>
      <c r="T21" s="550">
        <f t="shared" ref="T21:V21" si="2">ROUND($B$21/5,0)</f>
        <v>935</v>
      </c>
      <c r="U21" s="417">
        <f t="shared" si="2"/>
        <v>935</v>
      </c>
      <c r="V21" s="417">
        <f t="shared" si="2"/>
        <v>935</v>
      </c>
      <c r="Y21" s="417">
        <f>SUM(P21:V21)</f>
        <v>4676</v>
      </c>
    </row>
    <row r="22" spans="1:26" x14ac:dyDescent="0.2">
      <c r="A22" s="442">
        <v>2014</v>
      </c>
      <c r="B22" s="438">
        <f>-'[4]Gain avai. for smoothing 2014'!K20</f>
        <v>6408</v>
      </c>
      <c r="C22" s="434"/>
      <c r="D22" s="434"/>
      <c r="E22" s="434"/>
      <c r="F22" s="415"/>
      <c r="G22" s="415"/>
      <c r="H22" s="415"/>
      <c r="I22" s="415"/>
      <c r="J22" s="415"/>
      <c r="K22" s="415"/>
      <c r="L22" s="415"/>
      <c r="M22" s="415"/>
      <c r="N22" s="415"/>
      <c r="O22" s="415"/>
      <c r="P22" s="415"/>
      <c r="Q22" s="415"/>
      <c r="R22" s="415"/>
      <c r="S22" s="430">
        <f>ROUND($B$22/5,0)</f>
        <v>1282</v>
      </c>
      <c r="T22" s="553">
        <f>ROUND($B$22/5,0)</f>
        <v>1282</v>
      </c>
      <c r="U22" s="430">
        <f>ROUND($B$22/5,0)</f>
        <v>1282</v>
      </c>
      <c r="V22" s="426">
        <f>ROUND($B$22/5,0)-1</f>
        <v>1281</v>
      </c>
      <c r="W22" s="426">
        <f>ROUND($B$22/5,0)-1</f>
        <v>1281</v>
      </c>
      <c r="X22" s="426"/>
      <c r="Y22" s="415">
        <f>SUM(C22:W22)</f>
        <v>6408</v>
      </c>
    </row>
    <row r="23" spans="1:26" x14ac:dyDescent="0.2">
      <c r="A23" s="554">
        <v>2015</v>
      </c>
      <c r="B23" s="555">
        <f>-'Gain avai. for smoothing 2015'!K20</f>
        <v>9272</v>
      </c>
      <c r="C23" s="555"/>
      <c r="D23" s="555"/>
      <c r="E23" s="555"/>
      <c r="F23" s="550"/>
      <c r="G23" s="550"/>
      <c r="H23" s="550"/>
      <c r="I23" s="550"/>
      <c r="J23" s="550"/>
      <c r="K23" s="550"/>
      <c r="L23" s="550"/>
      <c r="M23" s="550"/>
      <c r="N23" s="550"/>
      <c r="O23" s="550"/>
      <c r="P23" s="550"/>
      <c r="Q23" s="550"/>
      <c r="R23" s="550"/>
      <c r="S23" s="553"/>
      <c r="T23" s="553">
        <f>ROUND($B$23/5,0)</f>
        <v>1854</v>
      </c>
      <c r="U23" s="553">
        <f t="shared" ref="U23:V23" si="3">ROUND($B$23/5,0)</f>
        <v>1854</v>
      </c>
      <c r="V23" s="553">
        <f t="shared" si="3"/>
        <v>1854</v>
      </c>
      <c r="W23" s="556">
        <f>ROUND($B$23/5,0)+1</f>
        <v>1855</v>
      </c>
      <c r="X23" s="556">
        <f>ROUND($B$23/5,0)+1</f>
        <v>1855</v>
      </c>
      <c r="Y23" s="550">
        <f>SUM(T23:X23)</f>
        <v>9272</v>
      </c>
      <c r="Z23" s="418">
        <f>B23-Y23</f>
        <v>0</v>
      </c>
    </row>
    <row r="24" spans="1:26" x14ac:dyDescent="0.2">
      <c r="R24" s="417"/>
      <c r="S24" s="415"/>
      <c r="T24" s="550"/>
    </row>
    <row r="25" spans="1:26" x14ac:dyDescent="0.2">
      <c r="A25" s="441" t="s">
        <v>429</v>
      </c>
      <c r="E25" s="418"/>
      <c r="F25" s="418">
        <f>SUM(G6:J9)</f>
        <v>-2973</v>
      </c>
      <c r="G25" s="418">
        <f>SUM(H7:K10)</f>
        <v>-9644</v>
      </c>
      <c r="H25" s="418">
        <f>SUM(I8:L11)</f>
        <v>-3480</v>
      </c>
      <c r="I25" s="418">
        <f>SUM(J9:M12)</f>
        <v>1535</v>
      </c>
      <c r="J25" s="418">
        <f>SUM(K10:N13)</f>
        <v>7434</v>
      </c>
      <c r="K25" s="418">
        <f>SUM(L11:O14)</f>
        <v>11164</v>
      </c>
      <c r="L25" s="418">
        <f>SUM(M12:P15)</f>
        <v>3629</v>
      </c>
      <c r="M25" s="417">
        <f>SUM(N13:Q16)</f>
        <v>-19525</v>
      </c>
      <c r="N25" s="417">
        <f>SUM(O14:R17)</f>
        <v>-12705</v>
      </c>
      <c r="O25" s="417">
        <f>SUM(P15:S18)</f>
        <v>-6656</v>
      </c>
      <c r="P25" s="418">
        <f>SUM(Q15:T19)</f>
        <v>1414</v>
      </c>
      <c r="Q25" s="417">
        <f>SUM(R17:U20)</f>
        <v>9660</v>
      </c>
      <c r="R25" s="417">
        <f>SUM(S18:V21)</f>
        <v>9897</v>
      </c>
      <c r="S25" s="415">
        <f>SUM(T19:W22)</f>
        <v>11400</v>
      </c>
      <c r="T25" s="550">
        <f>SUM(U20:X23)</f>
        <v>14442</v>
      </c>
      <c r="U25" s="418">
        <f>SUM(V21:X23)</f>
        <v>9061</v>
      </c>
      <c r="V25" s="418">
        <f>SUM(W22:X23)</f>
        <v>4991</v>
      </c>
      <c r="W25" s="418">
        <f>SUM(X23)</f>
        <v>1855</v>
      </c>
    </row>
    <row r="26" spans="1:26" x14ac:dyDescent="0.2">
      <c r="R26" s="417"/>
      <c r="S26" s="415"/>
      <c r="T26" s="550"/>
    </row>
    <row r="27" spans="1:26" x14ac:dyDescent="0.2">
      <c r="A27" s="441" t="s">
        <v>430</v>
      </c>
      <c r="G27" s="418">
        <f t="shared" ref="G27:S27" si="4">SUM(G6:G24)</f>
        <v>-1585</v>
      </c>
      <c r="H27" s="418">
        <f t="shared" si="4"/>
        <v>-764</v>
      </c>
      <c r="I27" s="418">
        <f t="shared" si="4"/>
        <v>-1379</v>
      </c>
      <c r="J27" s="418">
        <f t="shared" si="4"/>
        <v>30</v>
      </c>
      <c r="K27" s="418">
        <f t="shared" si="4"/>
        <v>2610</v>
      </c>
      <c r="L27" s="418">
        <f t="shared" si="4"/>
        <v>3443</v>
      </c>
      <c r="M27" s="418">
        <f t="shared" si="4"/>
        <v>-2835</v>
      </c>
      <c r="N27" s="418">
        <f t="shared" si="4"/>
        <v>-2747</v>
      </c>
      <c r="O27" s="418">
        <f t="shared" si="4"/>
        <v>-3405</v>
      </c>
      <c r="P27" s="418">
        <f t="shared" si="4"/>
        <v>-3823</v>
      </c>
      <c r="Q27" s="417">
        <f t="shared" si="4"/>
        <v>-1693</v>
      </c>
      <c r="R27" s="417">
        <f t="shared" si="4"/>
        <v>4439</v>
      </c>
      <c r="S27" s="415">
        <f t="shared" si="4"/>
        <v>4905</v>
      </c>
      <c r="T27" s="550">
        <f>SUM(T6:T24)</f>
        <v>6230</v>
      </c>
      <c r="U27" s="418">
        <f>SUM(U6:U24)</f>
        <v>5381</v>
      </c>
      <c r="V27" s="418">
        <f>SUM(V6:V24)</f>
        <v>4070</v>
      </c>
      <c r="W27" s="418">
        <f>SUM(W6:W24)</f>
        <v>3136</v>
      </c>
      <c r="X27" s="418">
        <f>SUM(X6:X24)</f>
        <v>1855</v>
      </c>
    </row>
    <row r="30" spans="1:26" x14ac:dyDescent="0.2">
      <c r="A30" s="419" t="s">
        <v>431</v>
      </c>
      <c r="D30" s="419">
        <f>SUM(B8:B10)</f>
        <v>-15928</v>
      </c>
    </row>
    <row r="31" spans="1:26" x14ac:dyDescent="0.2">
      <c r="A31" s="441" t="s">
        <v>432</v>
      </c>
      <c r="D31" s="419">
        <f>SUM(B11:B14)</f>
        <v>21305</v>
      </c>
    </row>
    <row r="32" spans="1:26" x14ac:dyDescent="0.2">
      <c r="A32" s="419" t="s">
        <v>433</v>
      </c>
      <c r="D32" s="439">
        <f>SUM(B15:B16)</f>
        <v>-30080</v>
      </c>
    </row>
    <row r="33" spans="1:5" x14ac:dyDescent="0.2">
      <c r="A33" s="441" t="s">
        <v>434</v>
      </c>
      <c r="D33" s="439">
        <f>+B17</f>
        <v>4073</v>
      </c>
    </row>
    <row r="34" spans="1:5" x14ac:dyDescent="0.2">
      <c r="A34" s="441" t="s">
        <v>435</v>
      </c>
      <c r="D34" s="439">
        <f>+B18</f>
        <v>2644</v>
      </c>
    </row>
    <row r="35" spans="1:5" x14ac:dyDescent="0.2">
      <c r="A35" s="441" t="s">
        <v>436</v>
      </c>
      <c r="D35" s="439">
        <f>B19</f>
        <v>4247</v>
      </c>
    </row>
    <row r="36" spans="1:5" x14ac:dyDescent="0.2">
      <c r="A36" s="441" t="s">
        <v>437</v>
      </c>
      <c r="D36" s="439">
        <f>B20</f>
        <v>6555</v>
      </c>
    </row>
    <row r="37" spans="1:5" x14ac:dyDescent="0.2">
      <c r="A37" s="441" t="s">
        <v>438</v>
      </c>
      <c r="D37" s="419">
        <f>B21</f>
        <v>4673</v>
      </c>
    </row>
    <row r="38" spans="1:5" x14ac:dyDescent="0.2">
      <c r="A38" s="422" t="s">
        <v>439</v>
      </c>
      <c r="D38" s="419">
        <f>B22</f>
        <v>6408</v>
      </c>
    </row>
    <row r="39" spans="1:5" x14ac:dyDescent="0.2">
      <c r="A39" s="422" t="s">
        <v>450</v>
      </c>
      <c r="D39" s="419">
        <f>B23</f>
        <v>9272</v>
      </c>
      <c r="E39" s="557"/>
    </row>
  </sheetData>
  <pageMargins left="0.75" right="0.75" top="1" bottom="1" header="0.5" footer="0.5"/>
  <pageSetup paperSize="5" scale="65" orientation="landscape" r:id="rId1"/>
  <headerFooter alignWithMargins="0">
    <oddFooter>&amp;L&amp;F&amp;C&amp;A&amp;R&amp;D  &amp;T</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O30"/>
  <sheetViews>
    <sheetView workbookViewId="0">
      <selection activeCell="W18" sqref="W18"/>
    </sheetView>
  </sheetViews>
  <sheetFormatPr defaultRowHeight="15" x14ac:dyDescent="0.25"/>
  <cols>
    <col min="1" max="1" width="1" style="444" customWidth="1"/>
    <col min="2" max="2" width="12.28515625" style="444" customWidth="1"/>
    <col min="3" max="3" width="10.5703125" style="444" customWidth="1"/>
    <col min="4" max="4" width="8.140625" style="444" customWidth="1"/>
    <col min="5" max="5" width="9.7109375" style="444" customWidth="1"/>
    <col min="6" max="6" width="8.5703125" style="444" customWidth="1"/>
    <col min="7" max="7" width="12.42578125" style="444" customWidth="1"/>
    <col min="8" max="8" width="9.5703125" style="444" bestFit="1" customWidth="1"/>
    <col min="9" max="9" width="8.42578125" style="444" customWidth="1"/>
    <col min="10" max="10" width="9.5703125" style="444" bestFit="1" customWidth="1"/>
    <col min="11" max="11" width="11" style="444" customWidth="1"/>
    <col min="12" max="12" width="7.7109375" style="444" customWidth="1"/>
    <col min="13" max="13" width="2.5703125" style="444" customWidth="1"/>
    <col min="14" max="14" width="12.140625" style="444" customWidth="1"/>
    <col min="15" max="15" width="2.7109375" style="444" customWidth="1"/>
    <col min="16" max="16384" width="9.140625" style="444"/>
  </cols>
  <sheetData>
    <row r="1" spans="1:15" x14ac:dyDescent="0.25">
      <c r="C1" s="445" t="s">
        <v>451</v>
      </c>
    </row>
    <row r="3" spans="1:15" x14ac:dyDescent="0.25">
      <c r="A3" s="446"/>
      <c r="B3" s="447"/>
      <c r="C3" s="448"/>
      <c r="D3" s="448"/>
      <c r="E3" s="448"/>
      <c r="F3" s="448"/>
      <c r="G3" s="448"/>
      <c r="H3" s="448"/>
      <c r="I3" s="448"/>
      <c r="J3" s="448"/>
      <c r="K3" s="448"/>
      <c r="L3" s="448"/>
      <c r="M3" s="448"/>
      <c r="N3" s="448"/>
    </row>
    <row r="4" spans="1:15" x14ac:dyDescent="0.25">
      <c r="A4" s="446"/>
      <c r="B4" s="444" t="s">
        <v>452</v>
      </c>
    </row>
    <row r="6" spans="1:15" x14ac:dyDescent="0.25">
      <c r="B6" s="444" t="s">
        <v>440</v>
      </c>
      <c r="H6" s="449"/>
      <c r="I6" s="449"/>
      <c r="J6" s="449"/>
      <c r="K6" s="450">
        <v>154476</v>
      </c>
    </row>
    <row r="7" spans="1:15" x14ac:dyDescent="0.25">
      <c r="B7" s="451" t="s">
        <v>453</v>
      </c>
      <c r="H7" s="449"/>
      <c r="I7" s="449"/>
      <c r="J7" s="449"/>
      <c r="K7" s="450">
        <f>'[4]Assumptions and Trends'!S47</f>
        <v>3299</v>
      </c>
    </row>
    <row r="8" spans="1:15" x14ac:dyDescent="0.25">
      <c r="B8" s="451" t="s">
        <v>454</v>
      </c>
      <c r="C8" s="452"/>
      <c r="D8" s="452"/>
      <c r="E8" s="452"/>
      <c r="F8" s="452"/>
      <c r="G8" s="452"/>
      <c r="H8" s="449"/>
      <c r="I8" s="450"/>
      <c r="J8" s="450"/>
      <c r="K8" s="450">
        <f>-'[4]Assumptions and Trends'!S28</f>
        <v>-5537</v>
      </c>
      <c r="L8" s="452"/>
      <c r="M8" s="452"/>
      <c r="N8" s="452"/>
      <c r="O8" s="452"/>
    </row>
    <row r="9" spans="1:15" x14ac:dyDescent="0.25">
      <c r="B9" s="451" t="s">
        <v>441</v>
      </c>
      <c r="C9" s="452"/>
      <c r="D9" s="452"/>
      <c r="E9" s="452"/>
      <c r="F9" s="452"/>
      <c r="G9" s="452"/>
      <c r="H9" s="449"/>
      <c r="I9" s="450"/>
      <c r="J9" s="450"/>
      <c r="K9" s="450">
        <v>-38</v>
      </c>
      <c r="L9" s="452"/>
      <c r="M9" s="452"/>
      <c r="N9" s="452"/>
      <c r="O9" s="452"/>
    </row>
    <row r="10" spans="1:15" x14ac:dyDescent="0.25">
      <c r="B10" s="451" t="s">
        <v>442</v>
      </c>
      <c r="C10" s="452"/>
      <c r="D10" s="452"/>
      <c r="E10" s="452"/>
      <c r="F10" s="452"/>
      <c r="G10" s="452"/>
      <c r="H10" s="450"/>
      <c r="I10" s="450"/>
      <c r="J10" s="450"/>
      <c r="K10" s="450"/>
      <c r="L10" s="450"/>
      <c r="M10" s="452"/>
      <c r="N10" s="452"/>
      <c r="O10" s="452"/>
    </row>
    <row r="11" spans="1:15" x14ac:dyDescent="0.25">
      <c r="B11" s="453"/>
      <c r="C11" s="452" t="s">
        <v>455</v>
      </c>
      <c r="D11" s="452"/>
      <c r="E11" s="452"/>
      <c r="F11" s="452"/>
      <c r="G11" s="452"/>
      <c r="H11" s="450">
        <f>K6</f>
        <v>154476</v>
      </c>
      <c r="I11" s="450"/>
      <c r="J11" s="450"/>
      <c r="K11" s="450"/>
      <c r="L11" s="450"/>
      <c r="M11" s="452"/>
      <c r="N11" s="452"/>
      <c r="O11" s="452"/>
    </row>
    <row r="12" spans="1:15" x14ac:dyDescent="0.25">
      <c r="B12" s="453"/>
      <c r="C12" s="452" t="s">
        <v>456</v>
      </c>
      <c r="D12" s="452"/>
      <c r="E12" s="452"/>
      <c r="F12" s="452"/>
      <c r="G12" s="452"/>
      <c r="H12" s="558">
        <f>K7/2</f>
        <v>1649.5</v>
      </c>
      <c r="I12" s="450"/>
      <c r="J12" s="450"/>
      <c r="K12" s="450"/>
      <c r="L12" s="450"/>
      <c r="M12" s="452"/>
      <c r="N12" s="452"/>
      <c r="O12" s="452"/>
    </row>
    <row r="13" spans="1:15" x14ac:dyDescent="0.25">
      <c r="B13" s="453"/>
      <c r="C13" s="452" t="s">
        <v>457</v>
      </c>
      <c r="D13" s="452"/>
      <c r="E13" s="452"/>
      <c r="F13" s="452"/>
      <c r="G13" s="452"/>
      <c r="H13" s="454">
        <f>K8/2</f>
        <v>-2768.5</v>
      </c>
      <c r="I13" s="450"/>
      <c r="J13" s="450"/>
      <c r="K13" s="450"/>
      <c r="L13" s="450"/>
      <c r="M13" s="452"/>
      <c r="N13" s="452"/>
      <c r="O13" s="452"/>
    </row>
    <row r="14" spans="1:15" x14ac:dyDescent="0.25">
      <c r="B14" s="453"/>
      <c r="C14" s="452"/>
      <c r="D14" s="452"/>
      <c r="E14" s="452"/>
      <c r="F14" s="452"/>
      <c r="G14" s="452"/>
      <c r="H14" s="450">
        <f>SUM(H11:H13)</f>
        <v>153357</v>
      </c>
      <c r="I14" s="450"/>
      <c r="J14" s="450"/>
      <c r="K14" s="450"/>
      <c r="L14" s="450"/>
      <c r="M14" s="452"/>
      <c r="N14" s="452"/>
      <c r="O14" s="452"/>
    </row>
    <row r="15" spans="1:15" x14ac:dyDescent="0.25">
      <c r="B15" s="453"/>
      <c r="C15" s="452" t="s">
        <v>458</v>
      </c>
      <c r="D15" s="452"/>
      <c r="E15" s="452"/>
      <c r="F15" s="452"/>
      <c r="G15" s="452"/>
      <c r="H15" s="455">
        <v>6.5000000000000002E-2</v>
      </c>
      <c r="I15" s="450"/>
      <c r="J15" s="450"/>
      <c r="K15" s="450"/>
      <c r="L15" s="450"/>
      <c r="M15" s="452"/>
      <c r="N15" s="452"/>
      <c r="O15" s="452"/>
    </row>
    <row r="16" spans="1:15" x14ac:dyDescent="0.25">
      <c r="B16" s="453"/>
      <c r="C16" s="452"/>
      <c r="D16" s="452"/>
      <c r="E16" s="452"/>
      <c r="F16" s="452"/>
      <c r="G16" s="452"/>
      <c r="H16" s="450">
        <f>ROUND(H14*H15,0)</f>
        <v>9968</v>
      </c>
      <c r="I16" s="450"/>
      <c r="J16" s="450"/>
      <c r="K16" s="454">
        <f>H16</f>
        <v>9968</v>
      </c>
      <c r="L16" s="450"/>
      <c r="M16" s="452"/>
      <c r="N16" s="452"/>
      <c r="O16" s="452"/>
    </row>
    <row r="17" spans="2:15" x14ac:dyDescent="0.25">
      <c r="B17" s="453"/>
      <c r="C17" s="452"/>
      <c r="D17" s="452"/>
      <c r="E17" s="452"/>
      <c r="F17" s="452"/>
      <c r="G17" s="452"/>
      <c r="H17" s="450"/>
      <c r="I17" s="450"/>
      <c r="J17" s="450"/>
      <c r="K17" s="450"/>
      <c r="L17" s="450"/>
      <c r="M17" s="452"/>
      <c r="N17" s="452"/>
      <c r="O17" s="452"/>
    </row>
    <row r="18" spans="2:15" x14ac:dyDescent="0.25">
      <c r="B18" s="451" t="s">
        <v>443</v>
      </c>
      <c r="C18" s="452"/>
      <c r="D18" s="452"/>
      <c r="E18" s="452"/>
      <c r="F18" s="452"/>
      <c r="G18" s="452"/>
      <c r="H18" s="450"/>
      <c r="I18" s="450"/>
      <c r="J18" s="450"/>
      <c r="K18" s="450">
        <f>SUM(K6:K16)</f>
        <v>162168</v>
      </c>
      <c r="L18" s="450"/>
      <c r="M18" s="452"/>
      <c r="N18" s="452"/>
      <c r="O18" s="452"/>
    </row>
    <row r="19" spans="2:15" x14ac:dyDescent="0.25">
      <c r="B19" s="444" t="s">
        <v>455</v>
      </c>
      <c r="C19" s="452"/>
      <c r="D19" s="452"/>
      <c r="E19" s="452"/>
      <c r="F19" s="452"/>
      <c r="G19" s="452"/>
      <c r="H19" s="450"/>
      <c r="I19" s="450"/>
      <c r="J19" s="450"/>
      <c r="K19" s="559">
        <v>171440</v>
      </c>
      <c r="L19" s="450"/>
      <c r="M19" s="452"/>
      <c r="N19" s="452"/>
      <c r="O19" s="452"/>
    </row>
    <row r="20" spans="2:15" x14ac:dyDescent="0.25">
      <c r="B20" s="444" t="s">
        <v>444</v>
      </c>
      <c r="C20" s="452"/>
      <c r="D20" s="452"/>
      <c r="E20" s="452"/>
      <c r="F20" s="452"/>
      <c r="G20" s="452"/>
      <c r="H20" s="450"/>
      <c r="I20" s="450"/>
      <c r="J20" s="450"/>
      <c r="K20" s="450">
        <f>K18-K19</f>
        <v>-9272</v>
      </c>
      <c r="L20" s="450"/>
      <c r="M20" s="452"/>
      <c r="N20" s="456"/>
      <c r="O20" s="452"/>
    </row>
    <row r="21" spans="2:15" x14ac:dyDescent="0.25">
      <c r="H21" s="449"/>
      <c r="I21" s="449"/>
      <c r="J21" s="449"/>
      <c r="K21" s="449"/>
      <c r="L21" s="449"/>
    </row>
    <row r="22" spans="2:15" x14ac:dyDescent="0.25">
      <c r="B22" s="1066" t="s">
        <v>459</v>
      </c>
      <c r="C22" s="1067"/>
      <c r="D22" s="1067"/>
      <c r="E22" s="1067"/>
      <c r="F22" s="1067"/>
      <c r="G22" s="1067"/>
      <c r="H22" s="1067"/>
      <c r="I22" s="1067"/>
      <c r="J22" s="1067"/>
      <c r="K22" s="1067"/>
      <c r="L22" s="1067"/>
    </row>
    <row r="23" spans="2:15" x14ac:dyDescent="0.25">
      <c r="B23" s="1067"/>
      <c r="C23" s="1067"/>
      <c r="D23" s="1067"/>
      <c r="E23" s="1067"/>
      <c r="F23" s="1067"/>
      <c r="G23" s="1067"/>
      <c r="H23" s="1067"/>
      <c r="I23" s="1067"/>
      <c r="J23" s="1067"/>
      <c r="K23" s="1067"/>
      <c r="L23" s="1067"/>
    </row>
    <row r="24" spans="2:15" x14ac:dyDescent="0.25">
      <c r="B24" s="1067"/>
      <c r="C24" s="1067"/>
      <c r="D24" s="1067"/>
      <c r="E24" s="1067"/>
      <c r="F24" s="1067"/>
      <c r="G24" s="1067"/>
      <c r="H24" s="1067"/>
      <c r="I24" s="1067"/>
      <c r="J24" s="1067"/>
      <c r="K24" s="1067"/>
      <c r="L24" s="1067"/>
    </row>
    <row r="25" spans="2:15" x14ac:dyDescent="0.25">
      <c r="B25" s="1067"/>
      <c r="C25" s="1067"/>
      <c r="D25" s="1067"/>
      <c r="E25" s="1067"/>
      <c r="F25" s="1067"/>
      <c r="G25" s="1067"/>
      <c r="H25" s="1067"/>
      <c r="I25" s="1067"/>
      <c r="J25" s="1067"/>
      <c r="K25" s="1067"/>
      <c r="L25" s="1067"/>
    </row>
    <row r="30" spans="2:15" x14ac:dyDescent="0.25">
      <c r="J30" s="560"/>
    </row>
  </sheetData>
  <mergeCells count="1">
    <mergeCell ref="B22:L25"/>
  </mergeCells>
  <pageMargins left="0.7" right="0.7" top="0.75" bottom="0.75" header="0.3" footer="0.3"/>
  <pageSetup orientation="landscape" horizontalDpi="300" verticalDpi="300" r:id="rId1"/>
  <headerFooter alignWithMargins="0">
    <oddFooter>&amp;F</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B1:U95"/>
  <sheetViews>
    <sheetView workbookViewId="0">
      <pane ySplit="4" topLeftCell="A5" activePane="bottomLeft" state="frozen"/>
      <selection activeCell="D33" sqref="D33"/>
      <selection pane="bottomLeft" activeCell="C65" sqref="C65:C66"/>
    </sheetView>
  </sheetViews>
  <sheetFormatPr defaultRowHeight="12.75" outlineLevelRow="2" outlineLevelCol="1" x14ac:dyDescent="0.2"/>
  <cols>
    <col min="1" max="1" width="2" style="569" customWidth="1"/>
    <col min="2" max="2" width="3.140625" style="569" customWidth="1"/>
    <col min="3" max="3" width="65.85546875" style="569" customWidth="1"/>
    <col min="4" max="4" width="9.42578125" style="569" hidden="1" customWidth="1" outlineLevel="1"/>
    <col min="5" max="5" width="8.42578125" style="569" hidden="1" customWidth="1" outlineLevel="1"/>
    <col min="6" max="6" width="9" style="569" hidden="1" customWidth="1" outlineLevel="1"/>
    <col min="7" max="7" width="8.28515625" style="569" hidden="1" customWidth="1" outlineLevel="1"/>
    <col min="8" max="8" width="8.5703125" style="569" hidden="1" customWidth="1" outlineLevel="1"/>
    <col min="9" max="9" width="9.140625" style="569" hidden="1" customWidth="1" outlineLevel="1"/>
    <col min="10" max="10" width="9.140625" style="573" hidden="1" customWidth="1" outlineLevel="1"/>
    <col min="11" max="11" width="11" style="573" hidden="1" customWidth="1" outlineLevel="1"/>
    <col min="12" max="12" width="7.5703125" style="573" hidden="1" customWidth="1" outlineLevel="1" collapsed="1"/>
    <col min="13" max="13" width="9.140625" style="573" collapsed="1"/>
    <col min="14" max="15" width="9.140625" style="573"/>
    <col min="16" max="16" width="9.5703125" style="572" bestFit="1" customWidth="1"/>
    <col min="17" max="17" width="9.5703125" style="573" bestFit="1" customWidth="1"/>
    <col min="18" max="19" width="9.5703125" style="572" bestFit="1" customWidth="1"/>
    <col min="20" max="20" width="2.5703125" style="572" customWidth="1"/>
    <col min="21" max="16384" width="9.140625" style="569"/>
  </cols>
  <sheetData>
    <row r="1" spans="2:21" x14ac:dyDescent="0.2">
      <c r="C1" s="570" t="s">
        <v>478</v>
      </c>
      <c r="D1" s="570"/>
      <c r="E1" s="570"/>
      <c r="F1" s="570"/>
      <c r="G1" s="570"/>
      <c r="H1" s="571"/>
      <c r="I1" s="571"/>
      <c r="J1" s="572"/>
      <c r="K1" s="572"/>
      <c r="Q1" s="572"/>
    </row>
    <row r="2" spans="2:21" x14ac:dyDescent="0.2">
      <c r="C2" s="574" t="s">
        <v>479</v>
      </c>
      <c r="H2" s="571"/>
      <c r="I2" s="571"/>
      <c r="J2" s="572"/>
      <c r="K2" s="572"/>
      <c r="L2" s="572"/>
      <c r="M2" s="572"/>
      <c r="N2" s="572"/>
      <c r="O2" s="572"/>
      <c r="Q2" s="572"/>
    </row>
    <row r="3" spans="2:21" ht="13.5" thickBot="1" x14ac:dyDescent="0.25">
      <c r="C3" s="575"/>
      <c r="H3" s="571"/>
      <c r="I3" s="571"/>
      <c r="J3" s="572"/>
      <c r="K3" s="572"/>
      <c r="Q3" s="572"/>
    </row>
    <row r="4" spans="2:21" ht="14.25" x14ac:dyDescent="0.2">
      <c r="B4" s="576"/>
      <c r="C4" s="577"/>
      <c r="D4" s="578" t="s">
        <v>170</v>
      </c>
      <c r="E4" s="578" t="s">
        <v>171</v>
      </c>
      <c r="F4" s="578" t="s">
        <v>172</v>
      </c>
      <c r="G4" s="578" t="s">
        <v>173</v>
      </c>
      <c r="H4" s="578" t="s">
        <v>174</v>
      </c>
      <c r="I4" s="578" t="s">
        <v>175</v>
      </c>
      <c r="J4" s="578" t="s">
        <v>176</v>
      </c>
      <c r="K4" s="578" t="s">
        <v>177</v>
      </c>
      <c r="L4" s="578" t="s">
        <v>178</v>
      </c>
      <c r="M4" s="578" t="s">
        <v>294</v>
      </c>
      <c r="N4" s="579" t="s">
        <v>309</v>
      </c>
      <c r="O4" s="579" t="s">
        <v>315</v>
      </c>
      <c r="P4" s="579" t="s">
        <v>316</v>
      </c>
      <c r="Q4" s="579" t="s">
        <v>480</v>
      </c>
      <c r="R4" s="579" t="s">
        <v>481</v>
      </c>
      <c r="S4" s="579" t="s">
        <v>482</v>
      </c>
      <c r="T4" s="580"/>
    </row>
    <row r="5" spans="2:21" ht="13.5" thickBot="1" x14ac:dyDescent="0.25">
      <c r="B5" s="581"/>
      <c r="C5" s="582"/>
      <c r="D5" s="583"/>
      <c r="E5" s="583"/>
      <c r="F5" s="582"/>
      <c r="G5" s="584"/>
      <c r="H5" s="584"/>
      <c r="I5" s="585"/>
      <c r="J5" s="585"/>
      <c r="K5" s="585" t="s">
        <v>483</v>
      </c>
      <c r="L5" s="585" t="s">
        <v>483</v>
      </c>
      <c r="M5" s="585" t="s">
        <v>483</v>
      </c>
      <c r="N5" s="586" t="s">
        <v>484</v>
      </c>
      <c r="O5" s="587" t="s">
        <v>485</v>
      </c>
      <c r="P5" s="587" t="s">
        <v>486</v>
      </c>
      <c r="Q5" s="587" t="s">
        <v>486</v>
      </c>
      <c r="R5" s="587" t="s">
        <v>486</v>
      </c>
      <c r="S5" s="587" t="s">
        <v>486</v>
      </c>
      <c r="T5" s="588"/>
    </row>
    <row r="6" spans="2:21" x14ac:dyDescent="0.2">
      <c r="B6" s="581"/>
      <c r="C6" s="589" t="s">
        <v>487</v>
      </c>
      <c r="D6" s="590"/>
      <c r="E6" s="590"/>
      <c r="F6" s="591"/>
      <c r="G6" s="592"/>
      <c r="H6" s="593"/>
      <c r="I6" s="594"/>
      <c r="J6" s="593"/>
      <c r="K6" s="593"/>
      <c r="L6" s="593"/>
      <c r="M6" s="593"/>
      <c r="N6" s="593"/>
      <c r="O6" s="593"/>
      <c r="P6" s="593"/>
      <c r="Q6" s="593"/>
      <c r="R6" s="593"/>
      <c r="S6" s="580"/>
      <c r="T6" s="588"/>
    </row>
    <row r="7" spans="2:21" x14ac:dyDescent="0.2">
      <c r="B7" s="581"/>
      <c r="C7" s="595" t="s">
        <v>488</v>
      </c>
      <c r="D7" s="596">
        <v>295</v>
      </c>
      <c r="E7" s="596">
        <v>345</v>
      </c>
      <c r="F7" s="597">
        <v>342</v>
      </c>
      <c r="G7" s="596">
        <v>50</v>
      </c>
      <c r="H7" s="596">
        <v>255</v>
      </c>
      <c r="I7" s="598">
        <v>522</v>
      </c>
      <c r="J7" s="599">
        <v>523</v>
      </c>
      <c r="K7" s="598">
        <v>895</v>
      </c>
      <c r="L7" s="598">
        <v>873</v>
      </c>
      <c r="M7" s="598">
        <v>564</v>
      </c>
      <c r="N7" s="598">
        <v>112</v>
      </c>
      <c r="O7" s="598">
        <v>-452</v>
      </c>
      <c r="P7" s="598">
        <v>-820</v>
      </c>
      <c r="Q7" s="598">
        <v>-1110</v>
      </c>
      <c r="R7" s="598">
        <f>Q7</f>
        <v>-1110</v>
      </c>
      <c r="S7" s="600">
        <f>R7</f>
        <v>-1110</v>
      </c>
      <c r="T7" s="588"/>
    </row>
    <row r="8" spans="2:21" x14ac:dyDescent="0.2">
      <c r="B8" s="581"/>
      <c r="C8" s="581"/>
      <c r="D8" s="572"/>
      <c r="E8" s="572"/>
      <c r="F8" s="573"/>
      <c r="G8" s="601"/>
      <c r="H8" s="602"/>
      <c r="I8" s="603"/>
      <c r="J8" s="604"/>
      <c r="K8" s="605"/>
      <c r="L8" s="605"/>
      <c r="M8" s="605"/>
      <c r="N8" s="606"/>
      <c r="O8" s="606"/>
      <c r="P8" s="606"/>
      <c r="Q8" s="606"/>
      <c r="R8" s="606"/>
      <c r="S8" s="607"/>
      <c r="T8" s="588"/>
    </row>
    <row r="9" spans="2:21" x14ac:dyDescent="0.2">
      <c r="B9" s="581"/>
      <c r="C9" s="608" t="s">
        <v>489</v>
      </c>
      <c r="D9" s="609">
        <v>81</v>
      </c>
      <c r="E9" s="609">
        <v>85</v>
      </c>
      <c r="F9" s="609">
        <v>70</v>
      </c>
      <c r="G9" s="610">
        <v>279</v>
      </c>
      <c r="H9" s="610">
        <v>438</v>
      </c>
      <c r="I9" s="611">
        <v>609</v>
      </c>
      <c r="J9" s="612">
        <v>521</v>
      </c>
      <c r="K9" s="611">
        <v>607</v>
      </c>
      <c r="L9" s="611">
        <v>550</v>
      </c>
      <c r="M9" s="603">
        <v>641</v>
      </c>
      <c r="N9" s="603">
        <v>538</v>
      </c>
      <c r="O9" s="603">
        <v>524</v>
      </c>
      <c r="P9" s="603">
        <v>447</v>
      </c>
      <c r="Q9" s="603">
        <v>403</v>
      </c>
      <c r="R9" s="603">
        <f>Q9</f>
        <v>403</v>
      </c>
      <c r="S9" s="613">
        <f>R9</f>
        <v>403</v>
      </c>
      <c r="T9" s="588"/>
      <c r="U9" s="614"/>
    </row>
    <row r="10" spans="2:21" s="571" customFormat="1" x14ac:dyDescent="0.2">
      <c r="B10" s="615"/>
      <c r="C10" s="615" t="s">
        <v>490</v>
      </c>
      <c r="D10" s="572">
        <v>7</v>
      </c>
      <c r="E10" s="572">
        <v>21</v>
      </c>
      <c r="F10" s="572">
        <v>33</v>
      </c>
      <c r="G10" s="602">
        <v>28</v>
      </c>
      <c r="H10" s="602">
        <v>43</v>
      </c>
      <c r="I10" s="603">
        <v>3</v>
      </c>
      <c r="J10" s="604">
        <v>32</v>
      </c>
      <c r="K10" s="603">
        <v>23</v>
      </c>
      <c r="L10" s="603">
        <v>22</v>
      </c>
      <c r="M10" s="603">
        <v>-27</v>
      </c>
      <c r="N10" s="603">
        <v>31</v>
      </c>
      <c r="O10" s="603">
        <v>23</v>
      </c>
      <c r="P10" s="603">
        <v>23</v>
      </c>
      <c r="Q10" s="603">
        <v>23</v>
      </c>
      <c r="R10" s="603">
        <f>Q10</f>
        <v>23</v>
      </c>
      <c r="S10" s="613">
        <f>R10</f>
        <v>23</v>
      </c>
      <c r="T10" s="616"/>
    </row>
    <row r="11" spans="2:21" s="571" customFormat="1" ht="12" customHeight="1" x14ac:dyDescent="0.2">
      <c r="B11" s="615"/>
      <c r="C11" s="615" t="s">
        <v>491</v>
      </c>
      <c r="D11" s="572">
        <v>176</v>
      </c>
      <c r="E11" s="572">
        <v>103</v>
      </c>
      <c r="F11" s="572">
        <v>67</v>
      </c>
      <c r="G11" s="602">
        <v>54</v>
      </c>
      <c r="H11" s="602">
        <v>99</v>
      </c>
      <c r="I11" s="603">
        <v>157</v>
      </c>
      <c r="J11" s="604">
        <v>198</v>
      </c>
      <c r="K11" s="603">
        <v>261</v>
      </c>
      <c r="L11" s="603">
        <v>294</v>
      </c>
      <c r="M11" s="603">
        <v>219</v>
      </c>
      <c r="N11" s="603">
        <v>180.18266528925628</v>
      </c>
      <c r="O11" s="603">
        <v>134.50516528925621</v>
      </c>
      <c r="P11" s="603">
        <v>98.473915289256198</v>
      </c>
      <c r="Q11" s="603">
        <v>88.5625</v>
      </c>
      <c r="R11" s="603">
        <v>88.5625</v>
      </c>
      <c r="S11" s="613">
        <v>88.5625</v>
      </c>
      <c r="T11" s="588"/>
    </row>
    <row r="12" spans="2:21" x14ac:dyDescent="0.2">
      <c r="B12" s="581"/>
      <c r="C12" s="615" t="s">
        <v>492</v>
      </c>
      <c r="D12" s="572">
        <v>-37</v>
      </c>
      <c r="E12" s="572">
        <v>-37</v>
      </c>
      <c r="F12" s="572">
        <v>-39</v>
      </c>
      <c r="G12" s="602">
        <v>-40</v>
      </c>
      <c r="H12" s="602">
        <v>-44</v>
      </c>
      <c r="I12" s="603">
        <v>-43</v>
      </c>
      <c r="J12" s="604">
        <v>-45</v>
      </c>
      <c r="K12" s="604">
        <v>-46</v>
      </c>
      <c r="L12" s="604">
        <v>-46</v>
      </c>
      <c r="M12" s="604">
        <v>-46</v>
      </c>
      <c r="N12" s="604">
        <v>-30</v>
      </c>
      <c r="O12" s="604">
        <v>-30</v>
      </c>
      <c r="P12" s="604">
        <v>-30</v>
      </c>
      <c r="Q12" s="604">
        <v>-30</v>
      </c>
      <c r="R12" s="604">
        <v>-30</v>
      </c>
      <c r="S12" s="617">
        <v>-30</v>
      </c>
      <c r="T12" s="588"/>
    </row>
    <row r="13" spans="2:21" x14ac:dyDescent="0.2">
      <c r="B13" s="581"/>
      <c r="C13" s="608" t="s">
        <v>493</v>
      </c>
      <c r="D13" s="618">
        <v>502</v>
      </c>
      <c r="E13" s="618">
        <v>385</v>
      </c>
      <c r="F13" s="618">
        <v>400</v>
      </c>
      <c r="G13" s="602">
        <v>650</v>
      </c>
      <c r="H13" s="619">
        <v>413</v>
      </c>
      <c r="I13" s="620">
        <v>456</v>
      </c>
      <c r="J13" s="621">
        <v>594</v>
      </c>
      <c r="K13" s="620">
        <v>674</v>
      </c>
      <c r="L13" s="620">
        <v>445</v>
      </c>
      <c r="M13" s="620">
        <v>319</v>
      </c>
      <c r="N13" s="620">
        <v>372</v>
      </c>
      <c r="O13" s="620">
        <v>350</v>
      </c>
      <c r="P13" s="620">
        <v>361</v>
      </c>
      <c r="Q13" s="620">
        <v>373</v>
      </c>
      <c r="R13" s="620">
        <v>385</v>
      </c>
      <c r="S13" s="622">
        <v>414</v>
      </c>
      <c r="T13" s="588"/>
      <c r="U13" s="614"/>
    </row>
    <row r="14" spans="2:21" x14ac:dyDescent="0.2">
      <c r="B14" s="581"/>
      <c r="C14" s="595" t="s">
        <v>494</v>
      </c>
      <c r="D14" s="596">
        <v>729</v>
      </c>
      <c r="E14" s="596">
        <v>557</v>
      </c>
      <c r="F14" s="597">
        <f t="shared" ref="F14:O14" si="0">SUM(F9:F13)</f>
        <v>531</v>
      </c>
      <c r="G14" s="623">
        <f t="shared" si="0"/>
        <v>971</v>
      </c>
      <c r="H14" s="624">
        <f t="shared" si="0"/>
        <v>949</v>
      </c>
      <c r="I14" s="625">
        <f t="shared" si="0"/>
        <v>1182</v>
      </c>
      <c r="J14" s="626">
        <f t="shared" si="0"/>
        <v>1300</v>
      </c>
      <c r="K14" s="627">
        <f t="shared" si="0"/>
        <v>1519</v>
      </c>
      <c r="L14" s="625">
        <f t="shared" si="0"/>
        <v>1265</v>
      </c>
      <c r="M14" s="625">
        <f t="shared" si="0"/>
        <v>1106</v>
      </c>
      <c r="N14" s="625">
        <f t="shared" si="0"/>
        <v>1091.1826652892564</v>
      </c>
      <c r="O14" s="625">
        <f t="shared" si="0"/>
        <v>1001.5051652892562</v>
      </c>
      <c r="P14" s="625">
        <f>SUM(P9:P13)</f>
        <v>899.47391528925618</v>
      </c>
      <c r="Q14" s="625">
        <f>SUM(Q9:Q13)</f>
        <v>857.5625</v>
      </c>
      <c r="R14" s="625">
        <f>SUM(R9:R13)</f>
        <v>869.5625</v>
      </c>
      <c r="S14" s="628">
        <f>SUM(S9:S13)</f>
        <v>898.5625</v>
      </c>
      <c r="T14" s="588"/>
    </row>
    <row r="15" spans="2:21" x14ac:dyDescent="0.2">
      <c r="B15" s="581"/>
      <c r="C15" s="595"/>
      <c r="D15" s="629"/>
      <c r="E15" s="629"/>
      <c r="F15" s="630"/>
      <c r="G15" s="601"/>
      <c r="H15" s="602"/>
      <c r="I15" s="603"/>
      <c r="J15" s="604"/>
      <c r="K15" s="603"/>
      <c r="L15" s="603"/>
      <c r="M15" s="603"/>
      <c r="N15" s="606"/>
      <c r="O15" s="606"/>
      <c r="P15" s="606"/>
      <c r="Q15" s="606"/>
      <c r="R15" s="606"/>
      <c r="S15" s="607"/>
      <c r="T15" s="588"/>
    </row>
    <row r="16" spans="2:21" x14ac:dyDescent="0.2">
      <c r="B16" s="581"/>
      <c r="C16" s="595" t="s">
        <v>495</v>
      </c>
      <c r="D16" s="629">
        <v>663</v>
      </c>
      <c r="E16" s="629">
        <v>719</v>
      </c>
      <c r="F16" s="630">
        <v>750</v>
      </c>
      <c r="G16" s="629">
        <v>853</v>
      </c>
      <c r="H16" s="629">
        <v>956</v>
      </c>
      <c r="I16" s="631">
        <v>938</v>
      </c>
      <c r="J16" s="632">
        <v>995</v>
      </c>
      <c r="K16" s="631">
        <v>1036</v>
      </c>
      <c r="L16" s="631">
        <v>1000</v>
      </c>
      <c r="M16" s="603">
        <v>843</v>
      </c>
      <c r="N16" s="603">
        <v>751</v>
      </c>
      <c r="O16" s="603">
        <v>631</v>
      </c>
      <c r="P16" s="603">
        <v>548</v>
      </c>
      <c r="Q16" s="603">
        <v>537</v>
      </c>
      <c r="R16" s="603">
        <v>537</v>
      </c>
      <c r="S16" s="613">
        <v>537</v>
      </c>
      <c r="T16" s="588"/>
      <c r="U16" s="633"/>
    </row>
    <row r="17" spans="2:20" x14ac:dyDescent="0.2">
      <c r="B17" s="581"/>
      <c r="C17" s="595" t="s">
        <v>496</v>
      </c>
      <c r="D17" s="629">
        <v>70</v>
      </c>
      <c r="E17" s="629">
        <v>82</v>
      </c>
      <c r="F17" s="630">
        <v>93</v>
      </c>
      <c r="G17" s="629">
        <v>94</v>
      </c>
      <c r="H17" s="629">
        <v>153</v>
      </c>
      <c r="I17" s="631">
        <v>184</v>
      </c>
      <c r="J17" s="632">
        <v>179</v>
      </c>
      <c r="K17" s="631">
        <v>213</v>
      </c>
      <c r="L17" s="631">
        <v>201</v>
      </c>
      <c r="M17" s="603">
        <v>209</v>
      </c>
      <c r="N17" s="603">
        <v>198</v>
      </c>
      <c r="O17" s="603">
        <v>187</v>
      </c>
      <c r="P17" s="603">
        <v>172</v>
      </c>
      <c r="Q17" s="603">
        <v>166</v>
      </c>
      <c r="R17" s="603">
        <v>166</v>
      </c>
      <c r="S17" s="613">
        <v>166</v>
      </c>
      <c r="T17" s="588"/>
    </row>
    <row r="18" spans="2:20" x14ac:dyDescent="0.2">
      <c r="B18" s="581"/>
      <c r="C18" s="595"/>
      <c r="D18" s="629"/>
      <c r="E18" s="629"/>
      <c r="F18" s="630"/>
      <c r="G18" s="630"/>
      <c r="H18" s="602"/>
      <c r="I18" s="603"/>
      <c r="J18" s="604"/>
      <c r="K18" s="603"/>
      <c r="L18" s="603"/>
      <c r="M18" s="603"/>
      <c r="N18" s="606"/>
      <c r="O18" s="606"/>
      <c r="P18" s="606"/>
      <c r="Q18" s="606"/>
      <c r="R18" s="606"/>
      <c r="S18" s="607"/>
      <c r="T18" s="588"/>
    </row>
    <row r="19" spans="2:20" ht="15.75" thickBot="1" x14ac:dyDescent="0.3">
      <c r="B19" s="581"/>
      <c r="C19" s="634" t="s">
        <v>497</v>
      </c>
      <c r="D19" s="635">
        <f t="shared" ref="D19:N19" si="1">D7+D14+D16+D17</f>
        <v>1757</v>
      </c>
      <c r="E19" s="635">
        <f t="shared" si="1"/>
        <v>1703</v>
      </c>
      <c r="F19" s="636">
        <f t="shared" si="1"/>
        <v>1716</v>
      </c>
      <c r="G19" s="636">
        <f t="shared" si="1"/>
        <v>1968</v>
      </c>
      <c r="H19" s="635">
        <f t="shared" si="1"/>
        <v>2313</v>
      </c>
      <c r="I19" s="637">
        <f t="shared" si="1"/>
        <v>2826</v>
      </c>
      <c r="J19" s="638">
        <f t="shared" si="1"/>
        <v>2997</v>
      </c>
      <c r="K19" s="637">
        <f>K7+K14+K16+K17</f>
        <v>3663</v>
      </c>
      <c r="L19" s="637">
        <f>L7+L14+L16+L17</f>
        <v>3339</v>
      </c>
      <c r="M19" s="637">
        <f t="shared" si="1"/>
        <v>2722</v>
      </c>
      <c r="N19" s="637">
        <f t="shared" si="1"/>
        <v>2152.1826652892564</v>
      </c>
      <c r="O19" s="637">
        <f>O7+O14+O16+O17</f>
        <v>1367.5051652892562</v>
      </c>
      <c r="P19" s="637">
        <f t="shared" ref="P19:S19" si="2">P7+P14+P16+P17</f>
        <v>799.47391528925618</v>
      </c>
      <c r="Q19" s="637">
        <f t="shared" si="2"/>
        <v>450.5625</v>
      </c>
      <c r="R19" s="637">
        <f t="shared" si="2"/>
        <v>462.5625</v>
      </c>
      <c r="S19" s="639">
        <f t="shared" si="2"/>
        <v>491.5625</v>
      </c>
      <c r="T19" s="588"/>
    </row>
    <row r="20" spans="2:20" x14ac:dyDescent="0.2">
      <c r="B20" s="581"/>
      <c r="C20" s="573"/>
      <c r="D20" s="573"/>
      <c r="E20" s="573"/>
      <c r="F20" s="573"/>
      <c r="G20" s="573"/>
      <c r="H20" s="573"/>
      <c r="I20" s="640"/>
      <c r="J20" s="640"/>
      <c r="K20" s="640"/>
      <c r="L20" s="640"/>
      <c r="M20" s="640"/>
      <c r="N20" s="640"/>
      <c r="O20" s="641"/>
      <c r="P20" s="641"/>
      <c r="Q20" s="641"/>
      <c r="R20" s="641"/>
      <c r="S20" s="641"/>
      <c r="T20" s="588"/>
    </row>
    <row r="21" spans="2:20" hidden="1" outlineLevel="1" x14ac:dyDescent="0.2">
      <c r="B21" s="581"/>
      <c r="C21" s="589" t="s">
        <v>498</v>
      </c>
      <c r="D21" s="591"/>
      <c r="E21" s="591"/>
      <c r="F21" s="591"/>
      <c r="G21" s="591"/>
      <c r="H21" s="592"/>
      <c r="I21" s="642"/>
      <c r="J21" s="642"/>
      <c r="K21" s="642"/>
      <c r="L21" s="642"/>
      <c r="M21" s="642"/>
      <c r="N21" s="642"/>
      <c r="O21" s="642"/>
      <c r="P21" s="643"/>
      <c r="Q21" s="644"/>
      <c r="R21" s="643"/>
      <c r="S21" s="643"/>
      <c r="T21" s="588"/>
    </row>
    <row r="22" spans="2:20" hidden="1" outlineLevel="1" x14ac:dyDescent="0.2">
      <c r="B22" s="581"/>
      <c r="C22" s="581" t="s">
        <v>499</v>
      </c>
      <c r="D22" s="573"/>
      <c r="E22" s="573"/>
      <c r="F22" s="573"/>
      <c r="G22" s="573"/>
      <c r="H22" s="630"/>
      <c r="I22" s="631"/>
      <c r="J22" s="631"/>
      <c r="K22" s="631"/>
      <c r="L22" s="631"/>
      <c r="M22" s="631"/>
      <c r="N22" s="598">
        <v>71</v>
      </c>
      <c r="O22" s="598">
        <v>-298</v>
      </c>
      <c r="P22" s="645">
        <v>-586</v>
      </c>
      <c r="Q22" s="646">
        <v>-586</v>
      </c>
      <c r="R22" s="645">
        <v>-586</v>
      </c>
      <c r="S22" s="645">
        <v>-586</v>
      </c>
      <c r="T22" s="588"/>
    </row>
    <row r="23" spans="2:20" ht="12" hidden="1" customHeight="1" outlineLevel="1" x14ac:dyDescent="0.2">
      <c r="B23" s="581"/>
      <c r="C23" s="581"/>
      <c r="D23" s="573"/>
      <c r="E23" s="573"/>
      <c r="F23" s="573"/>
      <c r="G23" s="573"/>
      <c r="H23" s="573"/>
      <c r="I23" s="641"/>
      <c r="J23" s="603"/>
      <c r="K23" s="603"/>
      <c r="L23" s="603"/>
      <c r="M23" s="605"/>
      <c r="N23" s="603"/>
      <c r="O23" s="603"/>
      <c r="P23" s="603"/>
      <c r="Q23" s="647"/>
      <c r="R23" s="603"/>
      <c r="S23" s="603"/>
      <c r="T23" s="588"/>
    </row>
    <row r="24" spans="2:20" hidden="1" outlineLevel="1" x14ac:dyDescent="0.2">
      <c r="B24" s="581"/>
      <c r="C24" s="581" t="s">
        <v>500</v>
      </c>
      <c r="D24" s="573"/>
      <c r="E24" s="573"/>
      <c r="F24" s="573"/>
      <c r="G24" s="573"/>
      <c r="H24" s="602"/>
      <c r="I24" s="603"/>
      <c r="J24" s="603"/>
      <c r="K24" s="603"/>
      <c r="L24" s="603"/>
      <c r="M24" s="603"/>
      <c r="N24" s="603">
        <v>571</v>
      </c>
      <c r="O24" s="603">
        <v>482</v>
      </c>
      <c r="P24" s="648">
        <v>427</v>
      </c>
      <c r="Q24" s="649">
        <v>427</v>
      </c>
      <c r="R24" s="648">
        <v>427</v>
      </c>
      <c r="S24" s="648">
        <v>427</v>
      </c>
      <c r="T24" s="588"/>
    </row>
    <row r="25" spans="2:20" hidden="1" outlineLevel="1" x14ac:dyDescent="0.2">
      <c r="B25" s="581"/>
      <c r="C25" s="581" t="s">
        <v>490</v>
      </c>
      <c r="D25" s="573"/>
      <c r="E25" s="573"/>
      <c r="F25" s="573"/>
      <c r="G25" s="573"/>
      <c r="H25" s="602"/>
      <c r="I25" s="603"/>
      <c r="J25" s="603"/>
      <c r="K25" s="603"/>
      <c r="L25" s="603"/>
      <c r="M25" s="603"/>
      <c r="N25" s="603">
        <v>22</v>
      </c>
      <c r="O25" s="603">
        <v>21</v>
      </c>
      <c r="P25" s="648">
        <v>21</v>
      </c>
      <c r="Q25" s="649">
        <v>21</v>
      </c>
      <c r="R25" s="648">
        <v>21</v>
      </c>
      <c r="S25" s="648">
        <v>21</v>
      </c>
      <c r="T25" s="588"/>
    </row>
    <row r="26" spans="2:20" hidden="1" outlineLevel="1" x14ac:dyDescent="0.2">
      <c r="B26" s="581"/>
      <c r="C26" s="581" t="s">
        <v>491</v>
      </c>
      <c r="D26" s="573"/>
      <c r="E26" s="573"/>
      <c r="F26" s="573"/>
      <c r="G26" s="573"/>
      <c r="H26" s="602"/>
      <c r="I26" s="603"/>
      <c r="J26" s="603"/>
      <c r="K26" s="603"/>
      <c r="L26" s="603"/>
      <c r="M26" s="603"/>
      <c r="N26" s="603">
        <v>193</v>
      </c>
      <c r="O26" s="603">
        <v>152</v>
      </c>
      <c r="P26" s="648">
        <v>124</v>
      </c>
      <c r="Q26" s="649">
        <v>124</v>
      </c>
      <c r="R26" s="648">
        <v>124</v>
      </c>
      <c r="S26" s="648">
        <v>124</v>
      </c>
      <c r="T26" s="588"/>
    </row>
    <row r="27" spans="2:20" hidden="1" outlineLevel="1" x14ac:dyDescent="0.2">
      <c r="B27" s="581"/>
      <c r="C27" s="581" t="s">
        <v>492</v>
      </c>
      <c r="D27" s="573"/>
      <c r="E27" s="573"/>
      <c r="F27" s="573"/>
      <c r="G27" s="573"/>
      <c r="H27" s="602"/>
      <c r="I27" s="603"/>
      <c r="J27" s="603"/>
      <c r="K27" s="603"/>
      <c r="L27" s="603"/>
      <c r="M27" s="604"/>
      <c r="N27" s="603">
        <v>-30</v>
      </c>
      <c r="O27" s="603">
        <v>-30</v>
      </c>
      <c r="P27" s="648">
        <v>-30</v>
      </c>
      <c r="Q27" s="649">
        <v>-30</v>
      </c>
      <c r="R27" s="648">
        <v>-30</v>
      </c>
      <c r="S27" s="648">
        <v>-30</v>
      </c>
      <c r="T27" s="588"/>
    </row>
    <row r="28" spans="2:20" hidden="1" outlineLevel="1" x14ac:dyDescent="0.2">
      <c r="B28" s="581"/>
      <c r="C28" s="581" t="s">
        <v>501</v>
      </c>
      <c r="D28" s="573"/>
      <c r="E28" s="573"/>
      <c r="F28" s="573"/>
      <c r="G28" s="573"/>
      <c r="H28" s="601"/>
      <c r="I28" s="603"/>
      <c r="J28" s="603"/>
      <c r="K28" s="603"/>
      <c r="L28" s="603"/>
      <c r="M28" s="603"/>
      <c r="N28" s="620">
        <v>334</v>
      </c>
      <c r="O28" s="620">
        <v>346</v>
      </c>
      <c r="P28" s="648">
        <v>359</v>
      </c>
      <c r="Q28" s="649">
        <v>359</v>
      </c>
      <c r="R28" s="648">
        <v>359</v>
      </c>
      <c r="S28" s="648">
        <v>359</v>
      </c>
      <c r="T28" s="588"/>
    </row>
    <row r="29" spans="2:20" hidden="1" outlineLevel="1" x14ac:dyDescent="0.2">
      <c r="B29" s="581"/>
      <c r="C29" s="595" t="s">
        <v>494</v>
      </c>
      <c r="D29" s="630"/>
      <c r="E29" s="573"/>
      <c r="F29" s="573"/>
      <c r="G29" s="573"/>
      <c r="H29" s="630"/>
      <c r="I29" s="631"/>
      <c r="J29" s="631"/>
      <c r="K29" s="631"/>
      <c r="L29" s="631"/>
      <c r="M29" s="631"/>
      <c r="N29" s="625">
        <f t="shared" ref="N29:S29" si="3">SUM(N24:N28)</f>
        <v>1090</v>
      </c>
      <c r="O29" s="625">
        <f t="shared" si="3"/>
        <v>971</v>
      </c>
      <c r="P29" s="650">
        <f t="shared" si="3"/>
        <v>901</v>
      </c>
      <c r="Q29" s="651">
        <f t="shared" si="3"/>
        <v>901</v>
      </c>
      <c r="R29" s="650">
        <f t="shared" si="3"/>
        <v>901</v>
      </c>
      <c r="S29" s="650">
        <f t="shared" si="3"/>
        <v>901</v>
      </c>
      <c r="T29" s="588"/>
    </row>
    <row r="30" spans="2:20" hidden="1" outlineLevel="1" x14ac:dyDescent="0.2">
      <c r="B30" s="581"/>
      <c r="C30" s="581"/>
      <c r="D30" s="573"/>
      <c r="E30" s="573"/>
      <c r="F30" s="573"/>
      <c r="G30" s="573"/>
      <c r="H30" s="573"/>
      <c r="I30" s="641"/>
      <c r="J30" s="603"/>
      <c r="K30" s="603"/>
      <c r="L30" s="603"/>
      <c r="M30" s="603"/>
      <c r="N30" s="603"/>
      <c r="O30" s="652"/>
      <c r="P30" s="648"/>
      <c r="Q30" s="649"/>
      <c r="R30" s="648"/>
      <c r="S30" s="648"/>
      <c r="T30" s="588"/>
    </row>
    <row r="31" spans="2:20" hidden="1" outlineLevel="1" x14ac:dyDescent="0.2">
      <c r="B31" s="581"/>
      <c r="C31" s="595" t="s">
        <v>495</v>
      </c>
      <c r="D31" s="630"/>
      <c r="E31" s="630"/>
      <c r="F31" s="630"/>
      <c r="G31" s="630"/>
      <c r="H31" s="629"/>
      <c r="I31" s="631"/>
      <c r="J31" s="631"/>
      <c r="K31" s="631"/>
      <c r="L31" s="631"/>
      <c r="M31" s="631"/>
      <c r="N31" s="631">
        <v>769</v>
      </c>
      <c r="O31" s="653">
        <v>656</v>
      </c>
      <c r="P31" s="654">
        <v>554</v>
      </c>
      <c r="Q31" s="655">
        <v>554</v>
      </c>
      <c r="R31" s="654">
        <v>554</v>
      </c>
      <c r="S31" s="654">
        <v>554</v>
      </c>
      <c r="T31" s="588"/>
    </row>
    <row r="32" spans="2:20" ht="14.25" hidden="1" customHeight="1" outlineLevel="1" x14ac:dyDescent="0.2">
      <c r="B32" s="581"/>
      <c r="C32" s="595" t="s">
        <v>496</v>
      </c>
      <c r="D32" s="630"/>
      <c r="E32" s="630"/>
      <c r="F32" s="630"/>
      <c r="G32" s="630"/>
      <c r="H32" s="629"/>
      <c r="I32" s="631"/>
      <c r="J32" s="631"/>
      <c r="K32" s="631"/>
      <c r="L32" s="631"/>
      <c r="M32" s="631"/>
      <c r="N32" s="631">
        <v>197</v>
      </c>
      <c r="O32" s="653">
        <v>185</v>
      </c>
      <c r="P32" s="654">
        <v>169</v>
      </c>
      <c r="Q32" s="655">
        <v>169</v>
      </c>
      <c r="R32" s="654">
        <v>169</v>
      </c>
      <c r="S32" s="654">
        <v>169</v>
      </c>
      <c r="T32" s="588"/>
    </row>
    <row r="33" spans="2:20" hidden="1" outlineLevel="1" x14ac:dyDescent="0.2">
      <c r="B33" s="581"/>
      <c r="C33" s="581"/>
      <c r="D33" s="573"/>
      <c r="E33" s="573"/>
      <c r="F33" s="573"/>
      <c r="G33" s="573"/>
      <c r="H33" s="573"/>
      <c r="I33" s="641"/>
      <c r="J33" s="603"/>
      <c r="K33" s="603"/>
      <c r="L33" s="603"/>
      <c r="M33" s="603"/>
      <c r="N33" s="603"/>
      <c r="O33" s="652"/>
      <c r="P33" s="648"/>
      <c r="Q33" s="649"/>
      <c r="R33" s="648"/>
      <c r="S33" s="648"/>
      <c r="T33" s="588"/>
    </row>
    <row r="34" spans="2:20" ht="15.75" hidden="1" outlineLevel="1" thickBot="1" x14ac:dyDescent="0.3">
      <c r="B34" s="581"/>
      <c r="C34" s="634" t="s">
        <v>497</v>
      </c>
      <c r="D34" s="636"/>
      <c r="E34" s="656"/>
      <c r="F34" s="656"/>
      <c r="G34" s="656"/>
      <c r="H34" s="636"/>
      <c r="I34" s="637"/>
      <c r="J34" s="637"/>
      <c r="K34" s="637"/>
      <c r="L34" s="637"/>
      <c r="M34" s="637"/>
      <c r="N34" s="637">
        <f t="shared" ref="N34:S34" si="4">N22+N29+N31+N32</f>
        <v>2127</v>
      </c>
      <c r="O34" s="637">
        <f t="shared" si="4"/>
        <v>1514</v>
      </c>
      <c r="P34" s="657">
        <f t="shared" si="4"/>
        <v>1038</v>
      </c>
      <c r="Q34" s="658">
        <f t="shared" si="4"/>
        <v>1038</v>
      </c>
      <c r="R34" s="657">
        <f t="shared" si="4"/>
        <v>1038</v>
      </c>
      <c r="S34" s="657">
        <f t="shared" si="4"/>
        <v>1038</v>
      </c>
      <c r="T34" s="588"/>
    </row>
    <row r="35" spans="2:20" ht="15.75" hidden="1" outlineLevel="1" thickBot="1" x14ac:dyDescent="0.3">
      <c r="B35" s="581"/>
      <c r="C35" s="659"/>
      <c r="D35" s="659"/>
      <c r="E35" s="660"/>
      <c r="F35" s="660"/>
      <c r="G35" s="660"/>
      <c r="H35" s="659"/>
      <c r="I35" s="661"/>
      <c r="J35" s="661"/>
      <c r="K35" s="661"/>
      <c r="L35" s="661"/>
      <c r="M35" s="661"/>
      <c r="N35" s="661"/>
      <c r="O35" s="661"/>
      <c r="P35" s="662"/>
      <c r="Q35" s="662"/>
      <c r="R35" s="662"/>
      <c r="S35" s="662"/>
      <c r="T35" s="588"/>
    </row>
    <row r="36" spans="2:20" hidden="1" outlineLevel="2" x14ac:dyDescent="0.2">
      <c r="B36" s="581"/>
      <c r="C36" s="589" t="s">
        <v>502</v>
      </c>
      <c r="D36" s="591"/>
      <c r="E36" s="591"/>
      <c r="F36" s="591"/>
      <c r="G36" s="591"/>
      <c r="H36" s="592"/>
      <c r="I36" s="642"/>
      <c r="J36" s="663"/>
      <c r="K36" s="663"/>
      <c r="L36" s="663"/>
      <c r="M36" s="663"/>
      <c r="N36" s="663"/>
      <c r="O36" s="642"/>
      <c r="P36" s="642"/>
      <c r="Q36" s="664"/>
      <c r="R36" s="642"/>
      <c r="S36" s="642"/>
      <c r="T36" s="588"/>
    </row>
    <row r="37" spans="2:20" hidden="1" outlineLevel="2" x14ac:dyDescent="0.2">
      <c r="B37" s="581"/>
      <c r="C37" s="581" t="s">
        <v>499</v>
      </c>
      <c r="D37" s="573"/>
      <c r="E37" s="573"/>
      <c r="F37" s="573"/>
      <c r="G37" s="573"/>
      <c r="H37" s="630"/>
      <c r="I37" s="631"/>
      <c r="J37" s="665"/>
      <c r="K37" s="665"/>
      <c r="L37" s="665"/>
      <c r="M37" s="665"/>
      <c r="N37" s="666">
        <f t="shared" ref="N37:S37" si="5">N7-N22</f>
        <v>41</v>
      </c>
      <c r="O37" s="666">
        <f t="shared" si="5"/>
        <v>-154</v>
      </c>
      <c r="P37" s="598">
        <f t="shared" si="5"/>
        <v>-234</v>
      </c>
      <c r="Q37" s="667">
        <f t="shared" si="5"/>
        <v>-524</v>
      </c>
      <c r="R37" s="598">
        <f t="shared" si="5"/>
        <v>-524</v>
      </c>
      <c r="S37" s="598">
        <f t="shared" si="5"/>
        <v>-524</v>
      </c>
      <c r="T37" s="588"/>
    </row>
    <row r="38" spans="2:20" hidden="1" outlineLevel="2" x14ac:dyDescent="0.2">
      <c r="B38" s="581"/>
      <c r="C38" s="581"/>
      <c r="D38" s="573"/>
      <c r="E38" s="573"/>
      <c r="F38" s="573"/>
      <c r="G38" s="573"/>
      <c r="H38" s="573"/>
      <c r="I38" s="641"/>
      <c r="J38" s="640"/>
      <c r="K38" s="640"/>
      <c r="L38" s="640"/>
      <c r="M38" s="640"/>
      <c r="N38" s="640"/>
      <c r="O38" s="640"/>
      <c r="P38" s="641"/>
      <c r="Q38" s="668"/>
      <c r="R38" s="641"/>
      <c r="S38" s="641"/>
      <c r="T38" s="588"/>
    </row>
    <row r="39" spans="2:20" hidden="1" outlineLevel="2" x14ac:dyDescent="0.2">
      <c r="B39" s="581"/>
      <c r="C39" s="581" t="s">
        <v>500</v>
      </c>
      <c r="D39" s="573"/>
      <c r="E39" s="573"/>
      <c r="F39" s="573"/>
      <c r="G39" s="573"/>
      <c r="H39" s="573"/>
      <c r="I39" s="641"/>
      <c r="J39" s="640"/>
      <c r="K39" s="640"/>
      <c r="L39" s="640"/>
      <c r="M39" s="640"/>
      <c r="N39" s="640">
        <f t="shared" ref="N39:S43" si="6">N9-N24</f>
        <v>-33</v>
      </c>
      <c r="O39" s="640">
        <f t="shared" si="6"/>
        <v>42</v>
      </c>
      <c r="P39" s="641">
        <f t="shared" si="6"/>
        <v>20</v>
      </c>
      <c r="Q39" s="668">
        <f t="shared" si="6"/>
        <v>-24</v>
      </c>
      <c r="R39" s="641">
        <f t="shared" si="6"/>
        <v>-24</v>
      </c>
      <c r="S39" s="641">
        <f t="shared" si="6"/>
        <v>-24</v>
      </c>
      <c r="T39" s="588"/>
    </row>
    <row r="40" spans="2:20" hidden="1" outlineLevel="2" x14ac:dyDescent="0.2">
      <c r="B40" s="581"/>
      <c r="C40" s="581" t="s">
        <v>490</v>
      </c>
      <c r="D40" s="573"/>
      <c r="E40" s="573"/>
      <c r="F40" s="573"/>
      <c r="G40" s="573"/>
      <c r="H40" s="573"/>
      <c r="I40" s="641"/>
      <c r="J40" s="640"/>
      <c r="K40" s="640"/>
      <c r="L40" s="640"/>
      <c r="M40" s="640"/>
      <c r="N40" s="640">
        <f t="shared" si="6"/>
        <v>9</v>
      </c>
      <c r="O40" s="640">
        <f t="shared" si="6"/>
        <v>2</v>
      </c>
      <c r="P40" s="641">
        <f t="shared" si="6"/>
        <v>2</v>
      </c>
      <c r="Q40" s="668">
        <f t="shared" si="6"/>
        <v>2</v>
      </c>
      <c r="R40" s="641">
        <f t="shared" si="6"/>
        <v>2</v>
      </c>
      <c r="S40" s="641">
        <f t="shared" si="6"/>
        <v>2</v>
      </c>
      <c r="T40" s="588"/>
    </row>
    <row r="41" spans="2:20" hidden="1" outlineLevel="2" x14ac:dyDescent="0.2">
      <c r="B41" s="581"/>
      <c r="C41" s="581" t="s">
        <v>491</v>
      </c>
      <c r="D41" s="573"/>
      <c r="E41" s="573"/>
      <c r="F41" s="573"/>
      <c r="G41" s="573"/>
      <c r="H41" s="573"/>
      <c r="I41" s="641"/>
      <c r="J41" s="640"/>
      <c r="K41" s="640"/>
      <c r="L41" s="640"/>
      <c r="M41" s="640"/>
      <c r="N41" s="640">
        <f t="shared" si="6"/>
        <v>-12.817334710743722</v>
      </c>
      <c r="O41" s="640">
        <f t="shared" si="6"/>
        <v>-17.494834710743788</v>
      </c>
      <c r="P41" s="641">
        <f t="shared" si="6"/>
        <v>-25.526084710743802</v>
      </c>
      <c r="Q41" s="668">
        <f t="shared" si="6"/>
        <v>-35.4375</v>
      </c>
      <c r="R41" s="641">
        <f t="shared" si="6"/>
        <v>-35.4375</v>
      </c>
      <c r="S41" s="641">
        <f t="shared" si="6"/>
        <v>-35.4375</v>
      </c>
      <c r="T41" s="588"/>
    </row>
    <row r="42" spans="2:20" hidden="1" outlineLevel="2" x14ac:dyDescent="0.2">
      <c r="B42" s="581"/>
      <c r="C42" s="581" t="s">
        <v>492</v>
      </c>
      <c r="D42" s="573"/>
      <c r="E42" s="573"/>
      <c r="F42" s="573"/>
      <c r="G42" s="573"/>
      <c r="H42" s="601"/>
      <c r="I42" s="603"/>
      <c r="J42" s="669"/>
      <c r="K42" s="640"/>
      <c r="L42" s="640"/>
      <c r="M42" s="640"/>
      <c r="N42" s="640">
        <f t="shared" si="6"/>
        <v>0</v>
      </c>
      <c r="O42" s="640">
        <f t="shared" si="6"/>
        <v>0</v>
      </c>
      <c r="P42" s="641">
        <f t="shared" si="6"/>
        <v>0</v>
      </c>
      <c r="Q42" s="668">
        <f t="shared" si="6"/>
        <v>0</v>
      </c>
      <c r="R42" s="641">
        <f t="shared" si="6"/>
        <v>0</v>
      </c>
      <c r="S42" s="641">
        <f t="shared" si="6"/>
        <v>0</v>
      </c>
      <c r="T42" s="588"/>
    </row>
    <row r="43" spans="2:20" hidden="1" outlineLevel="2" x14ac:dyDescent="0.2">
      <c r="B43" s="581"/>
      <c r="C43" s="670" t="s">
        <v>501</v>
      </c>
      <c r="D43" s="573"/>
      <c r="E43" s="573"/>
      <c r="F43" s="573"/>
      <c r="G43" s="573"/>
      <c r="H43" s="601"/>
      <c r="I43" s="603"/>
      <c r="J43" s="669"/>
      <c r="K43" s="640"/>
      <c r="L43" s="641"/>
      <c r="M43" s="641"/>
      <c r="N43" s="641">
        <f t="shared" si="6"/>
        <v>38</v>
      </c>
      <c r="O43" s="641">
        <f t="shared" si="6"/>
        <v>4</v>
      </c>
      <c r="P43" s="641">
        <f t="shared" si="6"/>
        <v>2</v>
      </c>
      <c r="Q43" s="668">
        <f t="shared" si="6"/>
        <v>14</v>
      </c>
      <c r="R43" s="641">
        <f t="shared" si="6"/>
        <v>26</v>
      </c>
      <c r="S43" s="641">
        <f t="shared" si="6"/>
        <v>55</v>
      </c>
      <c r="T43" s="588"/>
    </row>
    <row r="44" spans="2:20" hidden="1" outlineLevel="2" x14ac:dyDescent="0.2">
      <c r="B44" s="581"/>
      <c r="C44" s="595" t="s">
        <v>494</v>
      </c>
      <c r="D44" s="630"/>
      <c r="E44" s="573"/>
      <c r="F44" s="573"/>
      <c r="G44" s="573"/>
      <c r="H44" s="629"/>
      <c r="I44" s="631"/>
      <c r="J44" s="631"/>
      <c r="K44" s="631"/>
      <c r="L44" s="631"/>
      <c r="M44" s="631"/>
      <c r="N44" s="625">
        <f t="shared" ref="N44:S44" si="7">SUM(N39:N43)</f>
        <v>1.1826652892562777</v>
      </c>
      <c r="O44" s="625">
        <f t="shared" si="7"/>
        <v>30.505165289256212</v>
      </c>
      <c r="P44" s="625">
        <f t="shared" si="7"/>
        <v>-1.5260847107438025</v>
      </c>
      <c r="Q44" s="671">
        <f t="shared" si="7"/>
        <v>-43.4375</v>
      </c>
      <c r="R44" s="625">
        <f t="shared" si="7"/>
        <v>-31.4375</v>
      </c>
      <c r="S44" s="625">
        <f t="shared" si="7"/>
        <v>-2.4375</v>
      </c>
      <c r="T44" s="588"/>
    </row>
    <row r="45" spans="2:20" hidden="1" outlineLevel="2" x14ac:dyDescent="0.2">
      <c r="B45" s="581"/>
      <c r="C45" s="672"/>
      <c r="D45" s="630"/>
      <c r="E45" s="573"/>
      <c r="F45" s="573"/>
      <c r="G45" s="573"/>
      <c r="H45" s="630"/>
      <c r="I45" s="631"/>
      <c r="J45" s="665"/>
      <c r="K45" s="665"/>
      <c r="L45" s="665"/>
      <c r="M45" s="665"/>
      <c r="N45" s="665"/>
      <c r="O45" s="665"/>
      <c r="P45" s="631"/>
      <c r="Q45" s="673"/>
      <c r="R45" s="631"/>
      <c r="S45" s="631"/>
      <c r="T45" s="588"/>
    </row>
    <row r="46" spans="2:20" hidden="1" outlineLevel="2" x14ac:dyDescent="0.2">
      <c r="B46" s="581"/>
      <c r="C46" s="608" t="s">
        <v>503</v>
      </c>
      <c r="D46" s="630"/>
      <c r="E46" s="601"/>
      <c r="F46" s="601"/>
      <c r="G46" s="601"/>
      <c r="H46" s="630"/>
      <c r="I46" s="631"/>
      <c r="J46" s="665"/>
      <c r="K46" s="669"/>
      <c r="L46" s="669"/>
      <c r="M46" s="669"/>
      <c r="N46" s="603">
        <f t="shared" ref="N46:S46" si="8">N16-N31</f>
        <v>-18</v>
      </c>
      <c r="O46" s="603">
        <f t="shared" si="8"/>
        <v>-25</v>
      </c>
      <c r="P46" s="603">
        <f t="shared" si="8"/>
        <v>-6</v>
      </c>
      <c r="Q46" s="647">
        <f t="shared" si="8"/>
        <v>-17</v>
      </c>
      <c r="R46" s="603">
        <f t="shared" si="8"/>
        <v>-17</v>
      </c>
      <c r="S46" s="603">
        <f t="shared" si="8"/>
        <v>-17</v>
      </c>
      <c r="T46" s="588"/>
    </row>
    <row r="47" spans="2:20" ht="14.25" hidden="1" outlineLevel="2" x14ac:dyDescent="0.2">
      <c r="B47" s="581"/>
      <c r="C47" s="608" t="s">
        <v>504</v>
      </c>
      <c r="D47" s="630"/>
      <c r="E47" s="601"/>
      <c r="F47" s="601"/>
      <c r="G47" s="601"/>
      <c r="H47" s="630"/>
      <c r="I47" s="631"/>
      <c r="J47" s="665"/>
      <c r="K47" s="669"/>
      <c r="L47" s="669"/>
      <c r="M47" s="669"/>
      <c r="N47" s="603">
        <v>-13</v>
      </c>
      <c r="O47" s="603">
        <v>68</v>
      </c>
      <c r="P47" s="603">
        <v>11</v>
      </c>
      <c r="Q47" s="647">
        <v>11</v>
      </c>
      <c r="R47" s="603">
        <v>11</v>
      </c>
      <c r="S47" s="603">
        <v>11</v>
      </c>
      <c r="T47" s="588"/>
    </row>
    <row r="48" spans="2:20" hidden="1" outlineLevel="2" x14ac:dyDescent="0.2">
      <c r="B48" s="581"/>
      <c r="C48" s="672" t="s">
        <v>505</v>
      </c>
      <c r="D48" s="630"/>
      <c r="E48" s="601"/>
      <c r="F48" s="601"/>
      <c r="G48" s="601"/>
      <c r="H48" s="630"/>
      <c r="I48" s="631"/>
      <c r="J48" s="665"/>
      <c r="K48" s="665"/>
      <c r="L48" s="665"/>
      <c r="M48" s="665"/>
      <c r="N48" s="625">
        <f>SUM(N46-N47)</f>
        <v>-5</v>
      </c>
      <c r="O48" s="625">
        <f t="shared" ref="O48:S48" si="9">SUM(O46:O47)</f>
        <v>43</v>
      </c>
      <c r="P48" s="625">
        <f t="shared" si="9"/>
        <v>5</v>
      </c>
      <c r="Q48" s="671">
        <f t="shared" si="9"/>
        <v>-6</v>
      </c>
      <c r="R48" s="625">
        <f t="shared" si="9"/>
        <v>-6</v>
      </c>
      <c r="S48" s="625">
        <f t="shared" si="9"/>
        <v>-6</v>
      </c>
      <c r="T48" s="588"/>
    </row>
    <row r="49" spans="2:20" hidden="1" outlineLevel="2" x14ac:dyDescent="0.2">
      <c r="B49" s="581"/>
      <c r="C49" s="672"/>
      <c r="D49" s="630"/>
      <c r="E49" s="601"/>
      <c r="F49" s="601"/>
      <c r="G49" s="601"/>
      <c r="H49" s="630"/>
      <c r="I49" s="631"/>
      <c r="J49" s="665"/>
      <c r="K49" s="665"/>
      <c r="L49" s="665"/>
      <c r="M49" s="665"/>
      <c r="N49" s="631"/>
      <c r="O49" s="631"/>
      <c r="P49" s="631"/>
      <c r="Q49" s="673"/>
      <c r="R49" s="631"/>
      <c r="S49" s="631"/>
      <c r="T49" s="588"/>
    </row>
    <row r="50" spans="2:20" hidden="1" outlineLevel="2" x14ac:dyDescent="0.2">
      <c r="B50" s="581"/>
      <c r="C50" s="595" t="s">
        <v>496</v>
      </c>
      <c r="D50" s="630"/>
      <c r="E50" s="601"/>
      <c r="F50" s="601"/>
      <c r="G50" s="601"/>
      <c r="H50" s="630"/>
      <c r="I50" s="631"/>
      <c r="J50" s="665"/>
      <c r="K50" s="665"/>
      <c r="L50" s="665"/>
      <c r="M50" s="665"/>
      <c r="N50" s="665">
        <f t="shared" ref="N50:S50" si="10">N17-N32</f>
        <v>1</v>
      </c>
      <c r="O50" s="665">
        <f t="shared" si="10"/>
        <v>2</v>
      </c>
      <c r="P50" s="631">
        <f t="shared" si="10"/>
        <v>3</v>
      </c>
      <c r="Q50" s="673">
        <f t="shared" si="10"/>
        <v>-3</v>
      </c>
      <c r="R50" s="631">
        <f t="shared" si="10"/>
        <v>-3</v>
      </c>
      <c r="S50" s="631">
        <f t="shared" si="10"/>
        <v>-3</v>
      </c>
      <c r="T50" s="588"/>
    </row>
    <row r="51" spans="2:20" hidden="1" outlineLevel="2" x14ac:dyDescent="0.2">
      <c r="B51" s="581"/>
      <c r="C51" s="595"/>
      <c r="D51" s="630"/>
      <c r="E51" s="573"/>
      <c r="F51" s="573"/>
      <c r="G51" s="573"/>
      <c r="H51" s="630"/>
      <c r="I51" s="631"/>
      <c r="J51" s="665"/>
      <c r="K51" s="665"/>
      <c r="L51" s="665"/>
      <c r="M51" s="665"/>
      <c r="N51" s="631"/>
      <c r="O51" s="631"/>
      <c r="P51" s="654"/>
      <c r="Q51" s="655"/>
      <c r="R51" s="654"/>
      <c r="S51" s="654"/>
      <c r="T51" s="588"/>
    </row>
    <row r="52" spans="2:20" ht="15.75" hidden="1" outlineLevel="2" thickBot="1" x14ac:dyDescent="0.3">
      <c r="B52" s="581"/>
      <c r="C52" s="634" t="s">
        <v>506</v>
      </c>
      <c r="D52" s="674"/>
      <c r="E52" s="675"/>
      <c r="F52" s="675"/>
      <c r="G52" s="675"/>
      <c r="H52" s="674"/>
      <c r="I52" s="676"/>
      <c r="J52" s="677"/>
      <c r="K52" s="678"/>
      <c r="L52" s="678"/>
      <c r="M52" s="637"/>
      <c r="N52" s="637">
        <f t="shared" ref="N52:S52" si="11">N37+N44+N48+N50</f>
        <v>38.182665289256278</v>
      </c>
      <c r="O52" s="637">
        <f t="shared" si="11"/>
        <v>-78.494834710743788</v>
      </c>
      <c r="P52" s="637">
        <f t="shared" si="11"/>
        <v>-227.52608471074382</v>
      </c>
      <c r="Q52" s="679">
        <f t="shared" si="11"/>
        <v>-576.4375</v>
      </c>
      <c r="R52" s="637">
        <f t="shared" si="11"/>
        <v>-564.4375</v>
      </c>
      <c r="S52" s="637">
        <f t="shared" si="11"/>
        <v>-535.4375</v>
      </c>
      <c r="T52" s="588"/>
    </row>
    <row r="53" spans="2:20" ht="15.75" hidden="1" outlineLevel="2" thickBot="1" x14ac:dyDescent="0.3">
      <c r="B53" s="680"/>
      <c r="C53" s="636"/>
      <c r="D53" s="674"/>
      <c r="E53" s="675"/>
      <c r="F53" s="675"/>
      <c r="G53" s="675"/>
      <c r="H53" s="674"/>
      <c r="I53" s="676"/>
      <c r="J53" s="677"/>
      <c r="K53" s="678"/>
      <c r="L53" s="678"/>
      <c r="M53" s="637"/>
      <c r="N53" s="637"/>
      <c r="O53" s="637"/>
      <c r="P53" s="657"/>
      <c r="Q53" s="657"/>
      <c r="R53" s="657"/>
      <c r="S53" s="657"/>
      <c r="T53" s="681"/>
    </row>
    <row r="54" spans="2:20" ht="13.5" collapsed="1" thickBot="1" x14ac:dyDescent="0.25">
      <c r="B54" s="581"/>
      <c r="C54" s="573"/>
      <c r="D54" s="573"/>
      <c r="E54" s="573"/>
      <c r="F54" s="573"/>
      <c r="G54" s="573"/>
      <c r="H54" s="573"/>
      <c r="I54" s="641"/>
      <c r="J54" s="641"/>
      <c r="K54" s="641"/>
      <c r="L54" s="641"/>
      <c r="M54" s="641"/>
      <c r="N54" s="641"/>
      <c r="O54" s="641"/>
      <c r="P54" s="641"/>
      <c r="Q54" s="640"/>
      <c r="R54" s="641"/>
      <c r="S54" s="641"/>
      <c r="T54" s="588"/>
    </row>
    <row r="55" spans="2:20" x14ac:dyDescent="0.2">
      <c r="B55" s="581"/>
      <c r="C55" s="682" t="s">
        <v>507</v>
      </c>
      <c r="D55" s="683"/>
      <c r="E55" s="683"/>
      <c r="F55" s="683"/>
      <c r="G55" s="683"/>
      <c r="H55" s="684"/>
      <c r="I55" s="685"/>
      <c r="J55" s="685"/>
      <c r="K55" s="685"/>
      <c r="L55" s="685"/>
      <c r="M55" s="685"/>
      <c r="N55" s="685"/>
      <c r="O55" s="685"/>
      <c r="P55" s="685"/>
      <c r="Q55" s="685"/>
      <c r="R55" s="685"/>
      <c r="S55" s="686"/>
      <c r="T55" s="588"/>
    </row>
    <row r="56" spans="2:20" outlineLevel="1" x14ac:dyDescent="0.2">
      <c r="B56" s="581"/>
      <c r="C56" s="687" t="s">
        <v>499</v>
      </c>
      <c r="D56" s="688"/>
      <c r="E56" s="688"/>
      <c r="F56" s="688"/>
      <c r="G56" s="688"/>
      <c r="H56" s="689"/>
      <c r="I56" s="690"/>
      <c r="J56" s="690"/>
      <c r="K56" s="690"/>
      <c r="L56" s="690"/>
      <c r="M56" s="690"/>
      <c r="N56" s="691">
        <v>71</v>
      </c>
      <c r="O56" s="691">
        <v>-298</v>
      </c>
      <c r="P56" s="692">
        <v>-586</v>
      </c>
      <c r="Q56" s="692">
        <v>-586</v>
      </c>
      <c r="R56" s="692">
        <v>-586</v>
      </c>
      <c r="S56" s="693">
        <v>-586</v>
      </c>
      <c r="T56" s="588"/>
    </row>
    <row r="57" spans="2:20" x14ac:dyDescent="0.2">
      <c r="B57" s="581"/>
      <c r="C57" s="687"/>
      <c r="D57" s="688"/>
      <c r="E57" s="688"/>
      <c r="F57" s="688"/>
      <c r="G57" s="688"/>
      <c r="H57" s="688"/>
      <c r="I57" s="694"/>
      <c r="J57" s="695"/>
      <c r="K57" s="695"/>
      <c r="L57" s="695"/>
      <c r="M57" s="695"/>
      <c r="N57" s="695"/>
      <c r="O57" s="695"/>
      <c r="P57" s="695"/>
      <c r="Q57" s="695"/>
      <c r="R57" s="695"/>
      <c r="S57" s="696"/>
      <c r="T57" s="588"/>
    </row>
    <row r="58" spans="2:20" x14ac:dyDescent="0.2">
      <c r="B58" s="581"/>
      <c r="C58" s="687" t="s">
        <v>500</v>
      </c>
      <c r="D58" s="688"/>
      <c r="E58" s="688"/>
      <c r="F58" s="688"/>
      <c r="G58" s="688"/>
      <c r="H58" s="697"/>
      <c r="I58" s="695"/>
      <c r="J58" s="695"/>
      <c r="K58" s="695"/>
      <c r="L58" s="695"/>
      <c r="M58" s="695"/>
      <c r="N58" s="695">
        <v>571</v>
      </c>
      <c r="O58" s="695">
        <v>482</v>
      </c>
      <c r="P58" s="698">
        <v>427</v>
      </c>
      <c r="Q58" s="698">
        <v>427</v>
      </c>
      <c r="R58" s="698">
        <v>427</v>
      </c>
      <c r="S58" s="699">
        <v>427</v>
      </c>
      <c r="T58" s="588"/>
    </row>
    <row r="59" spans="2:20" x14ac:dyDescent="0.2">
      <c r="B59" s="581"/>
      <c r="C59" s="687" t="s">
        <v>490</v>
      </c>
      <c r="D59" s="688"/>
      <c r="E59" s="688"/>
      <c r="F59" s="688"/>
      <c r="G59" s="688"/>
      <c r="H59" s="697"/>
      <c r="I59" s="695"/>
      <c r="J59" s="695"/>
      <c r="K59" s="695"/>
      <c r="L59" s="695"/>
      <c r="M59" s="695"/>
      <c r="N59" s="695">
        <v>22</v>
      </c>
      <c r="O59" s="695">
        <v>21</v>
      </c>
      <c r="P59" s="698">
        <v>21</v>
      </c>
      <c r="Q59" s="698">
        <v>21</v>
      </c>
      <c r="R59" s="698">
        <v>21</v>
      </c>
      <c r="S59" s="699">
        <v>21</v>
      </c>
      <c r="T59" s="588"/>
    </row>
    <row r="60" spans="2:20" x14ac:dyDescent="0.2">
      <c r="B60" s="581"/>
      <c r="C60" s="687" t="s">
        <v>491</v>
      </c>
      <c r="D60" s="688"/>
      <c r="E60" s="688"/>
      <c r="F60" s="688"/>
      <c r="G60" s="688"/>
      <c r="H60" s="697"/>
      <c r="I60" s="695"/>
      <c r="J60" s="695"/>
      <c r="K60" s="695"/>
      <c r="L60" s="695"/>
      <c r="M60" s="695"/>
      <c r="N60" s="695">
        <v>193</v>
      </c>
      <c r="O60" s="695">
        <v>152</v>
      </c>
      <c r="P60" s="698">
        <v>124</v>
      </c>
      <c r="Q60" s="698">
        <v>124</v>
      </c>
      <c r="R60" s="698">
        <v>124</v>
      </c>
      <c r="S60" s="699">
        <v>124</v>
      </c>
      <c r="T60" s="588"/>
    </row>
    <row r="61" spans="2:20" x14ac:dyDescent="0.2">
      <c r="B61" s="581"/>
      <c r="C61" s="687" t="s">
        <v>492</v>
      </c>
      <c r="D61" s="688"/>
      <c r="E61" s="688"/>
      <c r="F61" s="688"/>
      <c r="G61" s="688"/>
      <c r="H61" s="697"/>
      <c r="I61" s="695"/>
      <c r="J61" s="695"/>
      <c r="K61" s="695"/>
      <c r="L61" s="695"/>
      <c r="M61" s="695"/>
      <c r="N61" s="695">
        <v>-30</v>
      </c>
      <c r="O61" s="695">
        <v>-30</v>
      </c>
      <c r="P61" s="698">
        <v>-30</v>
      </c>
      <c r="Q61" s="698">
        <v>-30</v>
      </c>
      <c r="R61" s="698">
        <v>-30</v>
      </c>
      <c r="S61" s="699">
        <v>-30</v>
      </c>
      <c r="T61" s="588"/>
    </row>
    <row r="62" spans="2:20" x14ac:dyDescent="0.2">
      <c r="B62" s="581"/>
      <c r="C62" s="700" t="s">
        <v>501</v>
      </c>
      <c r="D62" s="688"/>
      <c r="E62" s="688"/>
      <c r="F62" s="688"/>
      <c r="G62" s="688"/>
      <c r="H62" s="697"/>
      <c r="I62" s="695"/>
      <c r="J62" s="695"/>
      <c r="K62" s="695"/>
      <c r="L62" s="695"/>
      <c r="M62" s="695"/>
      <c r="N62" s="701">
        <v>334</v>
      </c>
      <c r="O62" s="701">
        <v>346</v>
      </c>
      <c r="P62" s="698">
        <v>359</v>
      </c>
      <c r="Q62" s="698">
        <v>359</v>
      </c>
      <c r="R62" s="698">
        <v>359</v>
      </c>
      <c r="S62" s="699">
        <v>359</v>
      </c>
      <c r="T62" s="588"/>
    </row>
    <row r="63" spans="2:20" x14ac:dyDescent="0.2">
      <c r="B63" s="581"/>
      <c r="C63" s="702" t="s">
        <v>494</v>
      </c>
      <c r="D63" s="689"/>
      <c r="E63" s="688"/>
      <c r="F63" s="688"/>
      <c r="G63" s="688"/>
      <c r="H63" s="689"/>
      <c r="I63" s="690"/>
      <c r="J63" s="690"/>
      <c r="K63" s="690"/>
      <c r="L63" s="690"/>
      <c r="M63" s="690"/>
      <c r="N63" s="703">
        <f t="shared" ref="N63:S63" si="12">SUM(N58:N62)</f>
        <v>1090</v>
      </c>
      <c r="O63" s="703">
        <f t="shared" si="12"/>
        <v>971</v>
      </c>
      <c r="P63" s="704">
        <f t="shared" si="12"/>
        <v>901</v>
      </c>
      <c r="Q63" s="704">
        <f t="shared" si="12"/>
        <v>901</v>
      </c>
      <c r="R63" s="704">
        <f t="shared" si="12"/>
        <v>901</v>
      </c>
      <c r="S63" s="705">
        <f t="shared" si="12"/>
        <v>901</v>
      </c>
      <c r="T63" s="588"/>
    </row>
    <row r="64" spans="2:20" x14ac:dyDescent="0.2">
      <c r="B64" s="581"/>
      <c r="C64" s="687"/>
      <c r="D64" s="688"/>
      <c r="E64" s="688"/>
      <c r="F64" s="688"/>
      <c r="G64" s="688"/>
      <c r="H64" s="688"/>
      <c r="I64" s="694"/>
      <c r="J64" s="695"/>
      <c r="K64" s="695"/>
      <c r="L64" s="695"/>
      <c r="M64" s="695"/>
      <c r="N64" s="695"/>
      <c r="O64" s="695"/>
      <c r="P64" s="698"/>
      <c r="Q64" s="698"/>
      <c r="R64" s="698"/>
      <c r="S64" s="699"/>
      <c r="T64" s="588"/>
    </row>
    <row r="65" spans="2:20" x14ac:dyDescent="0.2">
      <c r="B65" s="581"/>
      <c r="C65" s="702" t="s">
        <v>495</v>
      </c>
      <c r="D65" s="689"/>
      <c r="E65" s="689"/>
      <c r="F65" s="689"/>
      <c r="G65" s="689"/>
      <c r="H65" s="689"/>
      <c r="I65" s="690"/>
      <c r="J65" s="690"/>
      <c r="K65" s="690"/>
      <c r="L65" s="690"/>
      <c r="M65" s="690"/>
      <c r="N65" s="695">
        <v>769</v>
      </c>
      <c r="O65" s="706">
        <v>656</v>
      </c>
      <c r="P65" s="698">
        <v>554</v>
      </c>
      <c r="Q65" s="698">
        <v>554</v>
      </c>
      <c r="R65" s="698">
        <v>554</v>
      </c>
      <c r="S65" s="699">
        <v>554</v>
      </c>
      <c r="T65" s="588"/>
    </row>
    <row r="66" spans="2:20" x14ac:dyDescent="0.2">
      <c r="B66" s="581"/>
      <c r="C66" s="702" t="s">
        <v>496</v>
      </c>
      <c r="D66" s="689"/>
      <c r="E66" s="689"/>
      <c r="F66" s="689"/>
      <c r="G66" s="689"/>
      <c r="H66" s="689"/>
      <c r="I66" s="690"/>
      <c r="J66" s="690"/>
      <c r="K66" s="690"/>
      <c r="L66" s="690"/>
      <c r="M66" s="690"/>
      <c r="N66" s="695">
        <v>197</v>
      </c>
      <c r="O66" s="706">
        <v>185</v>
      </c>
      <c r="P66" s="698">
        <v>169</v>
      </c>
      <c r="Q66" s="698">
        <v>169</v>
      </c>
      <c r="R66" s="698">
        <v>169</v>
      </c>
      <c r="S66" s="699">
        <v>169</v>
      </c>
      <c r="T66" s="588"/>
    </row>
    <row r="67" spans="2:20" x14ac:dyDescent="0.2">
      <c r="B67" s="581"/>
      <c r="C67" s="687"/>
      <c r="D67" s="688"/>
      <c r="E67" s="688"/>
      <c r="F67" s="688"/>
      <c r="G67" s="688"/>
      <c r="H67" s="688"/>
      <c r="I67" s="694"/>
      <c r="J67" s="695"/>
      <c r="K67" s="695"/>
      <c r="L67" s="695"/>
      <c r="M67" s="695"/>
      <c r="N67" s="695"/>
      <c r="O67" s="695"/>
      <c r="P67" s="698"/>
      <c r="Q67" s="698"/>
      <c r="R67" s="698"/>
      <c r="S67" s="699"/>
      <c r="T67" s="588"/>
    </row>
    <row r="68" spans="2:20" ht="15.75" thickBot="1" x14ac:dyDescent="0.3">
      <c r="B68" s="581"/>
      <c r="C68" s="707" t="s">
        <v>497</v>
      </c>
      <c r="D68" s="708"/>
      <c r="E68" s="709"/>
      <c r="F68" s="709"/>
      <c r="G68" s="709"/>
      <c r="H68" s="708"/>
      <c r="I68" s="710"/>
      <c r="J68" s="710"/>
      <c r="K68" s="710"/>
      <c r="L68" s="710"/>
      <c r="M68" s="710"/>
      <c r="N68" s="710">
        <f t="shared" ref="N68:S68" si="13">N56+N63+N65+N66</f>
        <v>2127</v>
      </c>
      <c r="O68" s="710">
        <f t="shared" si="13"/>
        <v>1514</v>
      </c>
      <c r="P68" s="711">
        <f t="shared" si="13"/>
        <v>1038</v>
      </c>
      <c r="Q68" s="711">
        <f t="shared" si="13"/>
        <v>1038</v>
      </c>
      <c r="R68" s="711">
        <f t="shared" si="13"/>
        <v>1038</v>
      </c>
      <c r="S68" s="712">
        <f t="shared" si="13"/>
        <v>1038</v>
      </c>
      <c r="T68" s="588"/>
    </row>
    <row r="69" spans="2:20" x14ac:dyDescent="0.2">
      <c r="B69" s="581"/>
      <c r="C69" s="573"/>
      <c r="D69" s="573"/>
      <c r="E69" s="573"/>
      <c r="F69" s="573"/>
      <c r="G69" s="573"/>
      <c r="H69" s="573"/>
      <c r="I69" s="641"/>
      <c r="J69" s="640"/>
      <c r="K69" s="640"/>
      <c r="L69" s="640"/>
      <c r="M69" s="640"/>
      <c r="N69" s="640"/>
      <c r="O69" s="641"/>
      <c r="P69" s="713"/>
      <c r="Q69" s="714"/>
      <c r="R69" s="713"/>
      <c r="S69" s="713"/>
      <c r="T69" s="588"/>
    </row>
    <row r="70" spans="2:20" ht="13.5" outlineLevel="1" thickBot="1" x14ac:dyDescent="0.25">
      <c r="B70" s="581"/>
      <c r="C70" s="573"/>
      <c r="D70" s="573"/>
      <c r="E70" s="573"/>
      <c r="F70" s="573"/>
      <c r="G70" s="573"/>
      <c r="H70" s="573"/>
      <c r="I70" s="641"/>
      <c r="J70" s="640"/>
      <c r="K70" s="640"/>
      <c r="L70" s="640"/>
      <c r="M70" s="640"/>
      <c r="N70" s="640"/>
      <c r="O70" s="641"/>
      <c r="P70" s="713"/>
      <c r="Q70" s="714"/>
      <c r="R70" s="713"/>
      <c r="S70" s="713"/>
      <c r="T70" s="588"/>
    </row>
    <row r="71" spans="2:20" outlineLevel="1" x14ac:dyDescent="0.2">
      <c r="B71" s="581"/>
      <c r="C71" s="682" t="s">
        <v>508</v>
      </c>
      <c r="D71" s="683"/>
      <c r="E71" s="683"/>
      <c r="F71" s="683"/>
      <c r="G71" s="683"/>
      <c r="H71" s="684"/>
      <c r="I71" s="685"/>
      <c r="J71" s="685"/>
      <c r="K71" s="685"/>
      <c r="L71" s="685"/>
      <c r="M71" s="685"/>
      <c r="N71" s="685"/>
      <c r="O71" s="685"/>
      <c r="P71" s="715"/>
      <c r="Q71" s="715"/>
      <c r="R71" s="715"/>
      <c r="S71" s="716"/>
      <c r="T71" s="588"/>
    </row>
    <row r="72" spans="2:20" outlineLevel="1" x14ac:dyDescent="0.2">
      <c r="B72" s="581"/>
      <c r="C72" s="687" t="s">
        <v>499</v>
      </c>
      <c r="D72" s="688"/>
      <c r="E72" s="688"/>
      <c r="F72" s="688"/>
      <c r="G72" s="688"/>
      <c r="H72" s="689"/>
      <c r="I72" s="690"/>
      <c r="J72" s="690"/>
      <c r="K72" s="690"/>
      <c r="L72" s="690"/>
      <c r="M72" s="690"/>
      <c r="N72" s="691">
        <f t="shared" ref="N72:S72" si="14">N7-N56</f>
        <v>41</v>
      </c>
      <c r="O72" s="691">
        <f t="shared" si="14"/>
        <v>-154</v>
      </c>
      <c r="P72" s="692">
        <f t="shared" si="14"/>
        <v>-234</v>
      </c>
      <c r="Q72" s="692">
        <f t="shared" si="14"/>
        <v>-524</v>
      </c>
      <c r="R72" s="692">
        <f t="shared" si="14"/>
        <v>-524</v>
      </c>
      <c r="S72" s="693">
        <f t="shared" si="14"/>
        <v>-524</v>
      </c>
      <c r="T72" s="588"/>
    </row>
    <row r="73" spans="2:20" outlineLevel="1" x14ac:dyDescent="0.2">
      <c r="B73" s="581"/>
      <c r="C73" s="687"/>
      <c r="D73" s="688"/>
      <c r="E73" s="688"/>
      <c r="F73" s="688"/>
      <c r="G73" s="688"/>
      <c r="H73" s="688"/>
      <c r="I73" s="694"/>
      <c r="J73" s="694"/>
      <c r="K73" s="694"/>
      <c r="L73" s="694"/>
      <c r="M73" s="694"/>
      <c r="N73" s="694"/>
      <c r="O73" s="694"/>
      <c r="P73" s="717"/>
      <c r="Q73" s="717"/>
      <c r="R73" s="717"/>
      <c r="S73" s="718"/>
      <c r="T73" s="588"/>
    </row>
    <row r="74" spans="2:20" outlineLevel="1" x14ac:dyDescent="0.2">
      <c r="B74" s="581"/>
      <c r="C74" s="687" t="s">
        <v>500</v>
      </c>
      <c r="D74" s="688"/>
      <c r="E74" s="688"/>
      <c r="F74" s="688"/>
      <c r="G74" s="688"/>
      <c r="H74" s="688"/>
      <c r="I74" s="694"/>
      <c r="J74" s="694"/>
      <c r="K74" s="694"/>
      <c r="L74" s="694"/>
      <c r="M74" s="694"/>
      <c r="N74" s="694">
        <f t="shared" ref="N74:S78" si="15">N9-N58</f>
        <v>-33</v>
      </c>
      <c r="O74" s="694">
        <f t="shared" si="15"/>
        <v>42</v>
      </c>
      <c r="P74" s="717">
        <f t="shared" si="15"/>
        <v>20</v>
      </c>
      <c r="Q74" s="717">
        <f t="shared" si="15"/>
        <v>-24</v>
      </c>
      <c r="R74" s="717">
        <f t="shared" si="15"/>
        <v>-24</v>
      </c>
      <c r="S74" s="718">
        <f t="shared" si="15"/>
        <v>-24</v>
      </c>
      <c r="T74" s="588"/>
    </row>
    <row r="75" spans="2:20" outlineLevel="1" x14ac:dyDescent="0.2">
      <c r="B75" s="581"/>
      <c r="C75" s="687" t="s">
        <v>490</v>
      </c>
      <c r="D75" s="688"/>
      <c r="E75" s="688"/>
      <c r="F75" s="688"/>
      <c r="G75" s="688"/>
      <c r="H75" s="688"/>
      <c r="I75" s="694"/>
      <c r="J75" s="694"/>
      <c r="K75" s="694"/>
      <c r="L75" s="694"/>
      <c r="M75" s="694"/>
      <c r="N75" s="694">
        <f t="shared" si="15"/>
        <v>9</v>
      </c>
      <c r="O75" s="694">
        <f t="shared" si="15"/>
        <v>2</v>
      </c>
      <c r="P75" s="717">
        <f t="shared" si="15"/>
        <v>2</v>
      </c>
      <c r="Q75" s="717">
        <f t="shared" si="15"/>
        <v>2</v>
      </c>
      <c r="R75" s="717">
        <f t="shared" si="15"/>
        <v>2</v>
      </c>
      <c r="S75" s="718">
        <f t="shared" si="15"/>
        <v>2</v>
      </c>
      <c r="T75" s="588"/>
    </row>
    <row r="76" spans="2:20" outlineLevel="1" x14ac:dyDescent="0.2">
      <c r="B76" s="581"/>
      <c r="C76" s="687" t="s">
        <v>491</v>
      </c>
      <c r="D76" s="688"/>
      <c r="E76" s="688"/>
      <c r="F76" s="688"/>
      <c r="G76" s="688"/>
      <c r="H76" s="688"/>
      <c r="I76" s="694"/>
      <c r="J76" s="694"/>
      <c r="K76" s="694"/>
      <c r="L76" s="694"/>
      <c r="M76" s="694"/>
      <c r="N76" s="694">
        <f t="shared" si="15"/>
        <v>-12.817334710743722</v>
      </c>
      <c r="O76" s="694">
        <f t="shared" si="15"/>
        <v>-17.494834710743788</v>
      </c>
      <c r="P76" s="717">
        <f t="shared" si="15"/>
        <v>-25.526084710743802</v>
      </c>
      <c r="Q76" s="717">
        <f t="shared" si="15"/>
        <v>-35.4375</v>
      </c>
      <c r="R76" s="717">
        <f t="shared" si="15"/>
        <v>-35.4375</v>
      </c>
      <c r="S76" s="718">
        <f t="shared" si="15"/>
        <v>-35.4375</v>
      </c>
      <c r="T76" s="588"/>
    </row>
    <row r="77" spans="2:20" outlineLevel="1" x14ac:dyDescent="0.2">
      <c r="B77" s="581"/>
      <c r="C77" s="687" t="s">
        <v>492</v>
      </c>
      <c r="D77" s="688"/>
      <c r="E77" s="688"/>
      <c r="F77" s="688"/>
      <c r="G77" s="688"/>
      <c r="H77" s="697"/>
      <c r="I77" s="695"/>
      <c r="J77" s="695"/>
      <c r="K77" s="695"/>
      <c r="L77" s="695"/>
      <c r="M77" s="695"/>
      <c r="N77" s="695">
        <f t="shared" si="15"/>
        <v>0</v>
      </c>
      <c r="O77" s="695">
        <f t="shared" si="15"/>
        <v>0</v>
      </c>
      <c r="P77" s="698">
        <f t="shared" si="15"/>
        <v>0</v>
      </c>
      <c r="Q77" s="698">
        <f t="shared" si="15"/>
        <v>0</v>
      </c>
      <c r="R77" s="698">
        <f t="shared" si="15"/>
        <v>0</v>
      </c>
      <c r="S77" s="699">
        <f t="shared" si="15"/>
        <v>0</v>
      </c>
      <c r="T77" s="588"/>
    </row>
    <row r="78" spans="2:20" outlineLevel="1" x14ac:dyDescent="0.2">
      <c r="B78" s="581"/>
      <c r="C78" s="700" t="s">
        <v>501</v>
      </c>
      <c r="D78" s="688"/>
      <c r="E78" s="688"/>
      <c r="F78" s="688"/>
      <c r="G78" s="688"/>
      <c r="H78" s="697"/>
      <c r="I78" s="695"/>
      <c r="J78" s="695"/>
      <c r="K78" s="695"/>
      <c r="L78" s="698"/>
      <c r="M78" s="698"/>
      <c r="N78" s="719">
        <f t="shared" si="15"/>
        <v>38</v>
      </c>
      <c r="O78" s="719">
        <f t="shared" si="15"/>
        <v>4</v>
      </c>
      <c r="P78" s="719">
        <f t="shared" si="15"/>
        <v>2</v>
      </c>
      <c r="Q78" s="719">
        <f t="shared" si="15"/>
        <v>14</v>
      </c>
      <c r="R78" s="719">
        <f t="shared" si="15"/>
        <v>26</v>
      </c>
      <c r="S78" s="720">
        <f t="shared" si="15"/>
        <v>55</v>
      </c>
      <c r="T78" s="588"/>
    </row>
    <row r="79" spans="2:20" outlineLevel="1" x14ac:dyDescent="0.2">
      <c r="B79" s="581"/>
      <c r="C79" s="702" t="s">
        <v>494</v>
      </c>
      <c r="D79" s="689"/>
      <c r="E79" s="688"/>
      <c r="F79" s="688"/>
      <c r="G79" s="688"/>
      <c r="H79" s="689"/>
      <c r="I79" s="690"/>
      <c r="J79" s="690"/>
      <c r="K79" s="690"/>
      <c r="L79" s="690"/>
      <c r="M79" s="690"/>
      <c r="N79" s="703">
        <f>SUM(N74:N78)</f>
        <v>1.1826652892562777</v>
      </c>
      <c r="O79" s="703">
        <f t="shared" ref="O79:S79" si="16">SUM(O74:O78)</f>
        <v>30.505165289256212</v>
      </c>
      <c r="P79" s="704">
        <f t="shared" si="16"/>
        <v>-1.5260847107438025</v>
      </c>
      <c r="Q79" s="704">
        <f t="shared" si="16"/>
        <v>-43.4375</v>
      </c>
      <c r="R79" s="704">
        <f t="shared" si="16"/>
        <v>-31.4375</v>
      </c>
      <c r="S79" s="705">
        <f t="shared" si="16"/>
        <v>-2.4375</v>
      </c>
      <c r="T79" s="588"/>
    </row>
    <row r="80" spans="2:20" outlineLevel="1" x14ac:dyDescent="0.2">
      <c r="B80" s="581"/>
      <c r="C80" s="702"/>
      <c r="D80" s="689"/>
      <c r="E80" s="688"/>
      <c r="F80" s="688"/>
      <c r="G80" s="688"/>
      <c r="H80" s="689"/>
      <c r="I80" s="690"/>
      <c r="J80" s="690"/>
      <c r="K80" s="690"/>
      <c r="L80" s="690"/>
      <c r="M80" s="690"/>
      <c r="N80" s="690"/>
      <c r="O80" s="690"/>
      <c r="P80" s="721"/>
      <c r="Q80" s="721"/>
      <c r="R80" s="721"/>
      <c r="S80" s="722"/>
      <c r="T80" s="588"/>
    </row>
    <row r="81" spans="2:20" outlineLevel="1" x14ac:dyDescent="0.2">
      <c r="B81" s="581"/>
      <c r="C81" s="702" t="s">
        <v>509</v>
      </c>
      <c r="D81" s="689"/>
      <c r="E81" s="697"/>
      <c r="F81" s="697"/>
      <c r="G81" s="697"/>
      <c r="H81" s="689"/>
      <c r="I81" s="690"/>
      <c r="J81" s="690"/>
      <c r="K81" s="695"/>
      <c r="L81" s="695"/>
      <c r="M81" s="695"/>
      <c r="N81" s="695">
        <f>N16-N65+13</f>
        <v>-5</v>
      </c>
      <c r="O81" s="695">
        <f>O16-O65+12</f>
        <v>-13</v>
      </c>
      <c r="P81" s="698">
        <f>P16-P65+10</f>
        <v>4</v>
      </c>
      <c r="Q81" s="698">
        <f>Q16-Q65-52</f>
        <v>-69</v>
      </c>
      <c r="R81" s="698">
        <f>R16-R65-52</f>
        <v>-69</v>
      </c>
      <c r="S81" s="699">
        <f>S16-S65-52</f>
        <v>-69</v>
      </c>
      <c r="T81" s="588"/>
    </row>
    <row r="82" spans="2:20" outlineLevel="1" x14ac:dyDescent="0.2">
      <c r="B82" s="581"/>
      <c r="C82" s="702"/>
      <c r="D82" s="689"/>
      <c r="E82" s="697"/>
      <c r="F82" s="697"/>
      <c r="G82" s="697"/>
      <c r="H82" s="689"/>
      <c r="I82" s="690"/>
      <c r="J82" s="690"/>
      <c r="K82" s="690"/>
      <c r="L82" s="690"/>
      <c r="M82" s="690"/>
      <c r="N82" s="690"/>
      <c r="O82" s="690"/>
      <c r="P82" s="721"/>
      <c r="Q82" s="721"/>
      <c r="R82" s="721"/>
      <c r="S82" s="722"/>
      <c r="T82" s="588"/>
    </row>
    <row r="83" spans="2:20" outlineLevel="1" x14ac:dyDescent="0.2">
      <c r="B83" s="581"/>
      <c r="C83" s="702" t="s">
        <v>496</v>
      </c>
      <c r="D83" s="689"/>
      <c r="E83" s="697"/>
      <c r="F83" s="697"/>
      <c r="G83" s="697"/>
      <c r="H83" s="689"/>
      <c r="I83" s="690"/>
      <c r="J83" s="690"/>
      <c r="K83" s="690"/>
      <c r="L83" s="690"/>
      <c r="M83" s="690"/>
      <c r="N83" s="690">
        <f t="shared" ref="N83:S83" si="17">N17-N66</f>
        <v>1</v>
      </c>
      <c r="O83" s="690">
        <f t="shared" si="17"/>
        <v>2</v>
      </c>
      <c r="P83" s="721">
        <f t="shared" si="17"/>
        <v>3</v>
      </c>
      <c r="Q83" s="721">
        <f t="shared" si="17"/>
        <v>-3</v>
      </c>
      <c r="R83" s="721">
        <f t="shared" si="17"/>
        <v>-3</v>
      </c>
      <c r="S83" s="722">
        <f t="shared" si="17"/>
        <v>-3</v>
      </c>
      <c r="T83" s="588"/>
    </row>
    <row r="84" spans="2:20" outlineLevel="1" x14ac:dyDescent="0.2">
      <c r="B84" s="581"/>
      <c r="C84" s="702"/>
      <c r="D84" s="689"/>
      <c r="E84" s="688"/>
      <c r="F84" s="688"/>
      <c r="G84" s="688"/>
      <c r="H84" s="689"/>
      <c r="I84" s="690"/>
      <c r="J84" s="690"/>
      <c r="K84" s="690"/>
      <c r="L84" s="690"/>
      <c r="M84" s="690"/>
      <c r="N84" s="690"/>
      <c r="O84" s="690"/>
      <c r="P84" s="721"/>
      <c r="Q84" s="721"/>
      <c r="R84" s="721"/>
      <c r="S84" s="722"/>
      <c r="T84" s="588"/>
    </row>
    <row r="85" spans="2:20" ht="15.75" outlineLevel="1" thickBot="1" x14ac:dyDescent="0.3">
      <c r="B85" s="581"/>
      <c r="C85" s="707" t="s">
        <v>510</v>
      </c>
      <c r="D85" s="723"/>
      <c r="E85" s="724"/>
      <c r="F85" s="724"/>
      <c r="G85" s="724"/>
      <c r="H85" s="723"/>
      <c r="I85" s="725"/>
      <c r="J85" s="725"/>
      <c r="K85" s="710"/>
      <c r="L85" s="710"/>
      <c r="M85" s="710"/>
      <c r="N85" s="710">
        <f>N72+N79+N81+N83</f>
        <v>38.182665289256278</v>
      </c>
      <c r="O85" s="710">
        <f t="shared" ref="O85:S85" si="18">O72+O79+O81+O83</f>
        <v>-134.49483471074379</v>
      </c>
      <c r="P85" s="710">
        <f t="shared" si="18"/>
        <v>-228.52608471074382</v>
      </c>
      <c r="Q85" s="710">
        <f t="shared" si="18"/>
        <v>-639.4375</v>
      </c>
      <c r="R85" s="710">
        <f t="shared" si="18"/>
        <v>-627.4375</v>
      </c>
      <c r="S85" s="726">
        <f t="shared" si="18"/>
        <v>-598.4375</v>
      </c>
      <c r="T85" s="588"/>
    </row>
    <row r="86" spans="2:20" ht="15" x14ac:dyDescent="0.25">
      <c r="B86" s="581"/>
      <c r="C86" s="727"/>
      <c r="D86" s="630"/>
      <c r="E86" s="573"/>
      <c r="F86" s="573"/>
      <c r="G86" s="573"/>
      <c r="H86" s="630"/>
      <c r="I86" s="631"/>
      <c r="J86" s="665"/>
      <c r="K86" s="728"/>
      <c r="L86" s="728"/>
      <c r="M86" s="729"/>
      <c r="N86" s="729"/>
      <c r="O86" s="729"/>
      <c r="P86" s="730"/>
      <c r="Q86" s="730"/>
      <c r="R86" s="730"/>
      <c r="S86" s="730"/>
      <c r="T86" s="588"/>
    </row>
    <row r="87" spans="2:20" ht="12.75" customHeight="1" x14ac:dyDescent="0.2">
      <c r="B87" s="731" t="s">
        <v>383</v>
      </c>
      <c r="C87" s="1068" t="s">
        <v>511</v>
      </c>
      <c r="D87" s="1068"/>
      <c r="E87" s="1068"/>
      <c r="F87" s="1068"/>
      <c r="G87" s="1068"/>
      <c r="H87" s="1068"/>
      <c r="I87" s="1068"/>
      <c r="J87" s="1068"/>
      <c r="K87" s="1068"/>
      <c r="L87" s="1068"/>
      <c r="M87" s="1068"/>
      <c r="N87" s="1068"/>
      <c r="O87" s="1068"/>
      <c r="P87" s="1068"/>
      <c r="Q87" s="732"/>
      <c r="R87" s="733"/>
      <c r="S87" s="733"/>
      <c r="T87" s="588"/>
    </row>
    <row r="88" spans="2:20" ht="6.75" customHeight="1" x14ac:dyDescent="0.2">
      <c r="B88" s="731"/>
      <c r="C88" s="1068"/>
      <c r="D88" s="1068"/>
      <c r="E88" s="1068"/>
      <c r="F88" s="1068"/>
      <c r="G88" s="1068"/>
      <c r="H88" s="1068"/>
      <c r="I88" s="1068"/>
      <c r="J88" s="1068"/>
      <c r="K88" s="1068"/>
      <c r="L88" s="1068"/>
      <c r="M88" s="1068"/>
      <c r="N88" s="1068"/>
      <c r="O88" s="1068"/>
      <c r="P88" s="1068"/>
      <c r="Q88" s="732"/>
      <c r="R88" s="733"/>
      <c r="S88" s="733"/>
      <c r="T88" s="588"/>
    </row>
    <row r="89" spans="2:20" ht="15.75" thickBot="1" x14ac:dyDescent="0.3">
      <c r="B89" s="680"/>
      <c r="C89" s="636"/>
      <c r="D89" s="674"/>
      <c r="E89" s="675"/>
      <c r="F89" s="675"/>
      <c r="G89" s="675"/>
      <c r="H89" s="674"/>
      <c r="I89" s="676"/>
      <c r="J89" s="677"/>
      <c r="K89" s="678"/>
      <c r="L89" s="678"/>
      <c r="M89" s="637"/>
      <c r="N89" s="637"/>
      <c r="O89" s="637"/>
      <c r="P89" s="657"/>
      <c r="Q89" s="657"/>
      <c r="R89" s="657"/>
      <c r="S89" s="657"/>
      <c r="T89" s="681"/>
    </row>
    <row r="90" spans="2:20" x14ac:dyDescent="0.2">
      <c r="C90" s="734" t="s">
        <v>512</v>
      </c>
      <c r="D90" s="735"/>
      <c r="E90" s="735"/>
      <c r="F90" s="735"/>
      <c r="G90" s="735"/>
      <c r="H90" s="735"/>
      <c r="I90" s="736"/>
      <c r="J90" s="736"/>
      <c r="K90" s="736"/>
      <c r="L90" s="736"/>
      <c r="M90" s="736"/>
      <c r="N90" s="736"/>
      <c r="O90" s="736"/>
      <c r="P90" s="737"/>
      <c r="Q90" s="736"/>
      <c r="R90" s="737"/>
      <c r="S90" s="737"/>
    </row>
    <row r="91" spans="2:20" x14ac:dyDescent="0.2">
      <c r="C91" s="738" t="s">
        <v>513</v>
      </c>
      <c r="D91" s="735"/>
      <c r="E91" s="735"/>
      <c r="F91" s="735"/>
      <c r="G91" s="735"/>
      <c r="H91" s="735"/>
      <c r="I91" s="736"/>
      <c r="J91" s="736"/>
      <c r="K91" s="736"/>
      <c r="L91" s="736"/>
      <c r="M91" s="736"/>
      <c r="N91" s="736"/>
      <c r="O91" s="736"/>
      <c r="P91" s="737"/>
      <c r="Q91" s="736"/>
      <c r="R91" s="737"/>
      <c r="S91" s="737"/>
    </row>
    <row r="92" spans="2:20" x14ac:dyDescent="0.2">
      <c r="C92" s="739" t="s">
        <v>514</v>
      </c>
      <c r="D92" s="735"/>
      <c r="E92" s="735"/>
      <c r="F92" s="735"/>
      <c r="G92" s="735"/>
      <c r="H92" s="735"/>
      <c r="I92" s="736"/>
      <c r="J92" s="736"/>
      <c r="K92" s="736"/>
      <c r="L92" s="736"/>
      <c r="M92" s="736"/>
      <c r="N92" s="736"/>
      <c r="O92" s="736"/>
      <c r="P92" s="737"/>
      <c r="Q92" s="736"/>
      <c r="R92" s="737"/>
      <c r="S92" s="737"/>
    </row>
    <row r="93" spans="2:20" x14ac:dyDescent="0.2">
      <c r="C93" s="739" t="s">
        <v>515</v>
      </c>
      <c r="D93" s="735"/>
      <c r="E93" s="735"/>
      <c r="F93" s="735"/>
      <c r="G93" s="735"/>
      <c r="H93" s="735"/>
      <c r="I93" s="736"/>
      <c r="J93" s="736"/>
      <c r="K93" s="736"/>
      <c r="L93" s="736"/>
      <c r="M93" s="736"/>
      <c r="N93" s="736"/>
      <c r="O93" s="736"/>
      <c r="P93" s="737"/>
      <c r="Q93" s="736"/>
      <c r="R93" s="737"/>
      <c r="S93" s="737"/>
    </row>
    <row r="94" spans="2:20" x14ac:dyDescent="0.2">
      <c r="C94" s="739" t="s">
        <v>516</v>
      </c>
      <c r="D94" s="735"/>
      <c r="E94" s="735"/>
      <c r="F94" s="735"/>
      <c r="G94" s="735"/>
      <c r="H94" s="735"/>
      <c r="I94" s="736"/>
      <c r="J94" s="736"/>
      <c r="K94" s="736"/>
      <c r="L94" s="736"/>
      <c r="M94" s="736"/>
      <c r="N94" s="736"/>
      <c r="O94" s="736"/>
      <c r="P94" s="737"/>
      <c r="Q94" s="736"/>
      <c r="R94" s="737"/>
      <c r="S94" s="737"/>
    </row>
    <row r="95" spans="2:20" x14ac:dyDescent="0.2">
      <c r="C95" s="739" t="s">
        <v>517</v>
      </c>
      <c r="D95" s="740"/>
      <c r="E95" s="740"/>
      <c r="F95" s="740"/>
      <c r="G95" s="740"/>
      <c r="H95" s="740"/>
      <c r="I95" s="740"/>
      <c r="J95" s="735"/>
      <c r="K95" s="735"/>
      <c r="L95" s="735"/>
      <c r="M95" s="735"/>
      <c r="N95" s="735"/>
      <c r="O95" s="735"/>
      <c r="P95" s="741"/>
      <c r="Q95" s="735"/>
      <c r="R95" s="741"/>
      <c r="S95" s="741"/>
    </row>
  </sheetData>
  <mergeCells count="1">
    <mergeCell ref="C87:P88"/>
  </mergeCells>
  <pageMargins left="0.47244094488188981" right="0.59055118110236227" top="0.98425196850393704" bottom="0.98425196850393704" header="0.51181102362204722" footer="0.51181102362204722"/>
  <pageSetup paperSize="5" scale="70" orientation="portrait" cellComments="asDisplayed" r:id="rId1"/>
  <headerFooter alignWithMargins="0">
    <oddFooter>&amp;L&amp;F&amp;R&amp;D &amp;T</oddFooter>
  </headerFooter>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48"/>
  <sheetViews>
    <sheetView zoomScale="90" workbookViewId="0">
      <pane xSplit="2" ySplit="7" topLeftCell="C8" activePane="bottomRight" state="frozen"/>
      <selection activeCell="G43" sqref="G43"/>
      <selection pane="topRight" activeCell="G43" sqref="G43"/>
      <selection pane="bottomLeft" activeCell="G43" sqref="G43"/>
      <selection pane="bottomRight" activeCell="B55" sqref="B55"/>
    </sheetView>
  </sheetViews>
  <sheetFormatPr defaultRowHeight="12.75" outlineLevelRow="1" outlineLevelCol="1" x14ac:dyDescent="0.2"/>
  <cols>
    <col min="1" max="1" width="4.140625" style="418" customWidth="1"/>
    <col min="2" max="2" width="59.140625" style="418" customWidth="1"/>
    <col min="3" max="4" width="9.140625" style="418" customWidth="1"/>
    <col min="5" max="5" width="9" style="418" customWidth="1" outlineLevel="1" collapsed="1"/>
    <col min="6" max="6" width="8.7109375" style="418" customWidth="1" outlineLevel="1"/>
    <col min="7" max="7" width="9.140625" style="418" customWidth="1" outlineLevel="1"/>
    <col min="8" max="10" width="11.140625" style="418" customWidth="1" outlineLevel="1"/>
    <col min="11" max="11" width="6.85546875" style="418" customWidth="1" outlineLevel="1"/>
    <col min="12" max="12" width="9.140625" style="418" customWidth="1" outlineLevel="1"/>
    <col min="13" max="13" width="1.42578125" style="418" customWidth="1"/>
    <col min="14" max="14" width="9.140625" style="418" customWidth="1"/>
    <col min="15" max="15" width="9.140625" style="418" customWidth="1" outlineLevel="1"/>
    <col min="16" max="16384" width="9.140625" style="418"/>
  </cols>
  <sheetData>
    <row r="1" spans="1:15" ht="15.75" x14ac:dyDescent="0.25">
      <c r="B1" s="745" t="s">
        <v>520</v>
      </c>
      <c r="N1" s="746" t="s">
        <v>521</v>
      </c>
      <c r="O1" s="747" t="s">
        <v>522</v>
      </c>
    </row>
    <row r="2" spans="1:15" x14ac:dyDescent="0.2">
      <c r="A2" s="746"/>
    </row>
    <row r="3" spans="1:15" x14ac:dyDescent="0.2">
      <c r="B3" s="748"/>
    </row>
    <row r="4" spans="1:15" x14ac:dyDescent="0.2">
      <c r="B4" s="749"/>
    </row>
    <row r="5" spans="1:15" x14ac:dyDescent="0.2">
      <c r="B5" s="749"/>
      <c r="C5" s="750"/>
      <c r="D5" s="750"/>
      <c r="I5" s="417"/>
      <c r="J5" s="417"/>
      <c r="K5" s="417"/>
      <c r="N5" s="751"/>
    </row>
    <row r="6" spans="1:15" x14ac:dyDescent="0.2">
      <c r="B6" s="749"/>
      <c r="C6" s="752"/>
      <c r="D6" s="752"/>
      <c r="E6" s="429"/>
      <c r="F6" s="429"/>
      <c r="G6" s="429"/>
      <c r="H6" s="429"/>
      <c r="I6" s="425"/>
      <c r="J6" s="425"/>
      <c r="K6" s="425" t="s">
        <v>523</v>
      </c>
      <c r="L6" s="429" t="s">
        <v>414</v>
      </c>
      <c r="N6" s="753" t="s">
        <v>524</v>
      </c>
      <c r="O6" s="754" t="s">
        <v>525</v>
      </c>
    </row>
    <row r="7" spans="1:15" ht="13.5" thickBot="1" x14ac:dyDescent="0.25">
      <c r="B7" s="749"/>
      <c r="C7" s="755" t="s">
        <v>518</v>
      </c>
      <c r="D7" s="755" t="s">
        <v>526</v>
      </c>
      <c r="E7" s="755" t="s">
        <v>527</v>
      </c>
      <c r="F7" s="755" t="s">
        <v>528</v>
      </c>
      <c r="G7" s="755" t="s">
        <v>529</v>
      </c>
      <c r="H7" s="755" t="s">
        <v>530</v>
      </c>
      <c r="I7" s="756" t="s">
        <v>531</v>
      </c>
      <c r="J7" s="756" t="s">
        <v>532</v>
      </c>
      <c r="K7" s="756" t="s">
        <v>533</v>
      </c>
      <c r="L7" s="755" t="s">
        <v>534</v>
      </c>
      <c r="N7" s="757" t="s">
        <v>414</v>
      </c>
      <c r="O7" s="758" t="s">
        <v>414</v>
      </c>
    </row>
    <row r="8" spans="1:15" x14ac:dyDescent="0.2">
      <c r="C8" s="746"/>
      <c r="D8" s="746"/>
      <c r="E8" s="746"/>
      <c r="F8" s="746"/>
      <c r="G8" s="751"/>
      <c r="H8" s="746"/>
      <c r="N8" s="751"/>
      <c r="O8" s="750"/>
    </row>
    <row r="9" spans="1:15" x14ac:dyDescent="0.2">
      <c r="B9" s="759" t="s">
        <v>535</v>
      </c>
      <c r="C9" s="751"/>
      <c r="D9" s="751"/>
      <c r="E9" s="760"/>
      <c r="F9" s="746"/>
      <c r="G9" s="751"/>
      <c r="H9" s="760"/>
      <c r="I9" s="746"/>
      <c r="J9" s="746"/>
      <c r="K9" s="751"/>
      <c r="L9" s="751"/>
      <c r="M9" s="751"/>
      <c r="N9" s="751"/>
      <c r="O9" s="751"/>
    </row>
    <row r="10" spans="1:15" x14ac:dyDescent="0.2">
      <c r="B10" s="418" t="s">
        <v>536</v>
      </c>
      <c r="C10" s="761">
        <v>58184</v>
      </c>
      <c r="D10" s="762">
        <f>155-1</f>
        <v>154</v>
      </c>
      <c r="E10" s="763">
        <v>23147</v>
      </c>
      <c r="F10" s="763">
        <v>38</v>
      </c>
      <c r="G10" s="764">
        <v>7779</v>
      </c>
      <c r="H10" s="765">
        <f>ROUND('[5]COG Hyperion 2015-16'!G11/1000000,0)+1</f>
        <v>-906</v>
      </c>
      <c r="I10" s="766">
        <v>25204</v>
      </c>
      <c r="J10" s="766">
        <v>4147</v>
      </c>
      <c r="K10" s="767">
        <f>ROUND('[5]COG Hyperion 2015-16'!G43/1000000,0)</f>
        <v>-205</v>
      </c>
      <c r="L10" s="751">
        <f>SUM(C10:K10)</f>
        <v>117542</v>
      </c>
      <c r="M10" s="751"/>
      <c r="N10" s="768">
        <f>C10+D10</f>
        <v>58338</v>
      </c>
      <c r="O10" s="764">
        <f>SUM(E10:H10)</f>
        <v>30058</v>
      </c>
    </row>
    <row r="11" spans="1:15" x14ac:dyDescent="0.2">
      <c r="B11" s="418" t="s">
        <v>537</v>
      </c>
      <c r="C11" s="769">
        <v>-78499</v>
      </c>
      <c r="D11" s="762">
        <v>-13</v>
      </c>
      <c r="E11" s="763">
        <v>-21886</v>
      </c>
      <c r="F11" s="763"/>
      <c r="G11" s="764">
        <v>-8690</v>
      </c>
      <c r="H11" s="765"/>
      <c r="I11" s="766">
        <v>-28628</v>
      </c>
      <c r="J11" s="766">
        <v>-4033</v>
      </c>
      <c r="K11" s="767"/>
      <c r="L11" s="751">
        <f>SUM(C11:K11)</f>
        <v>-141749</v>
      </c>
      <c r="M11" s="751"/>
      <c r="N11" s="768">
        <f>C11+D11</f>
        <v>-78512</v>
      </c>
      <c r="O11" s="764">
        <f>SUM(E11:H11)</f>
        <v>-30576</v>
      </c>
    </row>
    <row r="12" spans="1:15" x14ac:dyDescent="0.2">
      <c r="B12" s="418" t="s">
        <v>538</v>
      </c>
      <c r="C12" s="769">
        <v>9001</v>
      </c>
      <c r="D12" s="762">
        <v>11</v>
      </c>
      <c r="E12" s="763">
        <v>-521</v>
      </c>
      <c r="F12" s="763"/>
      <c r="G12" s="764">
        <v>48</v>
      </c>
      <c r="H12" s="765"/>
      <c r="I12" s="766">
        <v>4203</v>
      </c>
      <c r="J12" s="766">
        <v>-93</v>
      </c>
      <c r="K12" s="767"/>
      <c r="L12" s="751">
        <f>SUM(C12:K12)</f>
        <v>12649</v>
      </c>
      <c r="M12" s="751"/>
      <c r="N12" s="768">
        <f>C12+D12</f>
        <v>9012</v>
      </c>
      <c r="O12" s="764">
        <f>SUM(E12:H12)</f>
        <v>-473</v>
      </c>
    </row>
    <row r="13" spans="1:15" x14ac:dyDescent="0.2">
      <c r="B13" s="418" t="s">
        <v>539</v>
      </c>
      <c r="C13" s="770">
        <f>896-2+19+255-1</f>
        <v>1167</v>
      </c>
      <c r="D13" s="771">
        <v>2</v>
      </c>
      <c r="E13" s="772">
        <f>644+2</f>
        <v>646</v>
      </c>
      <c r="F13" s="773"/>
      <c r="G13" s="774">
        <f>291+52-2+1</f>
        <v>342</v>
      </c>
      <c r="H13" s="774"/>
      <c r="I13" s="775">
        <v>93</v>
      </c>
      <c r="J13" s="775">
        <f>-3-1</f>
        <v>-4</v>
      </c>
      <c r="K13" s="776"/>
      <c r="L13" s="777">
        <f>SUM(C13:K13)</f>
        <v>2246</v>
      </c>
      <c r="M13" s="751"/>
      <c r="N13" s="768">
        <f>C13+D13</f>
        <v>1169</v>
      </c>
      <c r="O13" s="764">
        <f>SUM(E13:H13)</f>
        <v>988</v>
      </c>
    </row>
    <row r="14" spans="1:15" x14ac:dyDescent="0.2">
      <c r="B14" s="759" t="s">
        <v>540</v>
      </c>
      <c r="C14" s="778">
        <f t="shared" ref="C14:K14" si="0">SUM(C10:C13)</f>
        <v>-10147</v>
      </c>
      <c r="D14" s="779">
        <f t="shared" si="0"/>
        <v>154</v>
      </c>
      <c r="E14" s="780">
        <f t="shared" si="0"/>
        <v>1386</v>
      </c>
      <c r="F14" s="780">
        <f t="shared" si="0"/>
        <v>38</v>
      </c>
      <c r="G14" s="781">
        <f>SUM(G10:G13)+1</f>
        <v>-520</v>
      </c>
      <c r="H14" s="781">
        <f t="shared" si="0"/>
        <v>-906</v>
      </c>
      <c r="I14" s="782">
        <f t="shared" si="0"/>
        <v>872</v>
      </c>
      <c r="J14" s="782">
        <f t="shared" si="0"/>
        <v>17</v>
      </c>
      <c r="K14" s="783">
        <f t="shared" si="0"/>
        <v>-205</v>
      </c>
      <c r="L14" s="784">
        <f>SUM(L10:L13)</f>
        <v>-9312</v>
      </c>
      <c r="M14" s="751"/>
      <c r="N14" s="778">
        <f>SUM(N10:N13)</f>
        <v>-9993</v>
      </c>
      <c r="O14" s="781">
        <f>SUM(O10:O13)</f>
        <v>-3</v>
      </c>
    </row>
    <row r="15" spans="1:15" x14ac:dyDescent="0.2">
      <c r="C15" s="785"/>
      <c r="D15" s="786"/>
      <c r="E15" s="787"/>
      <c r="F15" s="788"/>
      <c r="G15" s="789"/>
      <c r="H15" s="790"/>
      <c r="I15" s="791"/>
      <c r="J15" s="792"/>
      <c r="K15" s="793"/>
      <c r="L15" s="794"/>
      <c r="M15" s="751"/>
      <c r="N15" s="768"/>
      <c r="O15" s="764"/>
    </row>
    <row r="16" spans="1:15" x14ac:dyDescent="0.2">
      <c r="B16" s="759" t="s">
        <v>541</v>
      </c>
      <c r="C16" s="768"/>
      <c r="D16" s="762"/>
      <c r="E16" s="795"/>
      <c r="F16" s="763"/>
      <c r="G16" s="764"/>
      <c r="H16" s="765"/>
      <c r="I16" s="766"/>
      <c r="J16" s="796"/>
      <c r="K16" s="767"/>
      <c r="L16" s="751"/>
      <c r="M16" s="751"/>
      <c r="N16" s="768"/>
      <c r="O16" s="764"/>
    </row>
    <row r="17" spans="2:15" x14ac:dyDescent="0.2">
      <c r="B17" s="418" t="s">
        <v>542</v>
      </c>
      <c r="C17" s="768">
        <v>1451</v>
      </c>
      <c r="D17" s="762">
        <v>4</v>
      </c>
      <c r="E17" s="797">
        <v>619</v>
      </c>
      <c r="F17" s="763">
        <v>31</v>
      </c>
      <c r="G17" s="764">
        <v>207</v>
      </c>
      <c r="H17" s="764">
        <f>ROUND('[5]COG Hyperion 2015-16'!G54/1000000,0)</f>
        <v>-47</v>
      </c>
      <c r="I17" s="766"/>
      <c r="J17" s="796"/>
      <c r="K17" s="767"/>
      <c r="L17" s="751">
        <f t="shared" ref="L17:L23" si="1">SUM(C17:J17)</f>
        <v>2265</v>
      </c>
      <c r="M17" s="751"/>
      <c r="N17" s="768">
        <f t="shared" ref="N17:N23" si="2">C17+D17</f>
        <v>1455</v>
      </c>
      <c r="O17" s="764">
        <f t="shared" ref="O17:O23" si="3">SUM(E17:H17)</f>
        <v>810</v>
      </c>
    </row>
    <row r="18" spans="2:15" x14ac:dyDescent="0.2">
      <c r="B18" s="418" t="s">
        <v>543</v>
      </c>
      <c r="C18" s="768">
        <v>-362</v>
      </c>
      <c r="D18" s="762">
        <v>-12</v>
      </c>
      <c r="E18" s="797">
        <v>203</v>
      </c>
      <c r="F18" s="763"/>
      <c r="G18" s="764">
        <v>26</v>
      </c>
      <c r="H18" s="764"/>
      <c r="I18" s="766"/>
      <c r="J18" s="796"/>
      <c r="K18" s="767"/>
      <c r="L18" s="751">
        <f t="shared" si="1"/>
        <v>-145</v>
      </c>
      <c r="M18" s="751"/>
      <c r="N18" s="768">
        <f t="shared" si="2"/>
        <v>-374</v>
      </c>
      <c r="O18" s="764">
        <f t="shared" si="3"/>
        <v>229</v>
      </c>
    </row>
    <row r="19" spans="2:15" x14ac:dyDescent="0.2">
      <c r="B19" s="418" t="s">
        <v>544</v>
      </c>
      <c r="C19" s="768"/>
      <c r="D19" s="762"/>
      <c r="E19" s="797">
        <v>-318</v>
      </c>
      <c r="F19" s="763"/>
      <c r="G19" s="764"/>
      <c r="H19" s="764"/>
      <c r="I19" s="766"/>
      <c r="J19" s="796"/>
      <c r="K19" s="767"/>
      <c r="L19" s="751">
        <f t="shared" si="1"/>
        <v>-318</v>
      </c>
      <c r="M19" s="751"/>
      <c r="N19" s="768">
        <f t="shared" si="2"/>
        <v>0</v>
      </c>
      <c r="O19" s="764">
        <f t="shared" si="3"/>
        <v>-318</v>
      </c>
    </row>
    <row r="20" spans="2:15" x14ac:dyDescent="0.2">
      <c r="B20" s="418" t="s">
        <v>545</v>
      </c>
      <c r="C20" s="768">
        <v>0</v>
      </c>
      <c r="D20" s="762">
        <v>0</v>
      </c>
      <c r="E20" s="795"/>
      <c r="F20" s="763"/>
      <c r="G20" s="764"/>
      <c r="H20" s="764"/>
      <c r="I20" s="766"/>
      <c r="J20" s="796"/>
      <c r="K20" s="767"/>
      <c r="L20" s="751">
        <f t="shared" si="1"/>
        <v>0</v>
      </c>
      <c r="M20" s="751"/>
      <c r="N20" s="768">
        <f t="shared" si="2"/>
        <v>0</v>
      </c>
      <c r="O20" s="764">
        <f t="shared" si="3"/>
        <v>0</v>
      </c>
    </row>
    <row r="21" spans="2:15" x14ac:dyDescent="0.2">
      <c r="B21" s="418" t="s">
        <v>546</v>
      </c>
      <c r="C21" s="768">
        <v>0</v>
      </c>
      <c r="D21" s="762">
        <v>0</v>
      </c>
      <c r="E21" s="795"/>
      <c r="F21" s="763"/>
      <c r="G21" s="764"/>
      <c r="H21" s="764"/>
      <c r="I21" s="766"/>
      <c r="J21" s="796"/>
      <c r="K21" s="767"/>
      <c r="L21" s="751">
        <f t="shared" si="1"/>
        <v>0</v>
      </c>
      <c r="M21" s="751"/>
      <c r="N21" s="768">
        <f t="shared" si="2"/>
        <v>0</v>
      </c>
      <c r="O21" s="764">
        <f t="shared" si="3"/>
        <v>0</v>
      </c>
    </row>
    <row r="22" spans="2:15" x14ac:dyDescent="0.2">
      <c r="B22" s="418" t="s">
        <v>547</v>
      </c>
      <c r="C22" s="768">
        <v>-939</v>
      </c>
      <c r="D22" s="762">
        <v>3</v>
      </c>
      <c r="E22" s="797">
        <v>108</v>
      </c>
      <c r="F22" s="763"/>
      <c r="G22" s="764">
        <v>-42</v>
      </c>
      <c r="H22" s="764"/>
      <c r="I22" s="766"/>
      <c r="J22" s="796"/>
      <c r="K22" s="767"/>
      <c r="L22" s="751">
        <f t="shared" si="1"/>
        <v>-870</v>
      </c>
      <c r="M22" s="751"/>
      <c r="N22" s="768">
        <f t="shared" si="2"/>
        <v>-936</v>
      </c>
      <c r="O22" s="764">
        <f t="shared" si="3"/>
        <v>66</v>
      </c>
    </row>
    <row r="23" spans="2:15" x14ac:dyDescent="0.2">
      <c r="B23" s="418" t="s">
        <v>539</v>
      </c>
      <c r="C23" s="770">
        <f>-6-27+1</f>
        <v>-32</v>
      </c>
      <c r="D23" s="771">
        <v>-3</v>
      </c>
      <c r="E23" s="798">
        <f>-74-2-1</f>
        <v>-77</v>
      </c>
      <c r="F23" s="773"/>
      <c r="G23" s="799">
        <f>-6-5-3</f>
        <v>-14</v>
      </c>
      <c r="H23" s="799"/>
      <c r="I23" s="775"/>
      <c r="J23" s="800"/>
      <c r="K23" s="776"/>
      <c r="L23" s="777">
        <f t="shared" si="1"/>
        <v>-126</v>
      </c>
      <c r="M23" s="751"/>
      <c r="N23" s="768">
        <f t="shared" si="2"/>
        <v>-35</v>
      </c>
      <c r="O23" s="764">
        <f t="shared" si="3"/>
        <v>-91</v>
      </c>
    </row>
    <row r="24" spans="2:15" x14ac:dyDescent="0.2">
      <c r="B24" s="759" t="s">
        <v>414</v>
      </c>
      <c r="C24" s="778">
        <f t="shared" ref="C24:J24" si="4">SUM(C17:C23)</f>
        <v>118</v>
      </c>
      <c r="D24" s="779">
        <f t="shared" si="4"/>
        <v>-8</v>
      </c>
      <c r="E24" s="801">
        <f>SUM(E17:E23)</f>
        <v>535</v>
      </c>
      <c r="F24" s="780">
        <f t="shared" si="4"/>
        <v>31</v>
      </c>
      <c r="G24" s="781">
        <f t="shared" si="4"/>
        <v>177</v>
      </c>
      <c r="H24" s="781">
        <f t="shared" si="4"/>
        <v>-47</v>
      </c>
      <c r="I24" s="782">
        <f t="shared" si="4"/>
        <v>0</v>
      </c>
      <c r="J24" s="782">
        <f t="shared" si="4"/>
        <v>0</v>
      </c>
      <c r="K24" s="783"/>
      <c r="L24" s="784">
        <f>SUM(L17:L23)</f>
        <v>806</v>
      </c>
      <c r="M24" s="751"/>
      <c r="N24" s="778">
        <f>SUM(N17:N23)</f>
        <v>110</v>
      </c>
      <c r="O24" s="781">
        <f>SUM(O17:O23)</f>
        <v>696</v>
      </c>
    </row>
    <row r="25" spans="2:15" x14ac:dyDescent="0.2">
      <c r="B25" s="759"/>
      <c r="C25" s="802"/>
      <c r="D25" s="803"/>
      <c r="E25" s="794"/>
      <c r="F25" s="804"/>
      <c r="G25" s="803"/>
      <c r="H25" s="803"/>
      <c r="I25" s="803"/>
      <c r="J25" s="803"/>
      <c r="K25" s="803"/>
      <c r="L25" s="802"/>
    </row>
    <row r="26" spans="2:15" x14ac:dyDescent="0.2">
      <c r="B26" s="805"/>
    </row>
    <row r="27" spans="2:15" x14ac:dyDescent="0.2">
      <c r="C27" s="417"/>
      <c r="D27" s="417"/>
      <c r="E27" s="417"/>
      <c r="F27" s="417"/>
      <c r="G27" s="417"/>
      <c r="H27" s="417"/>
      <c r="I27" s="806"/>
      <c r="J27" s="806"/>
    </row>
    <row r="28" spans="2:15" x14ac:dyDescent="0.2">
      <c r="B28" s="418" t="s">
        <v>548</v>
      </c>
      <c r="C28" s="807" t="s">
        <v>518</v>
      </c>
      <c r="D28" s="807"/>
      <c r="E28" s="807" t="s">
        <v>527</v>
      </c>
      <c r="F28" s="807"/>
      <c r="G28" s="807" t="s">
        <v>529</v>
      </c>
      <c r="H28" s="417"/>
      <c r="I28" s="808" t="s">
        <v>531</v>
      </c>
      <c r="J28" s="808" t="s">
        <v>532</v>
      </c>
    </row>
    <row r="29" spans="2:15" ht="13.5" thickBot="1" x14ac:dyDescent="0.25">
      <c r="C29" s="809"/>
      <c r="D29" s="810"/>
      <c r="E29" s="811"/>
      <c r="F29" s="812"/>
      <c r="G29" s="811"/>
      <c r="H29" s="811"/>
      <c r="I29" s="813"/>
      <c r="J29" s="814"/>
    </row>
    <row r="30" spans="2:15" ht="13.5" thickBot="1" x14ac:dyDescent="0.25">
      <c r="B30" s="418" t="s">
        <v>549</v>
      </c>
      <c r="C30" s="815">
        <f>1597+3</f>
        <v>1600</v>
      </c>
      <c r="D30" s="816" t="s">
        <v>550</v>
      </c>
      <c r="E30" s="815">
        <v>361</v>
      </c>
      <c r="F30" s="816" t="s">
        <v>551</v>
      </c>
      <c r="G30" s="815">
        <v>214</v>
      </c>
      <c r="H30" s="817" t="s">
        <v>552</v>
      </c>
      <c r="I30" s="818">
        <f>ROUND('[5]Contribution_Discount Rate 2016'!B8/1000000,0)</f>
        <v>930</v>
      </c>
      <c r="J30" s="819">
        <f>ROUND('[5]Contribution_Discount Rate 2016'!B7/1000000,0)</f>
        <v>202</v>
      </c>
      <c r="K30" s="820" t="s">
        <v>553</v>
      </c>
      <c r="L30" s="821"/>
    </row>
    <row r="31" spans="2:15" x14ac:dyDescent="0.2">
      <c r="B31" s="418" t="s">
        <v>554</v>
      </c>
      <c r="C31" s="822" t="s">
        <v>555</v>
      </c>
      <c r="D31" s="811"/>
      <c r="E31" s="815">
        <v>99</v>
      </c>
      <c r="F31" s="816" t="s">
        <v>551</v>
      </c>
      <c r="G31" s="822" t="s">
        <v>556</v>
      </c>
      <c r="H31" s="817" t="s">
        <v>552</v>
      </c>
      <c r="I31" s="811"/>
      <c r="J31" s="811"/>
      <c r="K31" s="821"/>
      <c r="L31" s="821"/>
    </row>
    <row r="32" spans="2:15" x14ac:dyDescent="0.2">
      <c r="B32" s="418" t="s">
        <v>557</v>
      </c>
      <c r="C32" s="815">
        <f>5536+12</f>
        <v>5548</v>
      </c>
      <c r="D32" s="816" t="s">
        <v>550</v>
      </c>
      <c r="E32" s="815">
        <v>1176</v>
      </c>
      <c r="F32" s="816" t="s">
        <v>551</v>
      </c>
      <c r="G32" s="815">
        <v>897</v>
      </c>
      <c r="H32" s="817" t="s">
        <v>552</v>
      </c>
      <c r="I32" s="423">
        <v>1924</v>
      </c>
      <c r="J32" s="423">
        <f>3+406+1</f>
        <v>410</v>
      </c>
      <c r="K32" s="821"/>
      <c r="L32" s="821"/>
    </row>
    <row r="33" spans="1:12" x14ac:dyDescent="0.2">
      <c r="C33" s="821"/>
      <c r="D33" s="816" t="s">
        <v>550</v>
      </c>
      <c r="E33" s="811"/>
      <c r="F33" s="823"/>
      <c r="G33" s="811"/>
      <c r="H33" s="824"/>
      <c r="I33" s="825"/>
      <c r="J33" s="825"/>
      <c r="K33" s="821"/>
      <c r="L33" s="821"/>
    </row>
    <row r="34" spans="1:12" x14ac:dyDescent="0.2">
      <c r="B34" s="826" t="s">
        <v>558</v>
      </c>
      <c r="C34" s="821"/>
      <c r="D34" s="827"/>
      <c r="E34" s="815"/>
      <c r="F34" s="823"/>
      <c r="G34" s="811"/>
      <c r="H34" s="824"/>
      <c r="I34" s="825"/>
      <c r="J34" s="825"/>
      <c r="K34" s="821"/>
      <c r="L34" s="821"/>
    </row>
    <row r="35" spans="1:12" x14ac:dyDescent="0.2">
      <c r="B35" s="418" t="s">
        <v>559</v>
      </c>
      <c r="C35" s="828">
        <v>0.02</v>
      </c>
      <c r="D35" s="816" t="s">
        <v>550</v>
      </c>
      <c r="E35" s="828">
        <v>0.02</v>
      </c>
      <c r="F35" s="816" t="s">
        <v>551</v>
      </c>
      <c r="G35" s="828">
        <v>0.02</v>
      </c>
      <c r="H35" s="817" t="s">
        <v>552</v>
      </c>
      <c r="I35" s="829">
        <v>0.02</v>
      </c>
      <c r="J35" s="829">
        <v>0.02</v>
      </c>
      <c r="K35" s="821"/>
      <c r="L35" s="821"/>
    </row>
    <row r="36" spans="1:12" x14ac:dyDescent="0.2">
      <c r="B36" s="418" t="s">
        <v>560</v>
      </c>
      <c r="C36" s="828">
        <v>0.03</v>
      </c>
      <c r="D36" s="816" t="s">
        <v>550</v>
      </c>
      <c r="E36" s="828">
        <v>0.03</v>
      </c>
      <c r="F36" s="816" t="s">
        <v>551</v>
      </c>
      <c r="G36" s="828">
        <v>0.03</v>
      </c>
      <c r="H36" s="817" t="s">
        <v>552</v>
      </c>
      <c r="I36" s="829">
        <v>4.2500000000000003E-2</v>
      </c>
      <c r="J36" s="829">
        <v>0.03</v>
      </c>
      <c r="K36" s="821"/>
      <c r="L36" s="821"/>
    </row>
    <row r="37" spans="1:12" x14ac:dyDescent="0.2">
      <c r="B37" s="418" t="s">
        <v>561</v>
      </c>
      <c r="C37" s="828">
        <v>6.25E-2</v>
      </c>
      <c r="D37" s="816" t="s">
        <v>550</v>
      </c>
      <c r="E37" s="828">
        <v>0.06</v>
      </c>
      <c r="F37" s="816" t="s">
        <v>551</v>
      </c>
      <c r="G37" s="828">
        <v>6.25E-2</v>
      </c>
      <c r="H37" s="817" t="s">
        <v>552</v>
      </c>
      <c r="I37" s="829">
        <v>5.7500000000000002E-2</v>
      </c>
      <c r="J37" s="829">
        <v>0.06</v>
      </c>
      <c r="K37" s="821"/>
      <c r="L37" s="821"/>
    </row>
    <row r="38" spans="1:12" x14ac:dyDescent="0.2">
      <c r="A38" s="830"/>
      <c r="B38" s="418" t="s">
        <v>233</v>
      </c>
      <c r="C38" s="831">
        <v>15.3</v>
      </c>
      <c r="D38" s="816" t="s">
        <v>550</v>
      </c>
      <c r="E38" s="831">
        <v>10.8</v>
      </c>
      <c r="F38" s="816" t="s">
        <v>551</v>
      </c>
      <c r="G38" s="831">
        <v>12.2</v>
      </c>
      <c r="H38" s="817" t="s">
        <v>552</v>
      </c>
      <c r="I38" s="813">
        <v>12.8</v>
      </c>
      <c r="J38" s="813">
        <v>13.7</v>
      </c>
      <c r="K38" s="821"/>
      <c r="L38" s="821"/>
    </row>
    <row r="39" spans="1:12" ht="13.5" thickBot="1" x14ac:dyDescent="0.25">
      <c r="C39" s="821"/>
      <c r="D39" s="821"/>
      <c r="E39" s="423"/>
      <c r="F39" s="821"/>
      <c r="G39" s="821"/>
      <c r="H39" s="821"/>
      <c r="I39" s="811"/>
      <c r="J39" s="811"/>
      <c r="K39" s="821"/>
      <c r="L39" s="821"/>
    </row>
    <row r="40" spans="1:12" ht="26.25" outlineLevel="1" thickBot="1" x14ac:dyDescent="0.25">
      <c r="B40" s="832" t="s">
        <v>562</v>
      </c>
      <c r="C40" s="821"/>
      <c r="D40" s="821"/>
      <c r="E40" s="821"/>
      <c r="F40" s="821"/>
      <c r="G40" s="821"/>
      <c r="H40" s="821"/>
      <c r="I40" s="833">
        <f>ROUND('[5]BPS S&amp;W 2016'!F19/1000000,0)</f>
        <v>747</v>
      </c>
      <c r="J40" s="834">
        <f>ROUND('[5]BPS S&amp;W 2016'!F18/1000000,0)</f>
        <v>190</v>
      </c>
      <c r="K40" s="820" t="s">
        <v>553</v>
      </c>
      <c r="L40" s="821"/>
    </row>
    <row r="41" spans="1:12" outlineLevel="1" x14ac:dyDescent="0.2">
      <c r="B41" s="746" t="s">
        <v>563</v>
      </c>
      <c r="C41" s="821"/>
      <c r="D41" s="821"/>
      <c r="E41" s="821"/>
      <c r="F41" s="821"/>
      <c r="G41" s="821"/>
      <c r="H41" s="821"/>
      <c r="I41" s="423">
        <v>751</v>
      </c>
      <c r="J41" s="423">
        <v>198</v>
      </c>
      <c r="K41" s="821"/>
      <c r="L41" s="821"/>
    </row>
    <row r="42" spans="1:12" x14ac:dyDescent="0.2">
      <c r="C42" s="821"/>
      <c r="D42" s="821"/>
      <c r="E42" s="821"/>
      <c r="F42" s="821"/>
      <c r="G42" s="821"/>
      <c r="H42" s="821"/>
      <c r="I42" s="811"/>
      <c r="J42" s="811"/>
      <c r="K42" s="821"/>
      <c r="L42" s="821"/>
    </row>
    <row r="43" spans="1:12" x14ac:dyDescent="0.2">
      <c r="C43" s="821"/>
      <c r="D43" s="821"/>
      <c r="E43" s="821"/>
      <c r="F43" s="821"/>
      <c r="G43" s="821"/>
      <c r="H43" s="821"/>
      <c r="I43" s="821"/>
      <c r="J43" s="821"/>
      <c r="K43" s="821"/>
      <c r="L43" s="821"/>
    </row>
    <row r="44" spans="1:12" x14ac:dyDescent="0.2">
      <c r="C44" s="417"/>
      <c r="D44" s="417"/>
      <c r="E44" s="417"/>
      <c r="F44" s="417"/>
      <c r="G44" s="417"/>
      <c r="H44" s="417"/>
      <c r="I44" s="417"/>
      <c r="J44" s="417"/>
      <c r="K44" s="417"/>
      <c r="L44" s="417"/>
    </row>
    <row r="45" spans="1:12" outlineLevel="1" x14ac:dyDescent="0.2">
      <c r="A45" s="835" t="s">
        <v>550</v>
      </c>
      <c r="B45" s="751" t="s">
        <v>564</v>
      </c>
      <c r="I45" s="417"/>
    </row>
    <row r="46" spans="1:12" outlineLevel="1" x14ac:dyDescent="0.2">
      <c r="A46" s="835" t="s">
        <v>551</v>
      </c>
      <c r="B46" s="751" t="s">
        <v>565</v>
      </c>
    </row>
    <row r="47" spans="1:12" outlineLevel="1" x14ac:dyDescent="0.2">
      <c r="A47" s="836" t="s">
        <v>552</v>
      </c>
      <c r="B47" s="751" t="s">
        <v>566</v>
      </c>
    </row>
    <row r="48" spans="1:12" outlineLevel="1" x14ac:dyDescent="0.2"/>
  </sheetData>
  <pageMargins left="0.75" right="0.75" top="1" bottom="1" header="0.5" footer="0.5"/>
  <pageSetup scale="50" orientation="portrait" r:id="rId1"/>
  <headerFooter alignWithMargins="0">
    <oddFooter>&amp;L&amp;F&amp;C&amp;A&amp;R&amp;D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4"/>
  <sheetViews>
    <sheetView zoomScale="75" zoomScaleNormal="75" workbookViewId="0">
      <pane xSplit="2" ySplit="4" topLeftCell="R5"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49.42578125" customWidth="1"/>
    <col min="2" max="2" width="19.5703125" customWidth="1"/>
    <col min="11" max="16" width="9.140625" style="115"/>
    <col min="17" max="17" width="9.42578125" style="115" customWidth="1"/>
    <col min="18" max="20" width="9.140625" style="115"/>
    <col min="21" max="21" width="9.140625" style="115" customWidth="1"/>
    <col min="22" max="22" width="9.140625" style="489" customWidth="1"/>
    <col min="23" max="25" width="9.140625" style="76" hidden="1" customWidth="1" outlineLevel="1"/>
    <col min="26" max="26" width="9.140625" style="238" hidden="1" customWidth="1" outlineLevel="1"/>
    <col min="27" max="27" width="9.140625" collapsed="1"/>
  </cols>
  <sheetData>
    <row r="1" spans="1:26" ht="15.75" x14ac:dyDescent="0.25">
      <c r="A1" s="18" t="s">
        <v>258</v>
      </c>
      <c r="B1" s="18"/>
    </row>
    <row r="2" spans="1:26" ht="15.75" x14ac:dyDescent="0.25">
      <c r="A2" s="2" t="s">
        <v>68</v>
      </c>
      <c r="B2" s="18"/>
    </row>
    <row r="3" spans="1:26" x14ac:dyDescent="0.2">
      <c r="A3" s="308" t="s">
        <v>406</v>
      </c>
      <c r="T3" s="339" t="s">
        <v>178</v>
      </c>
      <c r="U3" s="339" t="s">
        <v>294</v>
      </c>
      <c r="V3" s="490" t="s">
        <v>309</v>
      </c>
      <c r="W3" s="309" t="s">
        <v>315</v>
      </c>
      <c r="X3" s="309" t="s">
        <v>316</v>
      </c>
      <c r="Y3" s="309" t="s">
        <v>317</v>
      </c>
      <c r="Z3" s="310" t="s">
        <v>318</v>
      </c>
    </row>
    <row r="4" spans="1:26" ht="13.5" thickBot="1" x14ac:dyDescent="0.25">
      <c r="A4" s="19" t="s">
        <v>1</v>
      </c>
      <c r="B4" s="20" t="s">
        <v>26</v>
      </c>
      <c r="C4" s="20">
        <v>1996</v>
      </c>
      <c r="D4" s="20">
        <v>1997</v>
      </c>
      <c r="E4" s="20">
        <v>1998</v>
      </c>
      <c r="F4" s="20">
        <v>1999</v>
      </c>
      <c r="G4" s="20">
        <v>2000</v>
      </c>
      <c r="H4" s="20">
        <v>2001</v>
      </c>
      <c r="I4" s="20">
        <v>2002</v>
      </c>
      <c r="J4" s="20">
        <v>2003</v>
      </c>
      <c r="K4" s="116">
        <v>2004</v>
      </c>
      <c r="L4" s="116">
        <v>2005</v>
      </c>
      <c r="M4" s="116">
        <v>2006</v>
      </c>
      <c r="N4" s="116">
        <v>2007</v>
      </c>
      <c r="O4" s="116">
        <v>2008</v>
      </c>
      <c r="P4" s="116">
        <v>2009</v>
      </c>
      <c r="Q4" s="116">
        <v>2010</v>
      </c>
      <c r="R4" s="116">
        <v>2011</v>
      </c>
      <c r="S4" s="116">
        <v>2012</v>
      </c>
      <c r="T4" s="116">
        <v>2013</v>
      </c>
      <c r="U4" s="116">
        <v>2014</v>
      </c>
      <c r="V4" s="491">
        <v>2015</v>
      </c>
      <c r="W4" s="77">
        <v>2016</v>
      </c>
      <c r="X4" s="77">
        <v>2017</v>
      </c>
      <c r="Y4" s="77">
        <v>2018</v>
      </c>
      <c r="Z4" s="239">
        <v>2019</v>
      </c>
    </row>
    <row r="7" spans="1:26" x14ac:dyDescent="0.2">
      <c r="A7" s="28" t="s">
        <v>261</v>
      </c>
    </row>
    <row r="8" spans="1:26" x14ac:dyDescent="0.2">
      <c r="A8" s="3" t="s">
        <v>48</v>
      </c>
      <c r="B8" s="3" t="s">
        <v>259</v>
      </c>
      <c r="C8" s="3">
        <f>'RCA data'!C11</f>
        <v>380</v>
      </c>
      <c r="D8" s="3">
        <f>'RCA data'!D11</f>
        <v>347</v>
      </c>
      <c r="E8" s="3">
        <f>'RCA data'!E11</f>
        <v>273</v>
      </c>
      <c r="F8" s="3">
        <f>'RCA data'!F11</f>
        <v>286</v>
      </c>
      <c r="G8" s="3">
        <f>'RCA data'!G11</f>
        <v>239</v>
      </c>
      <c r="H8" s="3">
        <f>'RCA data'!H11</f>
        <v>306</v>
      </c>
      <c r="I8" s="3">
        <f>'RCA data'!I11</f>
        <v>361</v>
      </c>
      <c r="J8" s="3">
        <f>'RCA data'!J11</f>
        <v>474.67</v>
      </c>
      <c r="K8" s="121">
        <f>'RCA data'!K11</f>
        <v>157.977</v>
      </c>
      <c r="L8" s="121">
        <f>'RCA data'!L11</f>
        <v>188.56900000000002</v>
      </c>
      <c r="M8" s="121">
        <f>'RCA data'!M11</f>
        <v>167.649</v>
      </c>
      <c r="N8" s="121">
        <f>'RCA data'!N11</f>
        <v>207.655</v>
      </c>
      <c r="O8" s="121">
        <f>'RCA data'!O11</f>
        <v>245.40100000000001</v>
      </c>
      <c r="P8" s="121">
        <f>'RCA data'!P11</f>
        <v>227.29400000000001</v>
      </c>
      <c r="Q8" s="121">
        <f>'RCA data'!Q11</f>
        <v>295.99200000000002</v>
      </c>
      <c r="R8" s="121">
        <f>'RCA data'!R11</f>
        <v>383.58199999999999</v>
      </c>
      <c r="S8" s="121">
        <f>'RCA data'!S11</f>
        <v>391.83499999999998</v>
      </c>
      <c r="T8" s="121">
        <f>'RCA data'!T11</f>
        <v>380.09500000000003</v>
      </c>
      <c r="U8" s="121">
        <f>'RCA data'!U11</f>
        <v>344.35599999999999</v>
      </c>
      <c r="V8" s="492">
        <f>'RCA data'!V11</f>
        <v>329.99400000000003</v>
      </c>
      <c r="W8" s="79">
        <f>'RCA data'!W11</f>
        <v>309.17200000000003</v>
      </c>
      <c r="X8" s="79">
        <f>'RCA data'!X11</f>
        <v>310.16956500000003</v>
      </c>
      <c r="Y8" s="79">
        <f>'RCA data'!Y11</f>
        <v>311.20723923125001</v>
      </c>
      <c r="Z8" s="240">
        <f>'RCA data'!Z11</f>
        <v>312.28814035075783</v>
      </c>
    </row>
    <row r="9" spans="1:26" x14ac:dyDescent="0.2">
      <c r="A9" s="3" t="s">
        <v>51</v>
      </c>
      <c r="B9" s="3" t="s">
        <v>260</v>
      </c>
      <c r="C9" s="3">
        <f>'RCA data'!D13/2</f>
        <v>15.5</v>
      </c>
      <c r="D9" s="3">
        <f>'RCA data'!E13/2</f>
        <v>10.5</v>
      </c>
      <c r="E9" s="3">
        <f>'RCA data'!F13/2</f>
        <v>12.5</v>
      </c>
      <c r="F9" s="3">
        <f>'RCA data'!G13/2</f>
        <v>11</v>
      </c>
      <c r="G9" s="3">
        <f>'RCA data'!H13/2</f>
        <v>9</v>
      </c>
      <c r="H9" s="3">
        <f>'RCA data'!I13/2</f>
        <v>16</v>
      </c>
      <c r="I9" s="3">
        <f>'RCA data'!J13/2</f>
        <v>16.324000000000002</v>
      </c>
      <c r="J9" s="3">
        <f>'RCA data'!K13/2</f>
        <v>4.5380000000000003</v>
      </c>
      <c r="K9" s="121">
        <f>'RCA data'!L13/2</f>
        <v>5.1684999999999999</v>
      </c>
      <c r="L9" s="121">
        <f>'RCA data'!M13/2</f>
        <v>5.7975000000000003</v>
      </c>
      <c r="M9" s="121">
        <f>'RCA data'!N13/2</f>
        <v>3.665</v>
      </c>
      <c r="N9" s="121">
        <f>'RCA data'!O13/2</f>
        <v>4.6524999999999999</v>
      </c>
      <c r="O9" s="121">
        <f>'RCA data'!P13/2</f>
        <v>5.4195000000000002</v>
      </c>
      <c r="P9" s="121">
        <f>'RCA data'!Q13/2</f>
        <v>4.9725000000000001</v>
      </c>
      <c r="Q9" s="121">
        <f>'RCA data'!R13/2</f>
        <v>6.4095000000000004</v>
      </c>
      <c r="R9" s="121">
        <f>'RCA data'!S13/2</f>
        <v>7.5060000000000002</v>
      </c>
      <c r="S9" s="121">
        <f>'RCA data'!T13/2</f>
        <v>7.2874999999999996</v>
      </c>
      <c r="T9" s="121">
        <f>'RCA data'!U13/2</f>
        <v>6.7255000000000003</v>
      </c>
      <c r="U9" s="121">
        <f>'RCA data'!V13/2</f>
        <v>3.2679999999999998</v>
      </c>
      <c r="V9" s="492">
        <f>'RCA data'!W13/2</f>
        <v>4.1120000000000001</v>
      </c>
      <c r="W9" s="79">
        <f>'RCA data'!X13/2</f>
        <v>4.2147999999999994</v>
      </c>
      <c r="X9" s="79">
        <f>'RCA data'!Y13/2</f>
        <v>4.3201699999999992</v>
      </c>
      <c r="Y9" s="79">
        <f>'RCA data'!Z13/2</f>
        <v>4.4281742499999988</v>
      </c>
      <c r="Z9" s="240">
        <f>'RCA data'!AA13/2</f>
        <v>4.5388786062499982</v>
      </c>
    </row>
    <row r="10" spans="1:26" x14ac:dyDescent="0.2">
      <c r="A10" s="3" t="s">
        <v>52</v>
      </c>
      <c r="B10" s="3" t="s">
        <v>260</v>
      </c>
      <c r="C10" s="3">
        <f>('RCA data'!D14+'RCA data'!D15)/2</f>
        <v>0</v>
      </c>
      <c r="D10" s="3">
        <f>('RCA data'!E14+'RCA data'!E15)/2</f>
        <v>0</v>
      </c>
      <c r="E10" s="3">
        <f>('RCA data'!F14+'RCA data'!F15)/2</f>
        <v>35.5</v>
      </c>
      <c r="F10" s="3">
        <f>('RCA data'!G14+'RCA data'!G15)/2</f>
        <v>0</v>
      </c>
      <c r="G10" s="3">
        <f>('RCA data'!H14+'RCA data'!H15)/2</f>
        <v>0</v>
      </c>
      <c r="H10" s="3">
        <f>('RCA data'!I14+'RCA data'!I15)/2</f>
        <v>19.5</v>
      </c>
      <c r="I10" s="3">
        <f>('RCA data'!J14+'RCA data'!J15)/2</f>
        <v>0</v>
      </c>
      <c r="J10" s="3">
        <f>('RCA data'!K14+'RCA data'!K15)/2</f>
        <v>0</v>
      </c>
      <c r="K10" s="121">
        <f>('RCA data'!L14+'RCA data'!L15)/2</f>
        <v>0</v>
      </c>
      <c r="L10" s="121">
        <f>('RCA data'!M14+'RCA data'!M15)/2</f>
        <v>0</v>
      </c>
      <c r="M10" s="121">
        <f>('RCA data'!N14+'RCA data'!N15)/2</f>
        <v>0</v>
      </c>
      <c r="N10" s="121">
        <f>('RCA data'!O14+'RCA data'!O15)/2</f>
        <v>0</v>
      </c>
      <c r="O10" s="121">
        <f>('RCA data'!P14+'RCA data'!P15)/2</f>
        <v>0</v>
      </c>
      <c r="P10" s="121">
        <f>('RCA data'!Q14+'RCA data'!Q15)/2</f>
        <v>0</v>
      </c>
      <c r="Q10" s="121">
        <f>('RCA data'!R14+'RCA data'!R15)/2</f>
        <v>0</v>
      </c>
      <c r="R10" s="121">
        <f>('RCA data'!S14+'RCA data'!S15)/2</f>
        <v>0</v>
      </c>
      <c r="S10" s="121">
        <f>('RCA data'!T14+'RCA data'!T15)/2</f>
        <v>0</v>
      </c>
      <c r="T10" s="121">
        <f>('RCA data'!U14+'RCA data'!U15)/2</f>
        <v>0</v>
      </c>
      <c r="U10" s="121">
        <f>('RCA data'!V14+'RCA data'!V15)/2</f>
        <v>0</v>
      </c>
      <c r="V10" s="492">
        <f>('RCA data'!W14+'RCA data'!W15)/2</f>
        <v>0</v>
      </c>
      <c r="W10" s="79">
        <f>('RCA data'!X14+'RCA data'!X15)/2</f>
        <v>0</v>
      </c>
      <c r="X10" s="79">
        <f>('RCA data'!Y14+'RCA data'!Y15)/2</f>
        <v>0</v>
      </c>
      <c r="Y10" s="79">
        <f>('RCA data'!Z14+'RCA data'!Z15)/2</f>
        <v>0</v>
      </c>
      <c r="Z10" s="240">
        <f>('RCA data'!AA14+'RCA data'!AA15)/2</f>
        <v>0</v>
      </c>
    </row>
    <row r="11" spans="1:26" x14ac:dyDescent="0.2">
      <c r="A11" s="3" t="s">
        <v>53</v>
      </c>
      <c r="B11" s="3" t="s">
        <v>260</v>
      </c>
      <c r="C11" s="6">
        <f>'RCA data'!D16/2</f>
        <v>0</v>
      </c>
      <c r="D11" s="6">
        <f>'RCA data'!E16/2</f>
        <v>0</v>
      </c>
      <c r="E11" s="6">
        <f>'RCA data'!F16/2</f>
        <v>0</v>
      </c>
      <c r="F11" s="6">
        <f>'RCA data'!G16/2</f>
        <v>0</v>
      </c>
      <c r="G11" s="6">
        <f>'RCA data'!H16/2</f>
        <v>0</v>
      </c>
      <c r="H11" s="6">
        <f>'RCA data'!I16/2</f>
        <v>-0.5</v>
      </c>
      <c r="I11" s="6">
        <f>'RCA data'!J16/2</f>
        <v>-0.61899999999999999</v>
      </c>
      <c r="J11" s="6">
        <f>'RCA data'!K16/2</f>
        <v>-0.86450000000000005</v>
      </c>
      <c r="K11" s="125">
        <f>'RCA data'!L16/2</f>
        <v>-1.028</v>
      </c>
      <c r="L11" s="125">
        <f>'RCA data'!M16/2</f>
        <v>-1.2875000000000001</v>
      </c>
      <c r="M11" s="125">
        <f>'RCA data'!N16/2</f>
        <v>-1.4</v>
      </c>
      <c r="N11" s="125">
        <f>'RCA data'!O16/2</f>
        <v>-1.6105</v>
      </c>
      <c r="O11" s="125">
        <f>'RCA data'!P16/2</f>
        <v>-1.8560000000000001</v>
      </c>
      <c r="P11" s="125">
        <f>'RCA data'!Q16/2</f>
        <v>-2.2124999999999999</v>
      </c>
      <c r="Q11" s="125">
        <f>'RCA data'!R16/2</f>
        <v>-2.4049999999999998</v>
      </c>
      <c r="R11" s="125">
        <f>'RCA data'!S16/2</f>
        <v>-2.9584999999999999</v>
      </c>
      <c r="S11" s="125">
        <f>'RCA data'!T16/2</f>
        <v>-3.03</v>
      </c>
      <c r="T11" s="125">
        <f>'RCA data'!U16/2</f>
        <v>-3.2955000000000001</v>
      </c>
      <c r="U11" s="125">
        <f>'RCA data'!V16/2</f>
        <v>-4.5175000000000001</v>
      </c>
      <c r="V11" s="493">
        <f>'RCA data'!W16/2</f>
        <v>-6.1360000000000001</v>
      </c>
      <c r="W11" s="81">
        <f>'RCA data'!X16/2</f>
        <v>-6.2280399999999991</v>
      </c>
      <c r="X11" s="81">
        <f>'RCA data'!Y16/2</f>
        <v>-6.3214605999999982</v>
      </c>
      <c r="Y11" s="81">
        <f>'RCA data'!Z16/2</f>
        <v>-6.4162825089999975</v>
      </c>
      <c r="Z11" s="241">
        <f>'RCA data'!AA16/2</f>
        <v>-6.5125267466349968</v>
      </c>
    </row>
    <row r="12" spans="1:26" x14ac:dyDescent="0.2">
      <c r="A12" s="8" t="s">
        <v>54</v>
      </c>
      <c r="B12" s="8" t="s">
        <v>31</v>
      </c>
      <c r="C12" s="8">
        <f t="shared" ref="C12:J12" si="0">SUM(C8:C11)</f>
        <v>395.5</v>
      </c>
      <c r="D12" s="8">
        <f t="shared" si="0"/>
        <v>357.5</v>
      </c>
      <c r="E12" s="8">
        <f t="shared" si="0"/>
        <v>321</v>
      </c>
      <c r="F12" s="8">
        <f t="shared" si="0"/>
        <v>297</v>
      </c>
      <c r="G12" s="8">
        <f t="shared" si="0"/>
        <v>248</v>
      </c>
      <c r="H12" s="8">
        <f t="shared" si="0"/>
        <v>341</v>
      </c>
      <c r="I12" s="8">
        <f t="shared" si="0"/>
        <v>376.70499999999998</v>
      </c>
      <c r="J12" s="8">
        <f t="shared" si="0"/>
        <v>478.34350000000001</v>
      </c>
      <c r="K12" s="119">
        <f t="shared" ref="K12:X12" si="1">SUM(K8:K11)</f>
        <v>162.11750000000001</v>
      </c>
      <c r="L12" s="119">
        <f t="shared" si="1"/>
        <v>193.07900000000004</v>
      </c>
      <c r="M12" s="119">
        <f t="shared" si="1"/>
        <v>169.91399999999999</v>
      </c>
      <c r="N12" s="119">
        <f t="shared" si="1"/>
        <v>210.697</v>
      </c>
      <c r="O12" s="119">
        <f t="shared" si="1"/>
        <v>248.96450000000002</v>
      </c>
      <c r="P12" s="119">
        <f t="shared" si="1"/>
        <v>230.054</v>
      </c>
      <c r="Q12" s="119">
        <f t="shared" si="1"/>
        <v>299.99650000000003</v>
      </c>
      <c r="R12" s="119">
        <f t="shared" si="1"/>
        <v>388.12949999999995</v>
      </c>
      <c r="S12" s="119">
        <f t="shared" si="1"/>
        <v>396.09250000000003</v>
      </c>
      <c r="T12" s="119">
        <f t="shared" si="1"/>
        <v>383.52500000000003</v>
      </c>
      <c r="U12" s="119">
        <f t="shared" si="1"/>
        <v>343.10649999999998</v>
      </c>
      <c r="V12" s="494">
        <f t="shared" si="1"/>
        <v>327.97</v>
      </c>
      <c r="W12" s="78">
        <f t="shared" si="1"/>
        <v>307.15876000000003</v>
      </c>
      <c r="X12" s="78">
        <f t="shared" si="1"/>
        <v>308.16827440000003</v>
      </c>
      <c r="Y12" s="78">
        <f>SUM(Y8:Y11)</f>
        <v>309.21913097225001</v>
      </c>
      <c r="Z12" s="242">
        <f>SUM(Z8:Z11)</f>
        <v>310.31449221037286</v>
      </c>
    </row>
    <row r="13" spans="1:26" x14ac:dyDescent="0.2">
      <c r="A13" s="1" t="s">
        <v>55</v>
      </c>
      <c r="B13" s="3" t="s">
        <v>259</v>
      </c>
      <c r="C13" s="4">
        <f>'RCA data'!D6</f>
        <v>4.1250000000000002E-2</v>
      </c>
      <c r="D13" s="4">
        <f>'RCA data'!E6</f>
        <v>3.875E-2</v>
      </c>
      <c r="E13" s="4">
        <f>'RCA data'!F6</f>
        <v>3.6249999999999998E-2</v>
      </c>
      <c r="F13" s="4">
        <f>'RCA data'!G6</f>
        <v>3.3750000000000002E-2</v>
      </c>
      <c r="G13" s="4">
        <f>'RCA data'!H6</f>
        <v>3.125E-2</v>
      </c>
      <c r="H13" s="4">
        <f>'RCA data'!I6</f>
        <v>3.15E-2</v>
      </c>
      <c r="I13" s="4">
        <f>'RCA data'!J6</f>
        <v>2.9499999999999998E-2</v>
      </c>
      <c r="J13" s="4">
        <f>'RCA data'!K6</f>
        <v>2.8500000000000001E-2</v>
      </c>
      <c r="K13" s="128">
        <f>'RCA data'!L6</f>
        <v>2.6749999999999999E-2</v>
      </c>
      <c r="L13" s="128">
        <f>'RCA data'!M6</f>
        <v>2.3E-2</v>
      </c>
      <c r="M13" s="128">
        <f>'RCA data'!N6</f>
        <v>2.35E-2</v>
      </c>
      <c r="N13" s="128">
        <f>'RCA data'!O6</f>
        <v>2.325E-2</v>
      </c>
      <c r="O13" s="128">
        <f>'RCA data'!P6</f>
        <v>0.02</v>
      </c>
      <c r="P13" s="128">
        <f>'RCA data'!Q6</f>
        <v>0.02</v>
      </c>
      <c r="Q13" s="128">
        <f>'RCA data'!R6</f>
        <v>2.3E-2</v>
      </c>
      <c r="R13" s="128">
        <f>'RCA data'!S6</f>
        <v>2.0250000000000001E-2</v>
      </c>
      <c r="S13" s="128">
        <f>'RCA data'!T6</f>
        <v>1.7000000000000001E-2</v>
      </c>
      <c r="T13" s="128">
        <f>'RCA data'!U6</f>
        <v>1.7000000000000001E-2</v>
      </c>
      <c r="U13" s="128">
        <f>'RCA data'!V6</f>
        <v>2.1000000000000001E-2</v>
      </c>
      <c r="V13" s="495">
        <f>'RCA data'!W6</f>
        <v>1.6750000000000001E-2</v>
      </c>
      <c r="W13" s="82">
        <f>'RCA data'!X6</f>
        <v>1.6250000000000001E-2</v>
      </c>
      <c r="X13" s="82">
        <f>'RCA data'!Y6</f>
        <v>1.6250000000000001E-2</v>
      </c>
      <c r="Y13" s="82">
        <f>'RCA data'!Z6</f>
        <v>1.6250000000000001E-2</v>
      </c>
      <c r="Z13" s="243">
        <f>'RCA data'!AA6</f>
        <v>1.6250000000000001E-2</v>
      </c>
    </row>
    <row r="14" spans="1:26" x14ac:dyDescent="0.2">
      <c r="A14" s="25" t="s">
        <v>56</v>
      </c>
      <c r="B14" s="8" t="s">
        <v>31</v>
      </c>
      <c r="C14" s="26">
        <f t="shared" ref="C14:J14" si="2">C12*C13</f>
        <v>16.314375000000002</v>
      </c>
      <c r="D14" s="26">
        <f t="shared" si="2"/>
        <v>13.853125</v>
      </c>
      <c r="E14" s="26">
        <f t="shared" si="2"/>
        <v>11.636249999999999</v>
      </c>
      <c r="F14" s="26">
        <f t="shared" si="2"/>
        <v>10.023750000000001</v>
      </c>
      <c r="G14" s="26">
        <f t="shared" si="2"/>
        <v>7.75</v>
      </c>
      <c r="H14" s="26">
        <f t="shared" si="2"/>
        <v>10.7415</v>
      </c>
      <c r="I14" s="26">
        <f t="shared" si="2"/>
        <v>11.112797499999999</v>
      </c>
      <c r="J14" s="26">
        <f t="shared" si="2"/>
        <v>13.632789750000001</v>
      </c>
      <c r="K14" s="129">
        <f t="shared" ref="K14:X14" si="3">K12*K13</f>
        <v>4.3366431250000002</v>
      </c>
      <c r="L14" s="129">
        <f t="shared" si="3"/>
        <v>4.4408170000000009</v>
      </c>
      <c r="M14" s="129">
        <f t="shared" si="3"/>
        <v>3.9929789999999996</v>
      </c>
      <c r="N14" s="129">
        <f t="shared" si="3"/>
        <v>4.8987052499999999</v>
      </c>
      <c r="O14" s="129">
        <f t="shared" si="3"/>
        <v>4.9792900000000007</v>
      </c>
      <c r="P14" s="129">
        <f t="shared" si="3"/>
        <v>4.6010800000000005</v>
      </c>
      <c r="Q14" s="129">
        <f t="shared" si="3"/>
        <v>6.8999195000000002</v>
      </c>
      <c r="R14" s="129">
        <f t="shared" si="3"/>
        <v>7.8596223749999989</v>
      </c>
      <c r="S14" s="129">
        <f t="shared" si="3"/>
        <v>6.7335725000000011</v>
      </c>
      <c r="T14" s="129">
        <f t="shared" si="3"/>
        <v>6.5199250000000006</v>
      </c>
      <c r="U14" s="129">
        <f t="shared" si="3"/>
        <v>7.2052364999999998</v>
      </c>
      <c r="V14" s="496">
        <f t="shared" si="3"/>
        <v>5.493497500000001</v>
      </c>
      <c r="W14" s="83">
        <f t="shared" si="3"/>
        <v>4.9913298500000005</v>
      </c>
      <c r="X14" s="83">
        <f t="shared" si="3"/>
        <v>5.0077344590000008</v>
      </c>
      <c r="Y14" s="83">
        <f>Y12*Y13</f>
        <v>5.0248108782990633</v>
      </c>
      <c r="Z14" s="244">
        <f>Z12*Z13</f>
        <v>5.0426104984185596</v>
      </c>
    </row>
  </sheetData>
  <phoneticPr fontId="0" type="noConversion"/>
  <pageMargins left="1" right="1" top="1" bottom="1" header="0.5" footer="0.5"/>
  <pageSetup paperSize="5" scale="61" orientation="landscape" r:id="rId1"/>
  <headerFooter alignWithMargins="0">
    <oddFooter>&amp;L&amp;"Arial,Bold"&amp;F&amp;C&amp;A&amp;R&amp;D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104"/>
  <sheetViews>
    <sheetView zoomScaleNormal="100" workbookViewId="0">
      <pane xSplit="1" ySplit="5" topLeftCell="B6" activePane="bottomRight" state="frozen"/>
      <selection activeCell="V17" sqref="V17"/>
      <selection pane="topRight" activeCell="V17" sqref="V17"/>
      <selection pane="bottomLeft" activeCell="V17" sqref="V17"/>
      <selection pane="bottomRight" activeCell="V17" sqref="V17"/>
    </sheetView>
  </sheetViews>
  <sheetFormatPr defaultRowHeight="12.75" x14ac:dyDescent="0.2"/>
  <cols>
    <col min="1" max="1" width="55.140625" customWidth="1"/>
    <col min="2" max="2" width="20.28515625" customWidth="1"/>
    <col min="3" max="3" width="10.85546875" customWidth="1"/>
    <col min="4" max="10" width="9.28515625" bestFit="1" customWidth="1"/>
    <col min="11" max="11" width="10" customWidth="1"/>
    <col min="12" max="12" width="10.140625" customWidth="1"/>
    <col min="13" max="13" width="9.28515625" bestFit="1" customWidth="1"/>
    <col min="14" max="14" width="10.42578125" customWidth="1"/>
    <col min="16" max="16" width="10.85546875" style="115" bestFit="1" customWidth="1"/>
    <col min="17" max="18" width="11.42578125" style="115" bestFit="1" customWidth="1"/>
    <col min="19" max="19" width="10.42578125" style="115" customWidth="1"/>
    <col min="20" max="20" width="9.7109375" style="115" customWidth="1"/>
    <col min="21" max="21" width="10.42578125" style="115" customWidth="1"/>
    <col min="22" max="22" width="11" style="115" customWidth="1"/>
    <col min="23" max="23" width="10.42578125" style="115" customWidth="1"/>
    <col min="24" max="25" width="12" style="115" customWidth="1"/>
    <col min="26" max="26" width="10.42578125" style="115" bestFit="1" customWidth="1"/>
    <col min="27" max="27" width="10.42578125" style="338" bestFit="1" customWidth="1"/>
    <col min="28" max="30" width="9.7109375" style="76" bestFit="1" customWidth="1"/>
    <col min="31" max="31" width="10.42578125" style="238" bestFit="1" customWidth="1"/>
    <col min="49" max="49" width="9.140625" style="176"/>
  </cols>
  <sheetData>
    <row r="1" spans="1:49" ht="15.75" x14ac:dyDescent="0.25">
      <c r="A1" s="18" t="s">
        <v>67</v>
      </c>
      <c r="B1" s="18"/>
    </row>
    <row r="2" spans="1:49" ht="15.75" x14ac:dyDescent="0.25">
      <c r="A2" s="2" t="s">
        <v>105</v>
      </c>
      <c r="B2" s="18"/>
    </row>
    <row r="3" spans="1:49" ht="15.75" x14ac:dyDescent="0.25">
      <c r="A3" s="2" t="s">
        <v>146</v>
      </c>
      <c r="B3" s="18"/>
    </row>
    <row r="4" spans="1:49" x14ac:dyDescent="0.2">
      <c r="Y4" s="339" t="s">
        <v>178</v>
      </c>
      <c r="Z4" s="339" t="s">
        <v>294</v>
      </c>
      <c r="AA4" s="337" t="s">
        <v>309</v>
      </c>
      <c r="AB4" s="309" t="s">
        <v>315</v>
      </c>
      <c r="AC4" s="309" t="s">
        <v>316</v>
      </c>
      <c r="AD4" s="309" t="s">
        <v>317</v>
      </c>
      <c r="AE4" s="310" t="s">
        <v>318</v>
      </c>
    </row>
    <row r="5" spans="1:49" s="2" customFormat="1" ht="13.5" thickBot="1" x14ac:dyDescent="0.25">
      <c r="A5" s="19" t="s">
        <v>1</v>
      </c>
      <c r="B5" s="20" t="s">
        <v>26</v>
      </c>
      <c r="C5" s="20">
        <v>1991</v>
      </c>
      <c r="D5" s="20">
        <v>1992</v>
      </c>
      <c r="E5" s="20">
        <v>1993</v>
      </c>
      <c r="F5" s="20">
        <v>1994</v>
      </c>
      <c r="G5" s="20">
        <v>1995</v>
      </c>
      <c r="H5" s="20">
        <v>1996</v>
      </c>
      <c r="I5" s="20">
        <v>1997</v>
      </c>
      <c r="J5" s="20">
        <v>1998</v>
      </c>
      <c r="K5" s="20">
        <v>1999</v>
      </c>
      <c r="L5" s="20">
        <v>2000</v>
      </c>
      <c r="M5" s="20">
        <v>2001</v>
      </c>
      <c r="N5" s="20">
        <v>2002</v>
      </c>
      <c r="O5" s="20">
        <v>2003</v>
      </c>
      <c r="P5" s="116">
        <v>2004</v>
      </c>
      <c r="Q5" s="116">
        <v>2005</v>
      </c>
      <c r="R5" s="116">
        <v>2006</v>
      </c>
      <c r="S5" s="116">
        <v>2007</v>
      </c>
      <c r="T5" s="116">
        <v>2008</v>
      </c>
      <c r="U5" s="116">
        <v>2009</v>
      </c>
      <c r="V5" s="116">
        <v>2010</v>
      </c>
      <c r="W5" s="116">
        <v>2011</v>
      </c>
      <c r="X5" s="116">
        <v>2012</v>
      </c>
      <c r="Y5" s="116">
        <v>2013</v>
      </c>
      <c r="Z5" s="116">
        <v>2014</v>
      </c>
      <c r="AA5" s="342">
        <v>2015</v>
      </c>
      <c r="AB5" s="77">
        <v>2016</v>
      </c>
      <c r="AC5" s="77">
        <v>2017</v>
      </c>
      <c r="AD5" s="77">
        <v>2018</v>
      </c>
      <c r="AE5" s="239">
        <v>2019</v>
      </c>
      <c r="AF5" s="20">
        <v>2020</v>
      </c>
      <c r="AG5" s="20">
        <v>2021</v>
      </c>
      <c r="AH5" s="20">
        <v>2022</v>
      </c>
      <c r="AI5" s="20">
        <v>2023</v>
      </c>
      <c r="AJ5" s="20">
        <v>2024</v>
      </c>
      <c r="AK5" s="20">
        <v>2025</v>
      </c>
      <c r="AL5" s="20">
        <v>2026</v>
      </c>
      <c r="AM5" s="20">
        <v>2027</v>
      </c>
      <c r="AN5" s="20">
        <v>2028</v>
      </c>
      <c r="AO5" s="20">
        <v>2029</v>
      </c>
      <c r="AP5" s="20">
        <v>2030</v>
      </c>
      <c r="AQ5" s="20">
        <v>2031</v>
      </c>
      <c r="AR5" s="20">
        <v>2032</v>
      </c>
      <c r="AS5" s="20">
        <v>2033</v>
      </c>
      <c r="AT5" s="73"/>
      <c r="AU5" s="73"/>
      <c r="AW5" s="177" t="s">
        <v>298</v>
      </c>
    </row>
    <row r="8" spans="1:49" x14ac:dyDescent="0.2">
      <c r="A8" s="28" t="s">
        <v>69</v>
      </c>
    </row>
    <row r="9" spans="1:49" s="3" customFormat="1" x14ac:dyDescent="0.2">
      <c r="A9" s="3" t="s">
        <v>48</v>
      </c>
      <c r="B9" s="3" t="s">
        <v>49</v>
      </c>
      <c r="C9" s="3">
        <f>'Data Input'!D12</f>
        <v>24391</v>
      </c>
      <c r="D9" s="3">
        <f>'Data Input'!E12</f>
        <v>27479</v>
      </c>
      <c r="E9" s="3">
        <f>'Data Input'!F12</f>
        <v>30781</v>
      </c>
      <c r="F9" s="3">
        <f>'Data Input'!G12</f>
        <v>33998</v>
      </c>
      <c r="G9" s="3">
        <f>'Data Input'!H12</f>
        <v>36848</v>
      </c>
      <c r="H9" s="3">
        <f>'Data Input'!I12</f>
        <v>39007</v>
      </c>
      <c r="I9" s="3">
        <f>'Data Input'!J12</f>
        <v>41833</v>
      </c>
      <c r="J9" s="3">
        <f>'Data Input'!K12</f>
        <v>46470</v>
      </c>
      <c r="K9" s="3">
        <f>'Data Input'!L12</f>
        <v>48635</v>
      </c>
      <c r="L9" s="3">
        <f>'Data Input'!M12</f>
        <v>50346</v>
      </c>
      <c r="M9" s="3">
        <f>'Data Input'!N12</f>
        <v>55087</v>
      </c>
      <c r="N9" s="3">
        <f>'Data Input'!O12</f>
        <v>64369</v>
      </c>
      <c r="O9" s="3">
        <f>'Data Input'!P12</f>
        <v>67319</v>
      </c>
      <c r="P9" s="121">
        <f>'Data Input'!Q12</f>
        <v>71009</v>
      </c>
      <c r="Q9" s="121">
        <f>'Data Input'!R12</f>
        <v>74089</v>
      </c>
      <c r="R9" s="121">
        <f>'Data Input'!S12</f>
        <v>80371</v>
      </c>
      <c r="S9" s="121">
        <f>'Data Input'!T12</f>
        <v>83120</v>
      </c>
      <c r="T9" s="121">
        <f>'Data Input'!U12</f>
        <v>88356</v>
      </c>
      <c r="U9" s="121">
        <f>'Data Input'!V12</f>
        <v>92022</v>
      </c>
      <c r="V9" s="121">
        <f>'Data Input'!W12</f>
        <v>96608</v>
      </c>
      <c r="W9" s="121">
        <f>'Data Input'!X12</f>
        <v>99117</v>
      </c>
      <c r="X9" s="121">
        <f>'Data Input'!Y12</f>
        <v>103693</v>
      </c>
      <c r="Y9" s="121">
        <f>'Data Input'!Z12</f>
        <v>105954</v>
      </c>
      <c r="Z9" s="121">
        <f>'Data Input'!AA12</f>
        <v>109524</v>
      </c>
      <c r="AA9" s="345">
        <f>'Data Input'!AB12</f>
        <v>113801</v>
      </c>
      <c r="AB9" s="79">
        <f>'Data Input'!AC12</f>
        <v>116367</v>
      </c>
      <c r="AC9" s="79">
        <f>'Data Input'!AD12</f>
        <v>120891.15773981952</v>
      </c>
      <c r="AD9" s="79">
        <f>'Data Input'!AE12</f>
        <v>125674.54587496544</v>
      </c>
      <c r="AE9" s="240">
        <f>'Data Input'!AF12</f>
        <v>130724.77615093655</v>
      </c>
      <c r="AW9" s="178"/>
    </row>
    <row r="10" spans="1:49" s="3" customFormat="1" x14ac:dyDescent="0.2">
      <c r="A10" s="3" t="s">
        <v>70</v>
      </c>
      <c r="B10" s="3" t="s">
        <v>49</v>
      </c>
      <c r="C10" s="3">
        <f>'Data Input'!E14</f>
        <v>1180</v>
      </c>
      <c r="D10" s="3">
        <f>'Data Input'!F14</f>
        <v>1188</v>
      </c>
      <c r="E10" s="3">
        <f>'Data Input'!G14</f>
        <v>1170</v>
      </c>
      <c r="F10" s="3">
        <f>'Data Input'!H14</f>
        <v>1292</v>
      </c>
      <c r="G10" s="3">
        <f>'Data Input'!I14</f>
        <v>1363</v>
      </c>
      <c r="H10" s="3">
        <f>'Data Input'!J14</f>
        <v>1337</v>
      </c>
      <c r="I10" s="3">
        <f>'Data Input'!K14</f>
        <v>1204</v>
      </c>
      <c r="J10" s="3">
        <f>'Data Input'!L14</f>
        <v>1305</v>
      </c>
      <c r="K10" s="3">
        <f>'Data Input'!M14</f>
        <v>1301</v>
      </c>
      <c r="L10" s="3">
        <f>'Data Input'!N14</f>
        <v>1300</v>
      </c>
      <c r="M10" s="3">
        <f>'Data Input'!O14</f>
        <v>1539</v>
      </c>
      <c r="N10" s="3">
        <f>'Data Input'!P14</f>
        <v>1695</v>
      </c>
      <c r="O10" s="3">
        <f>'Data Input'!Q14</f>
        <v>1735</v>
      </c>
      <c r="P10" s="121">
        <f>'Data Input'!R14</f>
        <v>1756</v>
      </c>
      <c r="Q10" s="121">
        <f>'Data Input'!S14</f>
        <v>1909</v>
      </c>
      <c r="R10" s="121">
        <f>'Data Input'!T14</f>
        <v>1995</v>
      </c>
      <c r="S10" s="121">
        <f>'Data Input'!U14</f>
        <v>2102</v>
      </c>
      <c r="T10" s="121">
        <f>'Data Input'!V14</f>
        <v>2236</v>
      </c>
      <c r="U10" s="121">
        <f>'Data Input'!W14</f>
        <v>2349</v>
      </c>
      <c r="V10" s="121">
        <f>'Data Input'!X14</f>
        <v>2434</v>
      </c>
      <c r="W10" s="121">
        <f>'Data Input'!Y14</f>
        <v>2565</v>
      </c>
      <c r="X10" s="121">
        <f>'Data Input'!Z14</f>
        <v>2791</v>
      </c>
      <c r="Y10" s="121">
        <f>'Data Input'!AA14</f>
        <v>2654</v>
      </c>
      <c r="Z10" s="121">
        <f>'Data Input'!AB14</f>
        <v>2924</v>
      </c>
      <c r="AA10" s="345">
        <f>'Data Input'!AC14</f>
        <v>2902</v>
      </c>
      <c r="AB10" s="79">
        <f>'Data Input'!AD14</f>
        <v>3023.59375</v>
      </c>
      <c r="AC10" s="79">
        <f>'Data Input'!AE14</f>
        <v>3262.1026904296868</v>
      </c>
      <c r="AD10" s="79">
        <f>'Data Input'!AF14</f>
        <v>3500.4040891754139</v>
      </c>
      <c r="AE10" s="240">
        <f>'Data Input'!AG14</f>
        <v>3756.0074825188831</v>
      </c>
      <c r="AW10" s="178"/>
    </row>
    <row r="11" spans="1:49" s="121" customFormat="1" x14ac:dyDescent="0.2">
      <c r="A11" s="121" t="s">
        <v>341</v>
      </c>
      <c r="R11" s="121">
        <f>'Data Input'!T15</f>
        <v>17</v>
      </c>
      <c r="S11" s="121">
        <f>'Data Input'!U15</f>
        <v>19</v>
      </c>
      <c r="T11" s="121">
        <f>'Data Input'!V15</f>
        <v>17</v>
      </c>
      <c r="U11" s="121">
        <f>'Data Input'!W15</f>
        <v>13</v>
      </c>
      <c r="V11" s="121">
        <f>'Data Input'!X15</f>
        <v>11</v>
      </c>
      <c r="W11" s="121">
        <f>'Data Input'!Y15</f>
        <v>15</v>
      </c>
      <c r="X11" s="121">
        <f>'Data Input'!Z15</f>
        <v>13</v>
      </c>
      <c r="Y11" s="121">
        <f>'Data Input'!AA15</f>
        <v>13</v>
      </c>
      <c r="Z11" s="121">
        <f>'Data Input'!AB15</f>
        <v>13</v>
      </c>
      <c r="AA11" s="345">
        <f>'Data Input'!AC15</f>
        <v>14</v>
      </c>
      <c r="AB11" s="79">
        <f>'Data Input'!AD15</f>
        <v>13</v>
      </c>
      <c r="AC11" s="79">
        <f>'Data Input'!AE15</f>
        <v>13</v>
      </c>
      <c r="AD11" s="79">
        <f>'Data Input'!AF15</f>
        <v>13</v>
      </c>
      <c r="AE11" s="240">
        <f>'Data Input'!AG15</f>
        <v>13</v>
      </c>
      <c r="AW11" s="312"/>
    </row>
    <row r="12" spans="1:49" s="3" customFormat="1" x14ac:dyDescent="0.2">
      <c r="A12" s="3" t="s">
        <v>71</v>
      </c>
      <c r="B12" s="3" t="s">
        <v>49</v>
      </c>
      <c r="C12" s="3">
        <f>'Data Input'!E16</f>
        <v>0</v>
      </c>
      <c r="D12" s="3">
        <f>'Data Input'!F16</f>
        <v>0</v>
      </c>
      <c r="E12" s="3">
        <f>'Data Input'!G16</f>
        <v>0</v>
      </c>
      <c r="F12" s="3">
        <f>'Data Input'!H16</f>
        <v>0</v>
      </c>
      <c r="G12" s="3">
        <f>'Data Input'!I16</f>
        <v>0</v>
      </c>
      <c r="H12" s="3">
        <f>'Data Input'!J16</f>
        <v>258</v>
      </c>
      <c r="I12" s="3">
        <f>'Data Input'!K16</f>
        <v>2013</v>
      </c>
      <c r="J12" s="3">
        <f>'Data Input'!L16</f>
        <v>0</v>
      </c>
      <c r="K12" s="3">
        <f>'Data Input'!M16</f>
        <v>0</v>
      </c>
      <c r="L12" s="3">
        <f>'Data Input'!N16</f>
        <v>0</v>
      </c>
      <c r="M12" s="3">
        <f>'Data Input'!O16</f>
        <v>4519</v>
      </c>
      <c r="N12" s="3">
        <f>'Data Input'!P16</f>
        <v>0</v>
      </c>
      <c r="O12" s="3">
        <f>'Data Input'!Q16</f>
        <v>0</v>
      </c>
      <c r="P12" s="121">
        <f>'Data Input'!R16</f>
        <v>0</v>
      </c>
      <c r="Q12" s="121">
        <f>'Data Input'!S16</f>
        <v>0</v>
      </c>
      <c r="R12" s="121">
        <f>'Data Input'!T16</f>
        <v>0</v>
      </c>
      <c r="S12" s="121">
        <f>'Data Input'!U16</f>
        <v>0</v>
      </c>
      <c r="T12" s="121">
        <f>'Data Input'!V16</f>
        <v>0</v>
      </c>
      <c r="U12" s="121">
        <f>'Data Input'!W16</f>
        <v>0</v>
      </c>
      <c r="V12" s="121">
        <f>'Data Input'!X16</f>
        <v>0</v>
      </c>
      <c r="W12" s="121">
        <f>'Data Input'!Y16</f>
        <v>0</v>
      </c>
      <c r="X12" s="121">
        <f>'Data Input'!Z16</f>
        <v>0</v>
      </c>
      <c r="Y12" s="121">
        <f>'Data Input'!AA16</f>
        <v>0</v>
      </c>
      <c r="Z12" s="121">
        <f>'Data Input'!AB16</f>
        <v>0</v>
      </c>
      <c r="AA12" s="345">
        <f>'Data Input'!AC16</f>
        <v>0</v>
      </c>
      <c r="AB12" s="79">
        <f>'Data Input'!AD16</f>
        <v>0</v>
      </c>
      <c r="AC12" s="79">
        <f>'Data Input'!AE16</f>
        <v>0</v>
      </c>
      <c r="AD12" s="79">
        <f>'Data Input'!AF16</f>
        <v>0</v>
      </c>
      <c r="AE12" s="240">
        <f>'Data Input'!AG16</f>
        <v>0</v>
      </c>
      <c r="AW12" s="178"/>
    </row>
    <row r="13" spans="1:49" s="3" customFormat="1" x14ac:dyDescent="0.2">
      <c r="A13" s="3" t="s">
        <v>72</v>
      </c>
      <c r="B13" s="3" t="s">
        <v>73</v>
      </c>
      <c r="C13" s="3">
        <f>Interest!D15</f>
        <v>2518.0662499999999</v>
      </c>
      <c r="D13" s="3">
        <f>Interest!E15</f>
        <v>2623.1875</v>
      </c>
      <c r="E13" s="3">
        <f>Interest!F15</f>
        <v>2700.7312499999998</v>
      </c>
      <c r="F13" s="3">
        <f>Interest!G15</f>
        <v>2981.9124999999999</v>
      </c>
      <c r="G13" s="3">
        <f>Interest!H15</f>
        <v>3044.1675</v>
      </c>
      <c r="H13" s="3">
        <f>Interest!I15</f>
        <v>3221.1712500000003</v>
      </c>
      <c r="I13" s="3">
        <f>Interest!J15</f>
        <v>3296.8887500000001</v>
      </c>
      <c r="J13" s="3">
        <f>Interest!K15</f>
        <v>3353.9224999999997</v>
      </c>
      <c r="K13" s="3">
        <f>Interest!L15</f>
        <v>3490.6212499999997</v>
      </c>
      <c r="L13" s="3">
        <f>Interest!M15</f>
        <v>3480.7850000000003</v>
      </c>
      <c r="M13" s="3">
        <f>Interest!N15</f>
        <v>3960</v>
      </c>
      <c r="N13" s="3">
        <f>Interest!O15</f>
        <v>4457.4950000000008</v>
      </c>
      <c r="O13" s="3">
        <f>Interest!P15</f>
        <v>4661.09</v>
      </c>
      <c r="P13" s="121">
        <f>Interest!Q15</f>
        <v>4912.1100000000006</v>
      </c>
      <c r="Q13" s="121">
        <f>Interest!R15</f>
        <v>5126.3450000000003</v>
      </c>
      <c r="R13" s="121">
        <f>Interest!S15</f>
        <v>5364.09</v>
      </c>
      <c r="S13" s="121">
        <f>Interest!T15</f>
        <v>5546.50875</v>
      </c>
      <c r="T13" s="121">
        <f>Interest!U15</f>
        <v>5898.5212500000007</v>
      </c>
      <c r="U13" s="121">
        <f>Interest!V15</f>
        <v>6142.9725000000008</v>
      </c>
      <c r="V13" s="121">
        <f>Interest!W15</f>
        <v>6451.6837500000001</v>
      </c>
      <c r="W13" s="121">
        <f>Interest!X15</f>
        <v>6620.0962500000005</v>
      </c>
      <c r="X13" s="121">
        <f>Interest!Y15</f>
        <v>6927.7275000000009</v>
      </c>
      <c r="Y13" s="121">
        <f>Interest!Z15</f>
        <v>7068.0937500000009</v>
      </c>
      <c r="Z13" s="121">
        <f>Interest!AA15</f>
        <v>7312.9162500000002</v>
      </c>
      <c r="AA13" s="345">
        <f>Interest!AB15</f>
        <v>7311.915</v>
      </c>
      <c r="AB13" s="79">
        <f>Interest!AC15</f>
        <v>7189.8691871818601</v>
      </c>
      <c r="AC13" s="79">
        <f>Interest!AD15</f>
        <v>7472.1518078976851</v>
      </c>
      <c r="AD13" s="79">
        <f>Interest!AE15</f>
        <v>7770.3354924969935</v>
      </c>
      <c r="AE13" s="240">
        <f>Interest!AF15</f>
        <v>8085.4618421636733</v>
      </c>
      <c r="AW13" s="178"/>
    </row>
    <row r="14" spans="1:49" s="3" customFormat="1" x14ac:dyDescent="0.2">
      <c r="A14" s="3" t="s">
        <v>74</v>
      </c>
      <c r="B14" s="3" t="s">
        <v>49</v>
      </c>
      <c r="C14" s="6">
        <f>'Data Input'!E18</f>
        <v>-829</v>
      </c>
      <c r="D14" s="6">
        <f>'Data Input'!F18</f>
        <v>-921</v>
      </c>
      <c r="E14" s="6">
        <f>'Data Input'!G18</f>
        <v>-1001</v>
      </c>
      <c r="F14" s="6">
        <f>'Data Input'!H18</f>
        <v>-1130</v>
      </c>
      <c r="G14" s="6">
        <f>'Data Input'!I18</f>
        <v>-1261</v>
      </c>
      <c r="H14" s="6">
        <f>'Data Input'!J18</f>
        <v>-1520</v>
      </c>
      <c r="I14" s="6">
        <f>'Data Input'!K18</f>
        <v>-1802</v>
      </c>
      <c r="J14" s="6">
        <f>'Data Input'!L18</f>
        <v>-2103</v>
      </c>
      <c r="K14" s="6">
        <f>'Data Input'!M18</f>
        <v>-2278</v>
      </c>
      <c r="L14" s="6">
        <f>'Data Input'!N18</f>
        <v>-2541</v>
      </c>
      <c r="M14" s="6">
        <f>'Data Input'!O18</f>
        <v>-3080</v>
      </c>
      <c r="N14" s="6">
        <f>'Data Input'!P18</f>
        <v>-3076</v>
      </c>
      <c r="O14" s="6">
        <f>'Data Input'!Q18</f>
        <v>-3199</v>
      </c>
      <c r="P14" s="125">
        <f>'Data Input'!R18</f>
        <v>-3428</v>
      </c>
      <c r="Q14" s="125">
        <f>'Data Input'!S18</f>
        <v>-3620</v>
      </c>
      <c r="R14" s="125">
        <f>'Data Input'!T18</f>
        <v>-3818</v>
      </c>
      <c r="S14" s="125">
        <f>'Data Input'!U18</f>
        <v>-4020</v>
      </c>
      <c r="T14" s="125">
        <f>'Data Input'!V18</f>
        <v>-4194</v>
      </c>
      <c r="U14" s="125">
        <f>'Data Input'!W18</f>
        <v>-4392</v>
      </c>
      <c r="V14" s="125">
        <f>'Data Input'!X18</f>
        <v>-4500</v>
      </c>
      <c r="W14" s="125">
        <f>'Data Input'!Y18</f>
        <v>-4663</v>
      </c>
      <c r="X14" s="125">
        <f>'Data Input'!Z18</f>
        <v>-4924</v>
      </c>
      <c r="Y14" s="125">
        <f>'Data Input'!AA18</f>
        <v>-5150</v>
      </c>
      <c r="Z14" s="125">
        <f>'Data Input'!AB18</f>
        <v>-5306</v>
      </c>
      <c r="AA14" s="346">
        <f>'Data Input'!AC18</f>
        <v>-5536</v>
      </c>
      <c r="AB14" s="81">
        <f>'Data Input'!AD18</f>
        <v>-5694.7797601804714</v>
      </c>
      <c r="AC14" s="81">
        <f>'Data Input'!AE18</f>
        <v>-5948.560317342809</v>
      </c>
      <c r="AD14" s="81">
        <f>'Data Input'!AF18</f>
        <v>-6211.7600792025059</v>
      </c>
      <c r="AE14" s="241">
        <f>'Data Input'!AG18</f>
        <v>-6483.78083515448</v>
      </c>
      <c r="AW14" s="178"/>
    </row>
    <row r="15" spans="1:49" s="8" customFormat="1" x14ac:dyDescent="0.2">
      <c r="A15" s="8" t="s">
        <v>297</v>
      </c>
      <c r="B15" s="8" t="s">
        <v>31</v>
      </c>
      <c r="C15" s="8">
        <f>SUM(C9:C14)</f>
        <v>27260.06625</v>
      </c>
      <c r="D15" s="8">
        <f t="shared" ref="D15:P15" si="0">SUM(D9:D14)</f>
        <v>30369.1875</v>
      </c>
      <c r="E15" s="8">
        <f t="shared" si="0"/>
        <v>33650.731249999997</v>
      </c>
      <c r="F15" s="8">
        <f t="shared" si="0"/>
        <v>37141.912499999999</v>
      </c>
      <c r="G15" s="8">
        <f t="shared" si="0"/>
        <v>39994.167500000003</v>
      </c>
      <c r="H15" s="8">
        <f t="shared" si="0"/>
        <v>42303.171249999999</v>
      </c>
      <c r="I15" s="8">
        <f t="shared" si="0"/>
        <v>46544.888749999998</v>
      </c>
      <c r="J15" s="8">
        <f t="shared" si="0"/>
        <v>49025.922500000001</v>
      </c>
      <c r="K15" s="8">
        <f t="shared" si="0"/>
        <v>51148.621249999997</v>
      </c>
      <c r="L15" s="8">
        <f t="shared" si="0"/>
        <v>52585.785000000003</v>
      </c>
      <c r="M15" s="8">
        <f t="shared" si="0"/>
        <v>62025</v>
      </c>
      <c r="N15" s="8">
        <f t="shared" si="0"/>
        <v>67445.494999999995</v>
      </c>
      <c r="O15" s="8">
        <f t="shared" si="0"/>
        <v>70516.09</v>
      </c>
      <c r="P15" s="119">
        <f t="shared" si="0"/>
        <v>74249.11</v>
      </c>
      <c r="Q15" s="119">
        <f t="shared" ref="Q15:AC15" si="1">SUM(Q9:Q14)</f>
        <v>77504.345000000001</v>
      </c>
      <c r="R15" s="119">
        <f t="shared" si="1"/>
        <v>83929.09</v>
      </c>
      <c r="S15" s="119">
        <f t="shared" si="1"/>
        <v>86767.508749999994</v>
      </c>
      <c r="T15" s="119">
        <f t="shared" si="1"/>
        <v>92313.521250000005</v>
      </c>
      <c r="U15" s="119">
        <f t="shared" si="1"/>
        <v>96134.972500000003</v>
      </c>
      <c r="V15" s="119">
        <f t="shared" si="1"/>
        <v>101004.68375</v>
      </c>
      <c r="W15" s="119">
        <f t="shared" si="1"/>
        <v>103654.09625</v>
      </c>
      <c r="X15" s="119">
        <f t="shared" si="1"/>
        <v>108500.72750000001</v>
      </c>
      <c r="Y15" s="119">
        <f t="shared" si="1"/>
        <v>110539.09375</v>
      </c>
      <c r="Z15" s="119">
        <f t="shared" si="1"/>
        <v>114467.91624999999</v>
      </c>
      <c r="AA15" s="343">
        <f t="shared" si="1"/>
        <v>118492.91499999999</v>
      </c>
      <c r="AB15" s="78">
        <f t="shared" si="1"/>
        <v>120898.68317700138</v>
      </c>
      <c r="AC15" s="78">
        <f t="shared" si="1"/>
        <v>125689.8519208041</v>
      </c>
      <c r="AD15" s="78">
        <f t="shared" ref="AD15:AE15" si="2">SUM(AD9:AD14)</f>
        <v>130746.52537743535</v>
      </c>
      <c r="AE15" s="242">
        <f t="shared" si="2"/>
        <v>136095.46464046463</v>
      </c>
      <c r="AW15" s="179"/>
    </row>
    <row r="16" spans="1:49" s="3" customFormat="1" x14ac:dyDescent="0.2">
      <c r="A16" s="3" t="s">
        <v>75</v>
      </c>
      <c r="B16" s="3" t="s">
        <v>49</v>
      </c>
      <c r="C16" s="6">
        <f>'Data Input'!E12</f>
        <v>27479</v>
      </c>
      <c r="D16" s="6">
        <f>'Data Input'!F12</f>
        <v>30781</v>
      </c>
      <c r="E16" s="6">
        <f>'Data Input'!G12</f>
        <v>33998</v>
      </c>
      <c r="F16" s="6">
        <f>'Data Input'!H12</f>
        <v>36848</v>
      </c>
      <c r="G16" s="6">
        <f>'Data Input'!I12</f>
        <v>39007</v>
      </c>
      <c r="H16" s="6">
        <f>'Data Input'!J12</f>
        <v>41833</v>
      </c>
      <c r="I16" s="6">
        <f>'Data Input'!K12</f>
        <v>46470</v>
      </c>
      <c r="J16" s="6">
        <f>'Data Input'!L12</f>
        <v>48635</v>
      </c>
      <c r="K16" s="6">
        <f>'Data Input'!M12</f>
        <v>50346</v>
      </c>
      <c r="L16" s="6">
        <f>'Data Input'!N12</f>
        <v>55087</v>
      </c>
      <c r="M16" s="6">
        <f>'Data Input'!O12</f>
        <v>64369</v>
      </c>
      <c r="N16" s="6">
        <f>'Data Input'!P12</f>
        <v>67319</v>
      </c>
      <c r="O16" s="6">
        <f>'Data Input'!Q12</f>
        <v>71009</v>
      </c>
      <c r="P16" s="125">
        <f>'Data Input'!R12</f>
        <v>74089</v>
      </c>
      <c r="Q16" s="125">
        <f>'Data Input'!S12</f>
        <v>80371</v>
      </c>
      <c r="R16" s="125">
        <f>'Data Input'!T12</f>
        <v>83120</v>
      </c>
      <c r="S16" s="125">
        <f>'Data Input'!U12</f>
        <v>88356</v>
      </c>
      <c r="T16" s="125">
        <f>'Data Input'!V12</f>
        <v>92022</v>
      </c>
      <c r="U16" s="125">
        <f>'Data Input'!W12</f>
        <v>96608</v>
      </c>
      <c r="V16" s="125">
        <f>'Data Input'!X12</f>
        <v>99117</v>
      </c>
      <c r="W16" s="125">
        <f>'Data Input'!Y12</f>
        <v>103693</v>
      </c>
      <c r="X16" s="125">
        <f>'Data Input'!Z12</f>
        <v>105954</v>
      </c>
      <c r="Y16" s="125">
        <f>'Data Input'!AA12</f>
        <v>109524</v>
      </c>
      <c r="Z16" s="125">
        <f>'Data Input'!AB12</f>
        <v>113801</v>
      </c>
      <c r="AA16" s="346">
        <f>'Data Input'!AC12</f>
        <v>116367</v>
      </c>
      <c r="AB16" s="81">
        <f>'Data Input'!AD12</f>
        <v>120891.15773981952</v>
      </c>
      <c r="AC16" s="81">
        <f>'Data Input'!AE12</f>
        <v>125674.54587496544</v>
      </c>
      <c r="AD16" s="81">
        <f>'Data Input'!AF12</f>
        <v>130724.77615093655</v>
      </c>
      <c r="AE16" s="241">
        <f>'Data Input'!AG12</f>
        <v>136066.48289917331</v>
      </c>
      <c r="AW16" s="178"/>
    </row>
    <row r="17" spans="1:49" s="25" customFormat="1" x14ac:dyDescent="0.2">
      <c r="A17" s="25" t="s">
        <v>76</v>
      </c>
      <c r="B17" s="8" t="s">
        <v>31</v>
      </c>
      <c r="C17" s="26">
        <f>C15-C16</f>
        <v>-218.93375000000015</v>
      </c>
      <c r="D17" s="26">
        <f t="shared" ref="D17:P17" si="3">D15-D16</f>
        <v>-411.8125</v>
      </c>
      <c r="E17" s="26">
        <f t="shared" si="3"/>
        <v>-347.26875000000291</v>
      </c>
      <c r="F17" s="26">
        <f t="shared" si="3"/>
        <v>293.91249999999854</v>
      </c>
      <c r="G17" s="26">
        <f t="shared" si="3"/>
        <v>987.1675000000032</v>
      </c>
      <c r="H17" s="26">
        <f t="shared" si="3"/>
        <v>470.17124999999942</v>
      </c>
      <c r="I17" s="26">
        <f t="shared" si="3"/>
        <v>74.888749999998254</v>
      </c>
      <c r="J17" s="26">
        <f t="shared" si="3"/>
        <v>390.92250000000058</v>
      </c>
      <c r="K17" s="26">
        <f t="shared" si="3"/>
        <v>802.62124999999651</v>
      </c>
      <c r="L17" s="26">
        <f t="shared" si="3"/>
        <v>-2501.2149999999965</v>
      </c>
      <c r="M17" s="26">
        <f t="shared" si="3"/>
        <v>-2344</v>
      </c>
      <c r="N17" s="26">
        <f t="shared" si="3"/>
        <v>126.49499999999534</v>
      </c>
      <c r="O17" s="26">
        <f t="shared" si="3"/>
        <v>-492.91000000000349</v>
      </c>
      <c r="P17" s="129">
        <f t="shared" si="3"/>
        <v>160.11000000000058</v>
      </c>
      <c r="Q17" s="129">
        <f t="shared" ref="Q17:AC17" si="4">Q15-Q16</f>
        <v>-2866.6549999999988</v>
      </c>
      <c r="R17" s="129">
        <f t="shared" si="4"/>
        <v>809.08999999999651</v>
      </c>
      <c r="S17" s="129">
        <f t="shared" si="4"/>
        <v>-1588.4912500000064</v>
      </c>
      <c r="T17" s="129">
        <f t="shared" si="4"/>
        <v>291.52125000000524</v>
      </c>
      <c r="U17" s="129">
        <f t="shared" si="4"/>
        <v>-473.02749999999651</v>
      </c>
      <c r="V17" s="129">
        <f t="shared" si="4"/>
        <v>1887.6837499999965</v>
      </c>
      <c r="W17" s="129">
        <f t="shared" si="4"/>
        <v>-38.903749999997672</v>
      </c>
      <c r="X17" s="129">
        <f t="shared" si="4"/>
        <v>2546.7275000000081</v>
      </c>
      <c r="Y17" s="129">
        <f t="shared" si="4"/>
        <v>1015.09375</v>
      </c>
      <c r="Z17" s="129">
        <f t="shared" si="4"/>
        <v>666.91624999999476</v>
      </c>
      <c r="AA17" s="347">
        <f t="shared" si="4"/>
        <v>2125.9149999999936</v>
      </c>
      <c r="AB17" s="83">
        <f t="shared" si="4"/>
        <v>7.5254371818591608</v>
      </c>
      <c r="AC17" s="83">
        <f t="shared" si="4"/>
        <v>15.306045838660793</v>
      </c>
      <c r="AD17" s="83">
        <f t="shared" ref="AD17:AE17" si="5">AD15-AD16</f>
        <v>21.749226498795906</v>
      </c>
      <c r="AE17" s="244">
        <f t="shared" si="5"/>
        <v>28.981741291325307</v>
      </c>
      <c r="AW17" s="185"/>
    </row>
    <row r="19" spans="1:49" x14ac:dyDescent="0.2">
      <c r="A19" s="28" t="s">
        <v>77</v>
      </c>
    </row>
    <row r="20" spans="1:49" s="3" customFormat="1" x14ac:dyDescent="0.2">
      <c r="A20" s="3" t="s">
        <v>296</v>
      </c>
      <c r="B20" s="3" t="s">
        <v>49</v>
      </c>
      <c r="C20" s="3">
        <f>'Data Input'!D28</f>
        <v>20124</v>
      </c>
      <c r="D20" s="3">
        <f>'Data Input'!E28</f>
        <v>24697</v>
      </c>
      <c r="E20" s="3">
        <f>'Data Input'!F28</f>
        <v>27773</v>
      </c>
      <c r="F20" s="3">
        <f>'Data Input'!G28</f>
        <v>33711</v>
      </c>
      <c r="G20" s="3">
        <f>'Data Input'!H28</f>
        <v>34242</v>
      </c>
      <c r="H20" s="3">
        <f>'Data Input'!I28</f>
        <v>38092</v>
      </c>
      <c r="I20" s="3">
        <f>'Data Input'!J28</f>
        <v>43013</v>
      </c>
      <c r="J20" s="3">
        <f>'Data Input'!K28</f>
        <v>48901</v>
      </c>
      <c r="K20" s="3">
        <f>'Data Input'!L28</f>
        <v>54382</v>
      </c>
      <c r="L20" s="3">
        <f>'Data Input'!M28</f>
        <v>61039</v>
      </c>
      <c r="M20" s="3">
        <f>'Data Input'!N28</f>
        <v>68780</v>
      </c>
      <c r="N20" s="3">
        <f>'Data Input'!O28</f>
        <v>72429</v>
      </c>
      <c r="O20" s="3">
        <f>'Data Input'!P28</f>
        <v>75857</v>
      </c>
      <c r="P20" s="121">
        <f>'Data Input'!Q28</f>
        <v>79157</v>
      </c>
      <c r="Q20" s="121">
        <f>'Data Input'!R28</f>
        <v>82791</v>
      </c>
      <c r="R20" s="121">
        <f>'Data Input'!S28</f>
        <v>88694</v>
      </c>
      <c r="S20" s="121">
        <f>'Data Input'!T28</f>
        <v>94850</v>
      </c>
      <c r="T20" s="121">
        <f>'Data Input'!U28</f>
        <v>104917</v>
      </c>
      <c r="U20" s="121">
        <f>'Data Input'!V28</f>
        <v>106957</v>
      </c>
      <c r="V20" s="121">
        <f>'Data Input'!W28</f>
        <v>109112</v>
      </c>
      <c r="W20" s="121">
        <f>'Data Input'!X28</f>
        <v>114246</v>
      </c>
      <c r="X20" s="121">
        <f>'Data Input'!Y28</f>
        <v>115685</v>
      </c>
      <c r="Y20" s="121">
        <f>'Data Input'!Z28</f>
        <v>119864</v>
      </c>
      <c r="Z20" s="121">
        <f>'Data Input'!AA28</f>
        <v>130867</v>
      </c>
      <c r="AA20" s="345">
        <f>'Data Input'!AB28</f>
        <v>143076</v>
      </c>
      <c r="AB20" s="79">
        <f>'Data Input'!AC28</f>
        <v>156998</v>
      </c>
      <c r="AC20" s="79">
        <f>'Data Input'!AD28</f>
        <v>170805.87488462828</v>
      </c>
      <c r="AD20" s="79">
        <f>'Data Input'!AE28</f>
        <v>183733.14824921408</v>
      </c>
      <c r="AE20" s="240">
        <f>'Data Input'!AF28</f>
        <v>196139.25039928145</v>
      </c>
      <c r="AW20" s="178"/>
    </row>
    <row r="21" spans="1:49" s="3" customFormat="1" x14ac:dyDescent="0.2">
      <c r="A21" s="3" t="s">
        <v>80</v>
      </c>
      <c r="C21" s="23" t="s">
        <v>12</v>
      </c>
      <c r="D21" s="23" t="s">
        <v>12</v>
      </c>
      <c r="E21" s="23" t="s">
        <v>12</v>
      </c>
      <c r="F21" s="3">
        <v>-784</v>
      </c>
      <c r="G21" s="23" t="s">
        <v>12</v>
      </c>
      <c r="H21" s="23" t="s">
        <v>12</v>
      </c>
      <c r="I21" s="23" t="s">
        <v>12</v>
      </c>
      <c r="J21" s="23" t="s">
        <v>12</v>
      </c>
      <c r="K21" s="23" t="s">
        <v>12</v>
      </c>
      <c r="L21" s="23" t="s">
        <v>12</v>
      </c>
      <c r="M21" s="23" t="s">
        <v>12</v>
      </c>
      <c r="N21" s="23" t="s">
        <v>12</v>
      </c>
      <c r="O21" s="23" t="s">
        <v>12</v>
      </c>
      <c r="P21" s="130" t="s">
        <v>12</v>
      </c>
      <c r="Q21" s="130" t="s">
        <v>12</v>
      </c>
      <c r="R21" s="130" t="s">
        <v>12</v>
      </c>
      <c r="S21" s="130" t="s">
        <v>12</v>
      </c>
      <c r="T21" s="130" t="s">
        <v>12</v>
      </c>
      <c r="U21" s="130" t="s">
        <v>12</v>
      </c>
      <c r="V21" s="130" t="s">
        <v>12</v>
      </c>
      <c r="W21" s="130" t="s">
        <v>12</v>
      </c>
      <c r="X21" s="130" t="s">
        <v>12</v>
      </c>
      <c r="Y21" s="130" t="s">
        <v>12</v>
      </c>
      <c r="Z21" s="130" t="s">
        <v>12</v>
      </c>
      <c r="AA21" s="348" t="s">
        <v>12</v>
      </c>
      <c r="AB21" s="84" t="s">
        <v>12</v>
      </c>
      <c r="AC21" s="84" t="s">
        <v>12</v>
      </c>
      <c r="AD21" s="84" t="s">
        <v>12</v>
      </c>
      <c r="AE21" s="245" t="s">
        <v>12</v>
      </c>
      <c r="AW21" s="178"/>
    </row>
    <row r="22" spans="1:49" s="3" customFormat="1" x14ac:dyDescent="0.2">
      <c r="A22" s="3" t="s">
        <v>84</v>
      </c>
      <c r="B22" s="3" t="s">
        <v>49</v>
      </c>
      <c r="C22" s="23" t="s">
        <v>12</v>
      </c>
      <c r="D22" s="23" t="s">
        <v>12</v>
      </c>
      <c r="E22" s="23" t="s">
        <v>12</v>
      </c>
      <c r="F22" s="23" t="s">
        <v>12</v>
      </c>
      <c r="G22" s="23">
        <f>'Data Input'!H29*-1</f>
        <v>-70</v>
      </c>
      <c r="H22" s="23">
        <f>'Data Input'!I29*-1</f>
        <v>-79</v>
      </c>
      <c r="I22" s="23">
        <f>'Data Input'!J29*-1</f>
        <v>-61</v>
      </c>
      <c r="J22" s="23">
        <f>'Data Input'!K29*-1</f>
        <v>-68</v>
      </c>
      <c r="K22" s="23">
        <f>'Data Input'!L29*-1</f>
        <v>-53</v>
      </c>
      <c r="L22" s="23">
        <f>'Data Input'!M29*-1</f>
        <v>-44</v>
      </c>
      <c r="M22" s="23">
        <f>'Data Input'!N29*-1</f>
        <v>-41</v>
      </c>
      <c r="N22" s="23">
        <f>'Data Input'!O29*-1</f>
        <v>-44</v>
      </c>
      <c r="O22" s="23">
        <f>'Data Input'!P29*-1</f>
        <v>-54</v>
      </c>
      <c r="P22" s="130">
        <f>'Data Input'!Q29*-1</f>
        <v>-43</v>
      </c>
      <c r="Q22" s="130">
        <f>'Data Input'!R29*-1</f>
        <v>-40</v>
      </c>
      <c r="R22" s="130">
        <f>'Data Input'!S29*-1</f>
        <v>-36</v>
      </c>
      <c r="S22" s="130">
        <f>'Data Input'!T29*-1</f>
        <v>-34</v>
      </c>
      <c r="T22" s="130">
        <f>'Data Input'!U29*-1</f>
        <v>-31</v>
      </c>
      <c r="U22" s="130">
        <f>'Data Input'!V29*-1</f>
        <v>-47</v>
      </c>
      <c r="V22" s="130">
        <f>'Data Input'!W29*-1</f>
        <v>-57.981786999999997</v>
      </c>
      <c r="W22" s="130">
        <f>'Data Input'!X29*-1</f>
        <v>-58.585501000000001</v>
      </c>
      <c r="X22" s="130">
        <f>'Data Input'!Y29*-1</f>
        <v>-39.720883999999998</v>
      </c>
      <c r="Y22" s="130">
        <f>'Data Input'!Z29*-1</f>
        <v>-39.268236999999999</v>
      </c>
      <c r="Z22" s="130">
        <f>'Data Input'!AA29*-1</f>
        <v>-37.903300000000002</v>
      </c>
      <c r="AA22" s="348">
        <f>'Data Input'!AB29*-1</f>
        <v>-36.734502999999997</v>
      </c>
      <c r="AB22" s="84">
        <f>'Data Input'!AC29*-1</f>
        <v>-38</v>
      </c>
      <c r="AC22" s="84">
        <f>'Data Input'!AD29*-1</f>
        <v>-43.364365411764709</v>
      </c>
      <c r="AD22" s="84">
        <f>'Data Input'!AE29*-1</f>
        <v>-43.364365411764709</v>
      </c>
      <c r="AE22" s="245">
        <f>'Data Input'!AF29*-1</f>
        <v>-43.364365411764709</v>
      </c>
      <c r="AW22" s="178"/>
    </row>
    <row r="23" spans="1:49" s="3" customFormat="1" x14ac:dyDescent="0.2">
      <c r="A23" s="3" t="s">
        <v>78</v>
      </c>
      <c r="B23" s="3" t="s">
        <v>49</v>
      </c>
      <c r="C23" s="3">
        <f>'Data Input'!E38</f>
        <v>1530</v>
      </c>
      <c r="D23" s="3">
        <f>'Data Input'!F38</f>
        <v>1889</v>
      </c>
      <c r="E23" s="3">
        <f>'Data Input'!G38</f>
        <v>1401</v>
      </c>
      <c r="F23" s="3">
        <f>'Data Input'!H38</f>
        <v>1436</v>
      </c>
      <c r="G23" s="3">
        <f>'Data Input'!I38</f>
        <v>1305</v>
      </c>
      <c r="H23" s="3">
        <f>'Data Input'!J38</f>
        <v>1445</v>
      </c>
      <c r="I23" s="3">
        <f>'Data Input'!K38</f>
        <v>1696</v>
      </c>
      <c r="J23" s="3">
        <f>'Data Input'!L38</f>
        <v>1757</v>
      </c>
      <c r="K23" s="3">
        <f>'Data Input'!M38</f>
        <v>1413</v>
      </c>
      <c r="L23" s="3">
        <f>'Data Input'!N38</f>
        <v>1281</v>
      </c>
      <c r="M23" s="3">
        <f>'Data Input'!O38</f>
        <v>1312</v>
      </c>
      <c r="N23" s="3">
        <f>'Data Input'!P38</f>
        <v>1383</v>
      </c>
      <c r="O23" s="3">
        <f>'Data Input'!Q38</f>
        <v>1435</v>
      </c>
      <c r="P23" s="121">
        <f>'Data Input'!R38</f>
        <v>1495</v>
      </c>
      <c r="Q23" s="121">
        <f>'Data Input'!S38</f>
        <v>1575</v>
      </c>
      <c r="R23" s="121">
        <f>'Data Input'!T38</f>
        <v>1646</v>
      </c>
      <c r="S23" s="121">
        <f>'Data Input'!U38</f>
        <v>2138</v>
      </c>
      <c r="T23" s="121">
        <f>'Data Input'!V38</f>
        <v>2311</v>
      </c>
      <c r="U23" s="121">
        <f>'Data Input'!W38</f>
        <v>2723</v>
      </c>
      <c r="V23" s="121">
        <f>'Data Input'!X38</f>
        <v>2697.1948571428575</v>
      </c>
      <c r="W23" s="121">
        <f>'Data Input'!Y38</f>
        <v>2823</v>
      </c>
      <c r="X23" s="121">
        <f>'Data Input'!Z38</f>
        <v>2943.7162321428568</v>
      </c>
      <c r="Y23" s="121">
        <f>'Data Input'!AA38</f>
        <v>3081</v>
      </c>
      <c r="Z23" s="121">
        <f>'Data Input'!AB38</f>
        <v>3216</v>
      </c>
      <c r="AA23" s="345">
        <f>'Data Input'!AC38</f>
        <v>3299</v>
      </c>
      <c r="AB23" s="79">
        <f>'Data Input'!AD38</f>
        <v>3427.9046448087429</v>
      </c>
      <c r="AC23" s="79">
        <f>'Data Input'!AE38</f>
        <v>3564.1540016393437</v>
      </c>
      <c r="AD23" s="79">
        <f>'Data Input'!AF38</f>
        <v>3686.6029636939888</v>
      </c>
      <c r="AE23" s="240">
        <f>'Data Input'!AG38</f>
        <v>3813.2952248704369</v>
      </c>
      <c r="AW23" s="178"/>
    </row>
    <row r="24" spans="1:49" s="3" customFormat="1" x14ac:dyDescent="0.2">
      <c r="A24" s="3" t="s">
        <v>79</v>
      </c>
      <c r="B24" s="3" t="s">
        <v>73</v>
      </c>
      <c r="C24" s="3">
        <f>Interest!D24</f>
        <v>2098.63625</v>
      </c>
      <c r="D24" s="3">
        <f>Interest!E24</f>
        <v>2392.1950000000002</v>
      </c>
      <c r="E24" s="3">
        <f>Interest!F24</f>
        <v>2447.6374999999998</v>
      </c>
      <c r="F24" s="3">
        <f>Interest!G24</f>
        <v>2834.125</v>
      </c>
      <c r="G24" s="3">
        <f>Interest!H24</f>
        <v>2826.78</v>
      </c>
      <c r="H24" s="3">
        <f>Interest!I24</f>
        <v>3139.4962500000001</v>
      </c>
      <c r="I24" s="3">
        <f>Interest!J24</f>
        <v>3329.4</v>
      </c>
      <c r="J24" s="3">
        <f>Interest!K24</f>
        <v>3532.7799999999997</v>
      </c>
      <c r="K24" s="3">
        <f>Interest!L24</f>
        <v>3911.3387499999999</v>
      </c>
      <c r="L24" s="3">
        <f>Interest!M24</f>
        <v>4228.63</v>
      </c>
      <c r="M24" s="3">
        <f>Interest!N24</f>
        <v>4752.72</v>
      </c>
      <c r="N24" s="3">
        <f>Interest!O24</f>
        <v>5010.7750000000005</v>
      </c>
      <c r="O24" s="3">
        <f>Interest!P24</f>
        <v>5248.2500000000009</v>
      </c>
      <c r="P24" s="121">
        <f>Interest!Q24</f>
        <v>5473.3350000000009</v>
      </c>
      <c r="Q24" s="121">
        <f>Interest!R24</f>
        <v>5723.795000000001</v>
      </c>
      <c r="R24" s="121">
        <f>Interest!S24</f>
        <v>5913.54</v>
      </c>
      <c r="S24" s="121">
        <f>Interest!T24</f>
        <v>6338.8575000000001</v>
      </c>
      <c r="T24" s="121">
        <f>Interest!U24</f>
        <v>7018.3462500000005</v>
      </c>
      <c r="U24" s="121">
        <f>Interest!V24</f>
        <v>7163.2687500000002</v>
      </c>
      <c r="V24" s="121">
        <f>Interest!W24</f>
        <v>7304.2153264285726</v>
      </c>
      <c r="W24" s="121">
        <f>Interest!X24</f>
        <v>7649.5050000000001</v>
      </c>
      <c r="X24" s="121">
        <f>Interest!Y24</f>
        <v>7741.9029228348218</v>
      </c>
      <c r="Y24" s="121">
        <f>Interest!Z24</f>
        <v>8020.9912500000009</v>
      </c>
      <c r="Z24" s="121">
        <f>Interest!AA24</f>
        <v>8762.9850000000006</v>
      </c>
      <c r="AA24" s="345">
        <f>Interest!AB24</f>
        <v>9227.2375000000011</v>
      </c>
      <c r="AB24" s="79">
        <f>Interest!AC24</f>
        <v>9741.5351526446339</v>
      </c>
      <c r="AC24" s="79">
        <f>Interest!AD24</f>
        <v>10600.854482923534</v>
      </c>
      <c r="AD24" s="79">
        <f>Interest!AE24</f>
        <v>11404.410605716237</v>
      </c>
      <c r="AE24" s="240">
        <f>Interest!AF24</f>
        <v>12175.250474633714</v>
      </c>
      <c r="AW24" s="178"/>
    </row>
    <row r="25" spans="1:49" s="3" customFormat="1" x14ac:dyDescent="0.2">
      <c r="A25" s="3" t="s">
        <v>74</v>
      </c>
      <c r="B25" s="3" t="s">
        <v>49</v>
      </c>
      <c r="C25" s="6">
        <f>'Data Input'!E18</f>
        <v>-829</v>
      </c>
      <c r="D25" s="6">
        <f>'Data Input'!F18</f>
        <v>-921</v>
      </c>
      <c r="E25" s="6">
        <f>'Data Input'!G18</f>
        <v>-1001</v>
      </c>
      <c r="F25" s="6">
        <f>'Data Input'!H18</f>
        <v>-1130</v>
      </c>
      <c r="G25" s="6">
        <f>'Data Input'!I18</f>
        <v>-1261</v>
      </c>
      <c r="H25" s="6">
        <f>'Data Input'!J18</f>
        <v>-1520</v>
      </c>
      <c r="I25" s="6">
        <f>'Data Input'!K18</f>
        <v>-1802</v>
      </c>
      <c r="J25" s="6">
        <f>'Data Input'!L18</f>
        <v>-2103</v>
      </c>
      <c r="K25" s="6">
        <f>'Data Input'!M18</f>
        <v>-2278</v>
      </c>
      <c r="L25" s="6">
        <f>'Data Input'!N18</f>
        <v>-2541</v>
      </c>
      <c r="M25" s="6">
        <f>'Data Input'!O18</f>
        <v>-3080</v>
      </c>
      <c r="N25" s="6">
        <f>'Data Input'!P18</f>
        <v>-3076</v>
      </c>
      <c r="O25" s="6">
        <f>'Data Input'!Q18</f>
        <v>-3199</v>
      </c>
      <c r="P25" s="125">
        <f>'Data Input'!R18</f>
        <v>-3428</v>
      </c>
      <c r="Q25" s="125">
        <f>'Data Input'!S18</f>
        <v>-3620</v>
      </c>
      <c r="R25" s="125">
        <f>'Data Input'!T18</f>
        <v>-3818</v>
      </c>
      <c r="S25" s="125">
        <f>'Data Input'!U18</f>
        <v>-4020</v>
      </c>
      <c r="T25" s="125">
        <f>'Data Input'!V18</f>
        <v>-4194</v>
      </c>
      <c r="U25" s="125">
        <f>'Data Input'!W18</f>
        <v>-4392</v>
      </c>
      <c r="V25" s="125">
        <f>'Data Input'!X18</f>
        <v>-4500</v>
      </c>
      <c r="W25" s="125">
        <f>'Data Input'!Y18</f>
        <v>-4663</v>
      </c>
      <c r="X25" s="125">
        <f>'Data Input'!Z18</f>
        <v>-4924</v>
      </c>
      <c r="Y25" s="125">
        <f>'Data Input'!AA18</f>
        <v>-5150</v>
      </c>
      <c r="Z25" s="125">
        <f>'Data Input'!AB18</f>
        <v>-5306</v>
      </c>
      <c r="AA25" s="346">
        <f>'Data Input'!AC18</f>
        <v>-5536</v>
      </c>
      <c r="AB25" s="81">
        <f>'Data Input'!AD18</f>
        <v>-5694.7797601804714</v>
      </c>
      <c r="AC25" s="81">
        <f>'Data Input'!AE18</f>
        <v>-5948.560317342809</v>
      </c>
      <c r="AD25" s="81">
        <f>'Data Input'!AF18</f>
        <v>-6211.7600792025059</v>
      </c>
      <c r="AE25" s="241">
        <f>'Data Input'!AG18</f>
        <v>-6483.78083515448</v>
      </c>
      <c r="AW25" s="178"/>
    </row>
    <row r="26" spans="1:49" s="8" customFormat="1" x14ac:dyDescent="0.2">
      <c r="A26" s="8" t="s">
        <v>81</v>
      </c>
      <c r="B26" s="8" t="s">
        <v>31</v>
      </c>
      <c r="C26" s="8">
        <f>SUM(C20:C25)</f>
        <v>22923.63625</v>
      </c>
      <c r="D26" s="8">
        <f t="shared" ref="D26:P26" si="6">SUM(D20:D25)</f>
        <v>28057.195</v>
      </c>
      <c r="E26" s="8">
        <f t="shared" si="6"/>
        <v>30620.637500000001</v>
      </c>
      <c r="F26" s="8">
        <f t="shared" si="6"/>
        <v>36067.125</v>
      </c>
      <c r="G26" s="8">
        <f t="shared" si="6"/>
        <v>37042.78</v>
      </c>
      <c r="H26" s="8">
        <f t="shared" si="6"/>
        <v>41077.496249999997</v>
      </c>
      <c r="I26" s="8">
        <f t="shared" si="6"/>
        <v>46175.4</v>
      </c>
      <c r="J26" s="8">
        <f t="shared" si="6"/>
        <v>52019.78</v>
      </c>
      <c r="K26" s="8">
        <f t="shared" si="6"/>
        <v>57375.338750000003</v>
      </c>
      <c r="L26" s="8">
        <f t="shared" si="6"/>
        <v>63963.630000000005</v>
      </c>
      <c r="M26" s="8">
        <f t="shared" si="6"/>
        <v>71723.72</v>
      </c>
      <c r="N26" s="8">
        <f t="shared" si="6"/>
        <v>75702.774999999994</v>
      </c>
      <c r="O26" s="8">
        <f t="shared" si="6"/>
        <v>79287.25</v>
      </c>
      <c r="P26" s="119">
        <f t="shared" si="6"/>
        <v>82654.335000000006</v>
      </c>
      <c r="Q26" s="119">
        <f t="shared" ref="Q26:AC26" si="7">SUM(Q20:Q25)</f>
        <v>86429.794999999998</v>
      </c>
      <c r="R26" s="119">
        <f t="shared" si="7"/>
        <v>92399.54</v>
      </c>
      <c r="S26" s="119">
        <f t="shared" si="7"/>
        <v>99272.857499999998</v>
      </c>
      <c r="T26" s="119">
        <f t="shared" si="7"/>
        <v>110021.34625</v>
      </c>
      <c r="U26" s="119">
        <f t="shared" si="7"/>
        <v>112404.26875</v>
      </c>
      <c r="V26" s="119">
        <f t="shared" si="7"/>
        <v>114555.42839657143</v>
      </c>
      <c r="W26" s="119">
        <f t="shared" si="7"/>
        <v>119996.91949900001</v>
      </c>
      <c r="X26" s="119">
        <f t="shared" si="7"/>
        <v>121406.89827097769</v>
      </c>
      <c r="Y26" s="119">
        <f t="shared" si="7"/>
        <v>125776.72301300001</v>
      </c>
      <c r="Z26" s="119">
        <f t="shared" si="7"/>
        <v>137502.08169999998</v>
      </c>
      <c r="AA26" s="343">
        <f t="shared" si="7"/>
        <v>150029.50299699997</v>
      </c>
      <c r="AB26" s="78">
        <f t="shared" si="7"/>
        <v>164434.6600372729</v>
      </c>
      <c r="AC26" s="78">
        <f t="shared" si="7"/>
        <v>178978.95868643658</v>
      </c>
      <c r="AD26" s="78">
        <f t="shared" ref="AD26:AE26" si="8">SUM(AD20:AD25)</f>
        <v>192569.03737401002</v>
      </c>
      <c r="AE26" s="242">
        <f t="shared" si="8"/>
        <v>205600.65089821935</v>
      </c>
      <c r="AW26" s="179"/>
    </row>
    <row r="27" spans="1:49" s="1" customFormat="1" x14ac:dyDescent="0.2">
      <c r="A27" s="1" t="s">
        <v>82</v>
      </c>
      <c r="B27" s="1" t="s">
        <v>49</v>
      </c>
      <c r="C27" s="6">
        <f>'Data Input'!E28</f>
        <v>24697</v>
      </c>
      <c r="D27" s="6">
        <f>'Data Input'!F28</f>
        <v>27773</v>
      </c>
      <c r="E27" s="6">
        <f>'Data Input'!G28</f>
        <v>33711</v>
      </c>
      <c r="F27" s="6">
        <f>'Data Input'!H28</f>
        <v>34242</v>
      </c>
      <c r="G27" s="6">
        <f>'Data Input'!I28</f>
        <v>38092</v>
      </c>
      <c r="H27" s="6">
        <f>'Data Input'!J28</f>
        <v>43013</v>
      </c>
      <c r="I27" s="6">
        <f>'Data Input'!K28</f>
        <v>48901</v>
      </c>
      <c r="J27" s="6">
        <f>'Data Input'!L28</f>
        <v>54382</v>
      </c>
      <c r="K27" s="6">
        <f>'Data Input'!M28</f>
        <v>61039</v>
      </c>
      <c r="L27" s="6">
        <f>'Data Input'!N28</f>
        <v>68780</v>
      </c>
      <c r="M27" s="6">
        <f>'Data Input'!O28</f>
        <v>72429</v>
      </c>
      <c r="N27" s="6">
        <f>'Data Input'!P28</f>
        <v>75857</v>
      </c>
      <c r="O27" s="6">
        <f>'Data Input'!Q28</f>
        <v>79157</v>
      </c>
      <c r="P27" s="125">
        <f>'Data Input'!R28</f>
        <v>82791</v>
      </c>
      <c r="Q27" s="125">
        <f>'Data Input'!S28</f>
        <v>88694</v>
      </c>
      <c r="R27" s="125">
        <f>'Data Input'!T28</f>
        <v>94850</v>
      </c>
      <c r="S27" s="125">
        <f>'Data Input'!U28</f>
        <v>104917</v>
      </c>
      <c r="T27" s="125">
        <f>'Data Input'!V28</f>
        <v>106957</v>
      </c>
      <c r="U27" s="125">
        <f>'Data Input'!W28</f>
        <v>109112</v>
      </c>
      <c r="V27" s="125">
        <f>'Data Input'!X28</f>
        <v>114246</v>
      </c>
      <c r="W27" s="125">
        <f>'Data Input'!Y28</f>
        <v>115685</v>
      </c>
      <c r="X27" s="125">
        <f>'Data Input'!Z28</f>
        <v>119864</v>
      </c>
      <c r="Y27" s="125">
        <f>'Data Input'!AA28</f>
        <v>130867</v>
      </c>
      <c r="Z27" s="125">
        <f>'Data Input'!AB28</f>
        <v>143076</v>
      </c>
      <c r="AA27" s="346">
        <f>'Data Input'!AC28</f>
        <v>156998</v>
      </c>
      <c r="AB27" s="81">
        <f>'Data Input'!AD28</f>
        <v>170805.87488462828</v>
      </c>
      <c r="AC27" s="81">
        <f>'Data Input'!AE28</f>
        <v>183733.14824921408</v>
      </c>
      <c r="AD27" s="81">
        <f>'Data Input'!AF28</f>
        <v>196139.25039928145</v>
      </c>
      <c r="AE27" s="241">
        <f>'Data Input'!AG28</f>
        <v>207697.4054389525</v>
      </c>
      <c r="AW27" s="186"/>
    </row>
    <row r="28" spans="1:49" s="25" customFormat="1" x14ac:dyDescent="0.2">
      <c r="A28" s="25" t="s">
        <v>83</v>
      </c>
      <c r="B28" s="8" t="s">
        <v>31</v>
      </c>
      <c r="C28" s="26">
        <f>C27-C26</f>
        <v>1773.3637500000004</v>
      </c>
      <c r="D28" s="26">
        <f t="shared" ref="D28:P28" si="9">D27-D26</f>
        <v>-284.19499999999971</v>
      </c>
      <c r="E28" s="26">
        <f t="shared" si="9"/>
        <v>3090.3624999999993</v>
      </c>
      <c r="F28" s="26">
        <f t="shared" si="9"/>
        <v>-1825.125</v>
      </c>
      <c r="G28" s="26">
        <f t="shared" si="9"/>
        <v>1049.2200000000012</v>
      </c>
      <c r="H28" s="26">
        <f t="shared" si="9"/>
        <v>1935.5037500000035</v>
      </c>
      <c r="I28" s="26">
        <f t="shared" si="9"/>
        <v>2725.5999999999985</v>
      </c>
      <c r="J28" s="26">
        <f t="shared" si="9"/>
        <v>2362.2200000000012</v>
      </c>
      <c r="K28" s="26">
        <f t="shared" si="9"/>
        <v>3663.6612499999974</v>
      </c>
      <c r="L28" s="26">
        <f t="shared" si="9"/>
        <v>4816.3699999999953</v>
      </c>
      <c r="M28" s="26">
        <f t="shared" si="9"/>
        <v>705.27999999999884</v>
      </c>
      <c r="N28" s="26">
        <f t="shared" si="9"/>
        <v>154.22500000000582</v>
      </c>
      <c r="O28" s="26">
        <f t="shared" si="9"/>
        <v>-130.25</v>
      </c>
      <c r="P28" s="129">
        <f t="shared" si="9"/>
        <v>136.6649999999936</v>
      </c>
      <c r="Q28" s="129">
        <f t="shared" ref="Q28:AC28" si="10">Q27-Q26</f>
        <v>2264.2050000000017</v>
      </c>
      <c r="R28" s="129">
        <f t="shared" si="10"/>
        <v>2450.4600000000064</v>
      </c>
      <c r="S28" s="129">
        <f>S27-S26</f>
        <v>5644.1425000000017</v>
      </c>
      <c r="T28" s="129">
        <f t="shared" si="10"/>
        <v>-3064.3462500000023</v>
      </c>
      <c r="U28" s="129">
        <f t="shared" si="10"/>
        <v>-3292.2687500000029</v>
      </c>
      <c r="V28" s="129">
        <f t="shared" si="10"/>
        <v>-309.42839657142758</v>
      </c>
      <c r="W28" s="129">
        <f t="shared" si="10"/>
        <v>-4311.9194990000105</v>
      </c>
      <c r="X28" s="129">
        <f t="shared" si="10"/>
        <v>-1542.8982709776901</v>
      </c>
      <c r="Y28" s="129">
        <f t="shared" si="10"/>
        <v>5090.2769869999902</v>
      </c>
      <c r="Z28" s="129">
        <f t="shared" si="10"/>
        <v>5573.9183000000194</v>
      </c>
      <c r="AA28" s="347">
        <f t="shared" si="10"/>
        <v>6968.4970030000259</v>
      </c>
      <c r="AB28" s="83">
        <f t="shared" si="10"/>
        <v>6371.2148473553825</v>
      </c>
      <c r="AC28" s="83">
        <f t="shared" si="10"/>
        <v>4754.1895627774938</v>
      </c>
      <c r="AD28" s="83">
        <f t="shared" ref="AD28:AE28" si="11">AD27-AD26</f>
        <v>3570.2130252714269</v>
      </c>
      <c r="AE28" s="244">
        <f t="shared" si="11"/>
        <v>2096.754540733149</v>
      </c>
      <c r="AW28" s="185"/>
    </row>
    <row r="29" spans="1:49" x14ac:dyDescent="0.2">
      <c r="B29" s="8"/>
    </row>
    <row r="30" spans="1:49" x14ac:dyDescent="0.2">
      <c r="A30" s="28" t="s">
        <v>103</v>
      </c>
      <c r="B30" s="8"/>
    </row>
    <row r="31" spans="1:49" x14ac:dyDescent="0.2">
      <c r="A31" t="s">
        <v>85</v>
      </c>
      <c r="B31" t="s">
        <v>66</v>
      </c>
      <c r="C31" s="22">
        <f>+C17</f>
        <v>-218.93375000000015</v>
      </c>
      <c r="D31" s="22">
        <f t="shared" ref="D31:M31" si="12">+D17</f>
        <v>-411.8125</v>
      </c>
      <c r="E31" s="22">
        <f t="shared" si="12"/>
        <v>-347.26875000000291</v>
      </c>
      <c r="F31" s="22">
        <f t="shared" si="12"/>
        <v>293.91249999999854</v>
      </c>
      <c r="G31" s="22">
        <f t="shared" si="12"/>
        <v>987.1675000000032</v>
      </c>
      <c r="H31" s="22">
        <f t="shared" si="12"/>
        <v>470.17124999999942</v>
      </c>
      <c r="I31" s="22">
        <f t="shared" si="12"/>
        <v>74.888749999998254</v>
      </c>
      <c r="J31" s="22">
        <f t="shared" si="12"/>
        <v>390.92250000000058</v>
      </c>
      <c r="K31" s="22">
        <f t="shared" si="12"/>
        <v>802.62124999999651</v>
      </c>
      <c r="L31" s="22">
        <f t="shared" si="12"/>
        <v>-2501.2149999999965</v>
      </c>
      <c r="M31" s="22">
        <f t="shared" si="12"/>
        <v>-2344</v>
      </c>
      <c r="N31" s="22">
        <f t="shared" ref="N31:T31" si="13">+N17</f>
        <v>126.49499999999534</v>
      </c>
      <c r="O31" s="22">
        <f t="shared" si="13"/>
        <v>-492.91000000000349</v>
      </c>
      <c r="P31" s="106">
        <f t="shared" si="13"/>
        <v>160.11000000000058</v>
      </c>
      <c r="Q31" s="106">
        <f t="shared" si="13"/>
        <v>-2866.6549999999988</v>
      </c>
      <c r="R31" s="106">
        <f t="shared" si="13"/>
        <v>809.08999999999651</v>
      </c>
      <c r="S31" s="106">
        <f t="shared" si="13"/>
        <v>-1588.4912500000064</v>
      </c>
      <c r="T31" s="106">
        <f t="shared" si="13"/>
        <v>291.52125000000524</v>
      </c>
      <c r="U31" s="106">
        <f t="shared" ref="U31:Z31" si="14">+U17</f>
        <v>-473.02749999999651</v>
      </c>
      <c r="V31" s="106">
        <f t="shared" si="14"/>
        <v>1887.6837499999965</v>
      </c>
      <c r="W31" s="106">
        <f t="shared" si="14"/>
        <v>-38.903749999997672</v>
      </c>
      <c r="X31" s="106">
        <f t="shared" si="14"/>
        <v>2546.7275000000081</v>
      </c>
      <c r="Y31" s="106">
        <f t="shared" si="14"/>
        <v>1015.09375</v>
      </c>
      <c r="Z31" s="106">
        <f t="shared" si="14"/>
        <v>666.91624999999476</v>
      </c>
      <c r="AA31" s="349">
        <f>+AA17</f>
        <v>2125.9149999999936</v>
      </c>
      <c r="AB31" s="85">
        <f>+AB17</f>
        <v>7.5254371818591608</v>
      </c>
      <c r="AC31" s="85">
        <f>+AC17</f>
        <v>15.306045838660793</v>
      </c>
      <c r="AD31" s="85">
        <f>+AD17</f>
        <v>21.749226498795906</v>
      </c>
      <c r="AE31" s="246">
        <f>+AE17</f>
        <v>28.981741291325307</v>
      </c>
    </row>
    <row r="32" spans="1:49" x14ac:dyDescent="0.2">
      <c r="A32" t="s">
        <v>86</v>
      </c>
      <c r="B32" t="s">
        <v>66</v>
      </c>
      <c r="C32" s="22">
        <f>C28</f>
        <v>1773.3637500000004</v>
      </c>
      <c r="D32" s="22">
        <f t="shared" ref="D32:M32" si="15">D28</f>
        <v>-284.19499999999971</v>
      </c>
      <c r="E32" s="22">
        <f t="shared" si="15"/>
        <v>3090.3624999999993</v>
      </c>
      <c r="F32" s="22">
        <f t="shared" si="15"/>
        <v>-1825.125</v>
      </c>
      <c r="G32" s="22">
        <f t="shared" si="15"/>
        <v>1049.2200000000012</v>
      </c>
      <c r="H32" s="22">
        <f t="shared" si="15"/>
        <v>1935.5037500000035</v>
      </c>
      <c r="I32" s="22">
        <f t="shared" si="15"/>
        <v>2725.5999999999985</v>
      </c>
      <c r="J32" s="22">
        <f t="shared" si="15"/>
        <v>2362.2200000000012</v>
      </c>
      <c r="K32" s="22">
        <f t="shared" si="15"/>
        <v>3663.6612499999974</v>
      </c>
      <c r="L32" s="22">
        <f t="shared" si="15"/>
        <v>4816.3699999999953</v>
      </c>
      <c r="M32" s="22">
        <f t="shared" si="15"/>
        <v>705.27999999999884</v>
      </c>
      <c r="N32" s="22">
        <f t="shared" ref="N32:T32" si="16">N28</f>
        <v>154.22500000000582</v>
      </c>
      <c r="O32" s="22">
        <f t="shared" si="16"/>
        <v>-130.25</v>
      </c>
      <c r="P32" s="106">
        <f t="shared" si="16"/>
        <v>136.6649999999936</v>
      </c>
      <c r="Q32" s="106">
        <f t="shared" si="16"/>
        <v>2264.2050000000017</v>
      </c>
      <c r="R32" s="106">
        <f t="shared" si="16"/>
        <v>2450.4600000000064</v>
      </c>
      <c r="S32" s="106">
        <f t="shared" si="16"/>
        <v>5644.1425000000017</v>
      </c>
      <c r="T32" s="106">
        <f t="shared" si="16"/>
        <v>-3064.3462500000023</v>
      </c>
      <c r="U32" s="106">
        <f t="shared" ref="U32:Z32" si="17">U28</f>
        <v>-3292.2687500000029</v>
      </c>
      <c r="V32" s="106">
        <f t="shared" si="17"/>
        <v>-309.42839657142758</v>
      </c>
      <c r="W32" s="106">
        <f t="shared" si="17"/>
        <v>-4311.9194990000105</v>
      </c>
      <c r="X32" s="106">
        <f t="shared" si="17"/>
        <v>-1542.8982709776901</v>
      </c>
      <c r="Y32" s="106">
        <f t="shared" si="17"/>
        <v>5090.2769869999902</v>
      </c>
      <c r="Z32" s="106">
        <f t="shared" si="17"/>
        <v>5573.9183000000194</v>
      </c>
      <c r="AA32" s="349">
        <f>AA28</f>
        <v>6968.4970030000259</v>
      </c>
      <c r="AB32" s="85">
        <f>AB28</f>
        <v>6371.2148473553825</v>
      </c>
      <c r="AC32" s="85">
        <f>AC28</f>
        <v>4754.1895627774938</v>
      </c>
      <c r="AD32" s="85">
        <f>AD28</f>
        <v>3570.2130252714269</v>
      </c>
      <c r="AE32" s="246">
        <f>AE28</f>
        <v>2096.754540733149</v>
      </c>
    </row>
    <row r="33" spans="1:49" s="31" customFormat="1" x14ac:dyDescent="0.2">
      <c r="A33" s="31" t="s">
        <v>87</v>
      </c>
      <c r="B33" s="14" t="s">
        <v>31</v>
      </c>
      <c r="C33" s="32">
        <f t="shared" ref="C33:P33" si="18">SUM(C31:C32)</f>
        <v>1554.4300000000003</v>
      </c>
      <c r="D33" s="32">
        <f t="shared" si="18"/>
        <v>-696.00749999999971</v>
      </c>
      <c r="E33" s="32">
        <f t="shared" si="18"/>
        <v>2743.0937499999964</v>
      </c>
      <c r="F33" s="32">
        <f t="shared" si="18"/>
        <v>-1531.2125000000015</v>
      </c>
      <c r="G33" s="32">
        <f t="shared" si="18"/>
        <v>2036.3875000000044</v>
      </c>
      <c r="H33" s="32">
        <f t="shared" si="18"/>
        <v>2405.6750000000029</v>
      </c>
      <c r="I33" s="32">
        <f t="shared" si="18"/>
        <v>2800.4887499999968</v>
      </c>
      <c r="J33" s="32">
        <f t="shared" si="18"/>
        <v>2753.1425000000017</v>
      </c>
      <c r="K33" s="32">
        <f t="shared" si="18"/>
        <v>4466.2824999999939</v>
      </c>
      <c r="L33" s="32">
        <f t="shared" si="18"/>
        <v>2315.1549999999988</v>
      </c>
      <c r="M33" s="32">
        <f t="shared" si="18"/>
        <v>-1638.7200000000012</v>
      </c>
      <c r="N33" s="32">
        <f t="shared" si="18"/>
        <v>280.72000000000116</v>
      </c>
      <c r="O33" s="32">
        <f t="shared" si="18"/>
        <v>-623.16000000000349</v>
      </c>
      <c r="P33" s="133">
        <f t="shared" si="18"/>
        <v>296.77499999999418</v>
      </c>
      <c r="Q33" s="133">
        <f t="shared" ref="Q33:Z33" si="19">SUM(Q31:Q32)</f>
        <v>-602.44999999999709</v>
      </c>
      <c r="R33" s="133">
        <f t="shared" si="19"/>
        <v>3259.5500000000029</v>
      </c>
      <c r="S33" s="133">
        <f t="shared" si="19"/>
        <v>4055.6512499999953</v>
      </c>
      <c r="T33" s="133">
        <f t="shared" si="19"/>
        <v>-2772.8249999999971</v>
      </c>
      <c r="U33" s="133">
        <f t="shared" si="19"/>
        <v>-3765.2962499999994</v>
      </c>
      <c r="V33" s="133">
        <f t="shared" si="19"/>
        <v>1578.2553534285689</v>
      </c>
      <c r="W33" s="133">
        <f t="shared" si="19"/>
        <v>-4350.8232490000082</v>
      </c>
      <c r="X33" s="133">
        <f t="shared" si="19"/>
        <v>1003.829229022318</v>
      </c>
      <c r="Y33" s="133">
        <f t="shared" si="19"/>
        <v>6105.3707369999902</v>
      </c>
      <c r="Z33" s="133">
        <f t="shared" si="19"/>
        <v>6240.8345500000141</v>
      </c>
      <c r="AA33" s="351">
        <f>SUM(AA31:AA32)</f>
        <v>9094.4120030000195</v>
      </c>
      <c r="AB33" s="88">
        <f>SUM(AB31:AB32)</f>
        <v>6378.7402845372417</v>
      </c>
      <c r="AC33" s="88">
        <f>SUM(AC31:AC32)</f>
        <v>4769.4956086161546</v>
      </c>
      <c r="AD33" s="88">
        <f>SUM(AD31:AD32)</f>
        <v>3591.9622517702228</v>
      </c>
      <c r="AE33" s="249">
        <f>SUM(AE31:AE32)</f>
        <v>2125.7362820244743</v>
      </c>
      <c r="AW33" s="187"/>
    </row>
    <row r="34" spans="1:49" x14ac:dyDescent="0.2">
      <c r="A34" t="s">
        <v>89</v>
      </c>
      <c r="B34" s="3" t="s">
        <v>49</v>
      </c>
      <c r="C34" s="11">
        <f>'Data Input'!E40</f>
        <v>14</v>
      </c>
      <c r="D34" s="11">
        <f>'Data Input'!F40</f>
        <v>14</v>
      </c>
      <c r="E34" s="11">
        <f>'Data Input'!G40</f>
        <v>14</v>
      </c>
      <c r="F34" s="11">
        <f>'Data Input'!H40</f>
        <v>14</v>
      </c>
      <c r="G34" s="11">
        <f>'Data Input'!I40</f>
        <v>14</v>
      </c>
      <c r="H34" s="11">
        <f>'Data Input'!J40</f>
        <v>14</v>
      </c>
      <c r="I34" s="11">
        <f>'Data Input'!K40</f>
        <v>13</v>
      </c>
      <c r="J34" s="11">
        <f>'Data Input'!L40</f>
        <v>13</v>
      </c>
      <c r="K34" s="11">
        <f>'Data Input'!M40</f>
        <v>14</v>
      </c>
      <c r="L34" s="11">
        <f>'Data Input'!N40</f>
        <v>14</v>
      </c>
      <c r="M34" s="11">
        <f>'Data Input'!O40</f>
        <v>13</v>
      </c>
      <c r="N34" s="11">
        <f>'Data Input'!P40</f>
        <v>13</v>
      </c>
      <c r="O34" s="11">
        <f>'Data Input'!Q40</f>
        <v>13</v>
      </c>
      <c r="P34" s="134">
        <f>'Data Input'!R40</f>
        <v>13</v>
      </c>
      <c r="Q34" s="134">
        <f>'Data Input'!S40</f>
        <v>13</v>
      </c>
      <c r="R34" s="134">
        <f>'Data Input'!T40</f>
        <v>13.6</v>
      </c>
      <c r="S34" s="134">
        <f>'Data Input'!U40</f>
        <v>13.8</v>
      </c>
      <c r="T34" s="208">
        <f>'Data Input'!V40</f>
        <v>14</v>
      </c>
      <c r="U34" s="134">
        <f>'Data Input'!W40</f>
        <v>14</v>
      </c>
      <c r="V34" s="134">
        <f>'Data Input'!X40</f>
        <v>13.9</v>
      </c>
      <c r="W34" s="134">
        <f>'Data Input'!Y40</f>
        <v>14.1</v>
      </c>
      <c r="X34" s="134">
        <f>'Data Input'!Z40</f>
        <v>14.6</v>
      </c>
      <c r="Y34" s="134">
        <f>'Data Input'!AA40</f>
        <v>14.5</v>
      </c>
      <c r="Z34" s="134">
        <f>'Data Input'!AB40</f>
        <v>14.4</v>
      </c>
      <c r="AA34" s="352">
        <f>'Data Input'!AC40</f>
        <v>15.3</v>
      </c>
      <c r="AB34" s="89">
        <f>'Data Input'!AD40</f>
        <v>15.3</v>
      </c>
      <c r="AC34" s="89">
        <f>'Data Input'!AE40</f>
        <v>15.3</v>
      </c>
      <c r="AD34" s="89">
        <f>'Data Input'!AF40</f>
        <v>15.3</v>
      </c>
      <c r="AE34" s="250">
        <f>'Data Input'!AG40</f>
        <v>15.3</v>
      </c>
    </row>
    <row r="35" spans="1:49" s="25" customFormat="1" x14ac:dyDescent="0.2">
      <c r="A35" s="25" t="s">
        <v>104</v>
      </c>
      <c r="B35" s="8" t="s">
        <v>31</v>
      </c>
      <c r="C35" s="26">
        <f>C33/C34</f>
        <v>111.03071428571431</v>
      </c>
      <c r="D35" s="26">
        <f t="shared" ref="D35:P35" si="20">D33/D34</f>
        <v>-49.714821428571405</v>
      </c>
      <c r="E35" s="26">
        <f t="shared" si="20"/>
        <v>195.93526785714261</v>
      </c>
      <c r="F35" s="26">
        <f t="shared" si="20"/>
        <v>-109.37232142857154</v>
      </c>
      <c r="G35" s="26">
        <f t="shared" si="20"/>
        <v>145.45625000000032</v>
      </c>
      <c r="H35" s="26">
        <f t="shared" si="20"/>
        <v>171.83392857142877</v>
      </c>
      <c r="I35" s="26">
        <f t="shared" si="20"/>
        <v>215.42221153846128</v>
      </c>
      <c r="J35" s="26">
        <f t="shared" si="20"/>
        <v>211.78019230769243</v>
      </c>
      <c r="K35" s="26">
        <f t="shared" si="20"/>
        <v>319.02017857142812</v>
      </c>
      <c r="L35" s="26">
        <f t="shared" si="20"/>
        <v>165.3682142857142</v>
      </c>
      <c r="M35" s="26">
        <f t="shared" si="20"/>
        <v>-126.05538461538471</v>
      </c>
      <c r="N35" s="26">
        <f t="shared" si="20"/>
        <v>21.593846153846243</v>
      </c>
      <c r="O35" s="26">
        <f t="shared" si="20"/>
        <v>-47.935384615384883</v>
      </c>
      <c r="P35" s="129">
        <f t="shared" si="20"/>
        <v>22.828846153845706</v>
      </c>
      <c r="Q35" s="129">
        <f t="shared" ref="Q35:Z35" si="21">Q33/Q34</f>
        <v>-46.342307692307472</v>
      </c>
      <c r="R35" s="129">
        <f t="shared" si="21"/>
        <v>239.67279411764727</v>
      </c>
      <c r="S35" s="129">
        <f t="shared" si="21"/>
        <v>293.88777173913007</v>
      </c>
      <c r="T35" s="129">
        <f t="shared" si="21"/>
        <v>-198.05892857142837</v>
      </c>
      <c r="U35" s="129">
        <f t="shared" si="21"/>
        <v>-268.9497321428571</v>
      </c>
      <c r="V35" s="129">
        <f t="shared" si="21"/>
        <v>113.54355060637187</v>
      </c>
      <c r="W35" s="129">
        <f t="shared" si="21"/>
        <v>-308.56902475177367</v>
      </c>
      <c r="X35" s="129">
        <f t="shared" si="21"/>
        <v>68.755426645364253</v>
      </c>
      <c r="Y35" s="129">
        <f t="shared" si="21"/>
        <v>421.06005082758554</v>
      </c>
      <c r="Z35" s="129">
        <f t="shared" si="21"/>
        <v>433.39128819444539</v>
      </c>
      <c r="AA35" s="347">
        <f>AA33/AA34</f>
        <v>594.40601326797514</v>
      </c>
      <c r="AB35" s="83">
        <f>AB33/AB34</f>
        <v>416.91112970831642</v>
      </c>
      <c r="AC35" s="83">
        <f>AC33/AC34</f>
        <v>311.73173912523885</v>
      </c>
      <c r="AD35" s="83">
        <f>AD33/AD34</f>
        <v>234.76877462550473</v>
      </c>
      <c r="AE35" s="244">
        <f>AE33/AE34</f>
        <v>138.93701189702446</v>
      </c>
      <c r="AW35" s="185"/>
    </row>
    <row r="36" spans="1:49" s="25" customFormat="1" x14ac:dyDescent="0.2">
      <c r="B36" s="8"/>
      <c r="C36" s="39"/>
      <c r="D36" s="39"/>
      <c r="E36" s="39"/>
      <c r="F36" s="39"/>
      <c r="G36" s="39"/>
      <c r="H36" s="39"/>
      <c r="I36" s="39"/>
      <c r="J36" s="39"/>
      <c r="K36" s="39"/>
      <c r="L36" s="39"/>
      <c r="M36" s="39"/>
      <c r="N36" s="39"/>
      <c r="O36" s="39"/>
      <c r="P36" s="135"/>
      <c r="Q36" s="135"/>
      <c r="R36" s="135"/>
      <c r="S36" s="135"/>
      <c r="T36" s="135"/>
      <c r="U36" s="135"/>
      <c r="V36" s="135"/>
      <c r="W36" s="135"/>
      <c r="X36" s="135"/>
      <c r="Y36" s="135"/>
      <c r="Z36" s="497"/>
      <c r="AA36" s="353"/>
      <c r="AB36" s="175"/>
      <c r="AC36" s="175"/>
      <c r="AD36" s="175"/>
      <c r="AE36" s="251"/>
      <c r="AW36" s="185"/>
    </row>
    <row r="37" spans="1:49" s="25" customFormat="1" ht="15" x14ac:dyDescent="0.35">
      <c r="A37" s="40" t="s">
        <v>137</v>
      </c>
      <c r="B37" s="8" t="s">
        <v>31</v>
      </c>
      <c r="C37" s="39">
        <f>SUM($C33:C33)</f>
        <v>1554.4300000000003</v>
      </c>
      <c r="D37" s="39">
        <f>SUM($C33:D33)</f>
        <v>858.42250000000058</v>
      </c>
      <c r="E37" s="39">
        <f>SUM($C33:E33)</f>
        <v>3601.5162499999969</v>
      </c>
      <c r="F37" s="39">
        <f>SUM($C33:F33)</f>
        <v>2070.3037499999955</v>
      </c>
      <c r="G37" s="39">
        <f>SUM($C33:G33)</f>
        <v>4106.6912499999999</v>
      </c>
      <c r="H37" s="39">
        <f>SUM($C33:H33)</f>
        <v>6512.3662500000028</v>
      </c>
      <c r="I37" s="39">
        <f>SUM($C33:I33)</f>
        <v>9312.8549999999996</v>
      </c>
      <c r="J37" s="39">
        <f>SUM($C33:J33)</f>
        <v>12065.997500000001</v>
      </c>
      <c r="K37" s="39">
        <f>SUM($C33:K33)</f>
        <v>16532.279999999995</v>
      </c>
      <c r="L37" s="39">
        <f>SUM($C33:L33)</f>
        <v>18847.434999999994</v>
      </c>
      <c r="M37" s="39">
        <f>SUM($C33:M33)</f>
        <v>17208.714999999993</v>
      </c>
      <c r="N37" s="39">
        <f>SUM($C33:N33)</f>
        <v>17489.434999999994</v>
      </c>
      <c r="O37" s="39">
        <f>SUM($C33:O33)</f>
        <v>16866.274999999991</v>
      </c>
      <c r="P37" s="135">
        <f>SUM($C33:P33)</f>
        <v>17163.049999999985</v>
      </c>
      <c r="Q37" s="135">
        <f>SUM($C33:Q33)</f>
        <v>16560.599999999988</v>
      </c>
      <c r="R37" s="135">
        <f>SUM($C33:R33)</f>
        <v>19820.149999999991</v>
      </c>
      <c r="S37" s="135">
        <f>SUM($C33:S33)</f>
        <v>23875.801249999986</v>
      </c>
      <c r="T37" s="135">
        <f>SUM($C33:T33)</f>
        <v>21102.976249999989</v>
      </c>
      <c r="U37" s="135">
        <f>SUM($C33:U33)</f>
        <v>17337.679999999989</v>
      </c>
      <c r="V37" s="135">
        <f>SUM($C33:V33)</f>
        <v>18915.935353428558</v>
      </c>
      <c r="W37" s="135">
        <f>SUM($C33:W33)</f>
        <v>14565.11210442855</v>
      </c>
      <c r="X37" s="135">
        <f>SUM($C33:X33)</f>
        <v>15568.941333450868</v>
      </c>
      <c r="Y37" s="135">
        <f>SUM($C33:Y33)</f>
        <v>21674.312070450858</v>
      </c>
      <c r="Z37" s="135">
        <f>SUM($C33:Z33)</f>
        <v>27915.146620450872</v>
      </c>
      <c r="AA37" s="354">
        <f>SUM($C33:AA33)</f>
        <v>37009.558623450896</v>
      </c>
      <c r="AB37" s="90">
        <f>SUM($C33:AB33)</f>
        <v>43388.298907988137</v>
      </c>
      <c r="AC37" s="90">
        <f>SUM($C33:AC33)</f>
        <v>48157.794516604292</v>
      </c>
      <c r="AD37" s="90">
        <f>SUM($C33:AD33)</f>
        <v>51749.756768374515</v>
      </c>
      <c r="AE37" s="252">
        <f>SUM($C33:AE33)</f>
        <v>53875.493050398989</v>
      </c>
      <c r="AW37" s="185"/>
    </row>
    <row r="38" spans="1:49" x14ac:dyDescent="0.2">
      <c r="A38" t="s">
        <v>88</v>
      </c>
    </row>
    <row r="39" spans="1:49" x14ac:dyDescent="0.2">
      <c r="A39" s="28" t="s">
        <v>138</v>
      </c>
    </row>
    <row r="40" spans="1:49" x14ac:dyDescent="0.2">
      <c r="A40" t="s">
        <v>91</v>
      </c>
      <c r="B40" t="s">
        <v>66</v>
      </c>
      <c r="C40" s="22">
        <f>ROUND(+$C35,0)</f>
        <v>111</v>
      </c>
      <c r="D40" s="22">
        <f t="shared" ref="D40:P40" si="22">ROUND(+$C35,0)</f>
        <v>111</v>
      </c>
      <c r="E40" s="22">
        <f t="shared" si="22"/>
        <v>111</v>
      </c>
      <c r="F40" s="22">
        <f t="shared" si="22"/>
        <v>111</v>
      </c>
      <c r="G40" s="22">
        <f t="shared" si="22"/>
        <v>111</v>
      </c>
      <c r="H40" s="22">
        <f t="shared" si="22"/>
        <v>111</v>
      </c>
      <c r="I40" s="22">
        <f t="shared" si="22"/>
        <v>111</v>
      </c>
      <c r="J40" s="22">
        <f t="shared" si="22"/>
        <v>111</v>
      </c>
      <c r="K40" s="22">
        <f t="shared" si="22"/>
        <v>111</v>
      </c>
      <c r="L40" s="22">
        <f t="shared" si="22"/>
        <v>111</v>
      </c>
      <c r="M40" s="22">
        <f t="shared" si="22"/>
        <v>111</v>
      </c>
      <c r="N40" s="22">
        <f t="shared" si="22"/>
        <v>111</v>
      </c>
      <c r="O40" s="22">
        <f t="shared" si="22"/>
        <v>111</v>
      </c>
      <c r="P40" s="106">
        <f t="shared" si="22"/>
        <v>111</v>
      </c>
      <c r="AN40" s="22"/>
      <c r="AO40" s="22"/>
      <c r="AP40" s="22"/>
      <c r="AQ40" s="22"/>
      <c r="AR40" s="22"/>
      <c r="AS40" s="22"/>
      <c r="AT40" s="22"/>
      <c r="AU40" s="22"/>
      <c r="AV40" s="22">
        <f>SUM(C40:AN40)</f>
        <v>1554</v>
      </c>
      <c r="AW40" s="188">
        <f>ROUND(C$33,0)-ROUND($AV40,0)</f>
        <v>0</v>
      </c>
    </row>
    <row r="41" spans="1:49" x14ac:dyDescent="0.2">
      <c r="A41" t="s">
        <v>92</v>
      </c>
      <c r="B41" t="s">
        <v>66</v>
      </c>
      <c r="D41" s="22">
        <f>ROUND(+$D35,0)</f>
        <v>-50</v>
      </c>
      <c r="E41" s="22">
        <f t="shared" ref="E41:M41" si="23">ROUND(+$D35,0)</f>
        <v>-50</v>
      </c>
      <c r="F41" s="22">
        <f t="shared" si="23"/>
        <v>-50</v>
      </c>
      <c r="G41" s="22">
        <f t="shared" si="23"/>
        <v>-50</v>
      </c>
      <c r="H41" s="22">
        <f t="shared" si="23"/>
        <v>-50</v>
      </c>
      <c r="I41" s="22">
        <f t="shared" si="23"/>
        <v>-50</v>
      </c>
      <c r="J41" s="22">
        <f t="shared" si="23"/>
        <v>-50</v>
      </c>
      <c r="K41" s="22">
        <f t="shared" si="23"/>
        <v>-50</v>
      </c>
      <c r="L41" s="22">
        <f t="shared" si="23"/>
        <v>-50</v>
      </c>
      <c r="M41" s="22">
        <f t="shared" si="23"/>
        <v>-50</v>
      </c>
      <c r="N41" s="22">
        <f>ROUND(+$D35,0)+1</f>
        <v>-49</v>
      </c>
      <c r="O41" s="22">
        <f>ROUND(+$D35,0)+1</f>
        <v>-49</v>
      </c>
      <c r="P41" s="106">
        <f>ROUND(+$D35,0)+1</f>
        <v>-49</v>
      </c>
      <c r="Q41" s="106">
        <f>ROUND(+$D35,0)+1</f>
        <v>-49</v>
      </c>
      <c r="AN41" s="22"/>
      <c r="AO41" s="22"/>
      <c r="AP41" s="22"/>
      <c r="AQ41" s="22"/>
      <c r="AR41" s="22"/>
      <c r="AS41" s="22"/>
      <c r="AT41" s="22"/>
      <c r="AU41" s="22"/>
      <c r="AV41" s="22">
        <f t="shared" ref="AV41:AV58" si="24">SUM(C41:AN41)</f>
        <v>-696</v>
      </c>
      <c r="AW41" s="188">
        <f>ROUND(D$33,0)-ROUND($AV41,0)</f>
        <v>0</v>
      </c>
    </row>
    <row r="42" spans="1:49" x14ac:dyDescent="0.2">
      <c r="A42" t="s">
        <v>93</v>
      </c>
      <c r="B42" t="s">
        <v>66</v>
      </c>
      <c r="E42" s="22">
        <f>ROUND(+$E35,0)</f>
        <v>196</v>
      </c>
      <c r="F42" s="22">
        <f t="shared" ref="F42:Q42" si="25">ROUND(+$E35,0)</f>
        <v>196</v>
      </c>
      <c r="G42" s="22">
        <f t="shared" si="25"/>
        <v>196</v>
      </c>
      <c r="H42" s="22">
        <f t="shared" si="25"/>
        <v>196</v>
      </c>
      <c r="I42" s="22">
        <f t="shared" si="25"/>
        <v>196</v>
      </c>
      <c r="J42" s="22">
        <f t="shared" si="25"/>
        <v>196</v>
      </c>
      <c r="K42" s="22">
        <f t="shared" si="25"/>
        <v>196</v>
      </c>
      <c r="L42" s="22">
        <f t="shared" si="25"/>
        <v>196</v>
      </c>
      <c r="M42" s="22">
        <f t="shared" si="25"/>
        <v>196</v>
      </c>
      <c r="N42" s="22">
        <f t="shared" si="25"/>
        <v>196</v>
      </c>
      <c r="O42" s="22">
        <f t="shared" si="25"/>
        <v>196</v>
      </c>
      <c r="P42" s="106">
        <f t="shared" si="25"/>
        <v>196</v>
      </c>
      <c r="Q42" s="106">
        <f t="shared" si="25"/>
        <v>196</v>
      </c>
      <c r="R42" s="106">
        <f>ROUND(+$E35,0)-1</f>
        <v>195</v>
      </c>
      <c r="AN42" s="22"/>
      <c r="AO42" s="22"/>
      <c r="AP42" s="22"/>
      <c r="AQ42" s="22"/>
      <c r="AR42" s="22"/>
      <c r="AS42" s="22"/>
      <c r="AT42" s="22"/>
      <c r="AU42" s="22"/>
      <c r="AV42" s="22">
        <f t="shared" si="24"/>
        <v>2743</v>
      </c>
      <c r="AW42" s="188">
        <f>ROUND(E$33,0)-ROUND($AV42,0)</f>
        <v>0</v>
      </c>
    </row>
    <row r="43" spans="1:49" x14ac:dyDescent="0.2">
      <c r="A43" t="s">
        <v>94</v>
      </c>
      <c r="B43" t="s">
        <v>66</v>
      </c>
      <c r="F43" s="22">
        <f>ROUND(+$F35,0)</f>
        <v>-109</v>
      </c>
      <c r="G43" s="22">
        <f t="shared" ref="G43:N43" si="26">ROUND(+$F35,0)</f>
        <v>-109</v>
      </c>
      <c r="H43" s="22">
        <f t="shared" si="26"/>
        <v>-109</v>
      </c>
      <c r="I43" s="22">
        <f t="shared" si="26"/>
        <v>-109</v>
      </c>
      <c r="J43" s="22">
        <f t="shared" si="26"/>
        <v>-109</v>
      </c>
      <c r="K43" s="22">
        <f t="shared" si="26"/>
        <v>-109</v>
      </c>
      <c r="L43" s="22">
        <f t="shared" si="26"/>
        <v>-109</v>
      </c>
      <c r="M43" s="22">
        <f t="shared" si="26"/>
        <v>-109</v>
      </c>
      <c r="N43" s="22">
        <f t="shared" si="26"/>
        <v>-109</v>
      </c>
      <c r="O43" s="22">
        <f>ROUND(+$F35,0)-1</f>
        <v>-110</v>
      </c>
      <c r="P43" s="106">
        <f>ROUND(+$F35,0)-1</f>
        <v>-110</v>
      </c>
      <c r="Q43" s="106">
        <f>ROUND(+$F35,0)-1</f>
        <v>-110</v>
      </c>
      <c r="R43" s="106">
        <f>ROUND(+$F35,0)-1</f>
        <v>-110</v>
      </c>
      <c r="S43" s="106">
        <f>ROUND(+$F35,0)-1</f>
        <v>-110</v>
      </c>
      <c r="AN43" s="22"/>
      <c r="AO43" s="22"/>
      <c r="AP43" s="22"/>
      <c r="AQ43" s="22"/>
      <c r="AR43" s="22"/>
      <c r="AS43" s="22"/>
      <c r="AT43" s="22"/>
      <c r="AU43" s="22"/>
      <c r="AV43" s="22">
        <f t="shared" si="24"/>
        <v>-1531</v>
      </c>
      <c r="AW43" s="188">
        <f>ROUND(F$33,0)-ROUND($AV43,0)</f>
        <v>0</v>
      </c>
    </row>
    <row r="44" spans="1:49" x14ac:dyDescent="0.2">
      <c r="A44" t="s">
        <v>95</v>
      </c>
      <c r="B44" t="s">
        <v>66</v>
      </c>
      <c r="G44" s="22">
        <f>ROUND(+$G35,0)</f>
        <v>145</v>
      </c>
      <c r="H44" s="22">
        <f t="shared" ref="H44:N44" si="27">ROUND(+$G35,0)</f>
        <v>145</v>
      </c>
      <c r="I44" s="22">
        <f t="shared" si="27"/>
        <v>145</v>
      </c>
      <c r="J44" s="22">
        <f t="shared" si="27"/>
        <v>145</v>
      </c>
      <c r="K44" s="22">
        <f t="shared" si="27"/>
        <v>145</v>
      </c>
      <c r="L44" s="22">
        <f t="shared" si="27"/>
        <v>145</v>
      </c>
      <c r="M44" s="22">
        <f t="shared" si="27"/>
        <v>145</v>
      </c>
      <c r="N44" s="22">
        <f t="shared" si="27"/>
        <v>145</v>
      </c>
      <c r="O44" s="22">
        <f t="shared" ref="O44:T44" si="28">ROUND(+$G35,0)+1</f>
        <v>146</v>
      </c>
      <c r="P44" s="106">
        <f t="shared" si="28"/>
        <v>146</v>
      </c>
      <c r="Q44" s="106">
        <f t="shared" si="28"/>
        <v>146</v>
      </c>
      <c r="R44" s="106">
        <f t="shared" si="28"/>
        <v>146</v>
      </c>
      <c r="S44" s="106">
        <f t="shared" si="28"/>
        <v>146</v>
      </c>
      <c r="T44" s="106">
        <f t="shared" si="28"/>
        <v>146</v>
      </c>
      <c r="AN44" s="22"/>
      <c r="AO44" s="22"/>
      <c r="AP44" s="22"/>
      <c r="AQ44" s="22"/>
      <c r="AR44" s="22"/>
      <c r="AS44" s="22"/>
      <c r="AT44" s="22"/>
      <c r="AU44" s="22"/>
      <c r="AV44" s="22">
        <f t="shared" si="24"/>
        <v>2036</v>
      </c>
      <c r="AW44" s="188">
        <f>ROUND(G$33,0)-ROUND($AV44,0)</f>
        <v>0</v>
      </c>
    </row>
    <row r="45" spans="1:49" x14ac:dyDescent="0.2">
      <c r="A45" t="s">
        <v>96</v>
      </c>
      <c r="B45" t="s">
        <v>66</v>
      </c>
      <c r="H45" s="22">
        <f>ROUND(+$H35,0)</f>
        <v>172</v>
      </c>
      <c r="I45" s="22">
        <f t="shared" ref="I45:S45" si="29">ROUND(+$H35,0)</f>
        <v>172</v>
      </c>
      <c r="J45" s="22">
        <f t="shared" si="29"/>
        <v>172</v>
      </c>
      <c r="K45" s="22">
        <f t="shared" si="29"/>
        <v>172</v>
      </c>
      <c r="L45" s="22">
        <f t="shared" si="29"/>
        <v>172</v>
      </c>
      <c r="M45" s="22">
        <f t="shared" si="29"/>
        <v>172</v>
      </c>
      <c r="N45" s="22">
        <f t="shared" si="29"/>
        <v>172</v>
      </c>
      <c r="O45" s="22">
        <f t="shared" si="29"/>
        <v>172</v>
      </c>
      <c r="P45" s="106">
        <f t="shared" si="29"/>
        <v>172</v>
      </c>
      <c r="Q45" s="106">
        <f t="shared" si="29"/>
        <v>172</v>
      </c>
      <c r="R45" s="106">
        <f t="shared" si="29"/>
        <v>172</v>
      </c>
      <c r="S45" s="106">
        <f t="shared" si="29"/>
        <v>172</v>
      </c>
      <c r="T45" s="106">
        <f>ROUND(+$H35,0)-1</f>
        <v>171</v>
      </c>
      <c r="U45" s="106">
        <f>ROUND(+$H35,0)-1</f>
        <v>171</v>
      </c>
      <c r="AN45" s="22"/>
      <c r="AO45" s="22"/>
      <c r="AP45" s="22"/>
      <c r="AQ45" s="22"/>
      <c r="AR45" s="22"/>
      <c r="AS45" s="22"/>
      <c r="AT45" s="22"/>
      <c r="AU45" s="22"/>
      <c r="AV45" s="22">
        <f t="shared" si="24"/>
        <v>2406</v>
      </c>
      <c r="AW45" s="188">
        <f>ROUND(H$33,0)-ROUND($AV45,0)</f>
        <v>0</v>
      </c>
    </row>
    <row r="46" spans="1:49" x14ac:dyDescent="0.2">
      <c r="A46" t="s">
        <v>97</v>
      </c>
      <c r="B46" t="s">
        <v>66</v>
      </c>
      <c r="I46" s="22">
        <f>ROUND(+$I35,0)</f>
        <v>215</v>
      </c>
      <c r="J46" s="22">
        <f t="shared" ref="J46:O46" si="30">ROUND(+$I35,0)</f>
        <v>215</v>
      </c>
      <c r="K46" s="22">
        <f t="shared" si="30"/>
        <v>215</v>
      </c>
      <c r="L46" s="22">
        <f t="shared" si="30"/>
        <v>215</v>
      </c>
      <c r="M46" s="22">
        <f t="shared" si="30"/>
        <v>215</v>
      </c>
      <c r="N46" s="22">
        <f t="shared" si="30"/>
        <v>215</v>
      </c>
      <c r="O46" s="22">
        <f t="shared" si="30"/>
        <v>215</v>
      </c>
      <c r="P46" s="106">
        <f>ROUND(+$I35,0)</f>
        <v>215</v>
      </c>
      <c r="Q46" s="106">
        <f>ROUND(+$I35,0)+1</f>
        <v>216</v>
      </c>
      <c r="R46" s="106">
        <f>ROUND(+$I35,0)+1</f>
        <v>216</v>
      </c>
      <c r="S46" s="106">
        <f>ROUND(+$I35,0)+1</f>
        <v>216</v>
      </c>
      <c r="T46" s="106">
        <f>ROUND(+$I35,0)+1</f>
        <v>216</v>
      </c>
      <c r="U46" s="106">
        <f>ROUND(+$I35,0)+1</f>
        <v>216</v>
      </c>
      <c r="AN46" s="22"/>
      <c r="AO46" s="22"/>
      <c r="AP46" s="22"/>
      <c r="AQ46" s="22"/>
      <c r="AR46" s="22"/>
      <c r="AS46" s="22"/>
      <c r="AT46" s="22"/>
      <c r="AU46" s="22"/>
      <c r="AV46" s="22">
        <f t="shared" si="24"/>
        <v>2800</v>
      </c>
      <c r="AW46" s="188">
        <f>ROUND(I$33,0)-ROUND($AV46,0)</f>
        <v>0</v>
      </c>
    </row>
    <row r="47" spans="1:49" x14ac:dyDescent="0.2">
      <c r="A47" t="s">
        <v>98</v>
      </c>
      <c r="B47" t="s">
        <v>66</v>
      </c>
      <c r="J47" s="22">
        <f>ROUND(+$J35,0)</f>
        <v>212</v>
      </c>
      <c r="K47" s="22">
        <f t="shared" ref="K47:S47" si="31">ROUND(+$J35,0)</f>
        <v>212</v>
      </c>
      <c r="L47" s="22">
        <f t="shared" si="31"/>
        <v>212</v>
      </c>
      <c r="M47" s="22">
        <f t="shared" si="31"/>
        <v>212</v>
      </c>
      <c r="N47" s="22">
        <f t="shared" si="31"/>
        <v>212</v>
      </c>
      <c r="O47" s="22">
        <f t="shared" si="31"/>
        <v>212</v>
      </c>
      <c r="P47" s="106">
        <f t="shared" si="31"/>
        <v>212</v>
      </c>
      <c r="Q47" s="106">
        <f t="shared" si="31"/>
        <v>212</v>
      </c>
      <c r="R47" s="106">
        <f t="shared" si="31"/>
        <v>212</v>
      </c>
      <c r="S47" s="106">
        <f t="shared" si="31"/>
        <v>212</v>
      </c>
      <c r="T47" s="106">
        <f>ROUND(+$J35,0)-1</f>
        <v>211</v>
      </c>
      <c r="U47" s="106">
        <f>ROUND(+$J35,0)-1</f>
        <v>211</v>
      </c>
      <c r="V47" s="106">
        <f>ROUND(+$J35,0)-1</f>
        <v>211</v>
      </c>
      <c r="AN47" s="22"/>
      <c r="AO47" s="22"/>
      <c r="AP47" s="22"/>
      <c r="AQ47" s="22"/>
      <c r="AR47" s="22"/>
      <c r="AS47" s="22"/>
      <c r="AT47" s="22"/>
      <c r="AU47" s="22"/>
      <c r="AV47" s="22">
        <f t="shared" si="24"/>
        <v>2753</v>
      </c>
      <c r="AW47" s="188">
        <f>ROUND(J$33,0)-ROUND($AV47,0)</f>
        <v>0</v>
      </c>
    </row>
    <row r="48" spans="1:49" x14ac:dyDescent="0.2">
      <c r="A48" t="s">
        <v>99</v>
      </c>
      <c r="B48" t="s">
        <v>66</v>
      </c>
      <c r="K48" s="22">
        <f>ROUND(+$K35,0)</f>
        <v>319</v>
      </c>
      <c r="L48" s="22">
        <f t="shared" ref="L48:W48" si="32">ROUND(+$K35,0)</f>
        <v>319</v>
      </c>
      <c r="M48" s="22">
        <f t="shared" si="32"/>
        <v>319</v>
      </c>
      <c r="N48" s="22">
        <f t="shared" si="32"/>
        <v>319</v>
      </c>
      <c r="O48" s="22">
        <f t="shared" si="32"/>
        <v>319</v>
      </c>
      <c r="P48" s="106">
        <f t="shared" si="32"/>
        <v>319</v>
      </c>
      <c r="Q48" s="106">
        <f t="shared" si="32"/>
        <v>319</v>
      </c>
      <c r="R48" s="106">
        <f t="shared" si="32"/>
        <v>319</v>
      </c>
      <c r="S48" s="106">
        <f t="shared" si="32"/>
        <v>319</v>
      </c>
      <c r="T48" s="106">
        <f t="shared" si="32"/>
        <v>319</v>
      </c>
      <c r="U48" s="106">
        <f t="shared" si="32"/>
        <v>319</v>
      </c>
      <c r="V48" s="106">
        <f t="shared" si="32"/>
        <v>319</v>
      </c>
      <c r="W48" s="106">
        <f t="shared" si="32"/>
        <v>319</v>
      </c>
      <c r="X48" s="106">
        <f>ROUND(+$K35,0)</f>
        <v>319</v>
      </c>
      <c r="Y48" s="106"/>
      <c r="AN48" s="22"/>
      <c r="AO48" s="22"/>
      <c r="AP48" s="22"/>
      <c r="AQ48" s="22"/>
      <c r="AR48" s="22"/>
      <c r="AS48" s="22"/>
      <c r="AT48" s="22"/>
      <c r="AU48" s="22"/>
      <c r="AV48" s="22">
        <f t="shared" si="24"/>
        <v>4466</v>
      </c>
      <c r="AW48" s="188">
        <f>ROUND(K$33,0)-ROUND($AV48,0)</f>
        <v>0</v>
      </c>
    </row>
    <row r="49" spans="1:49" x14ac:dyDescent="0.2">
      <c r="A49" t="s">
        <v>100</v>
      </c>
      <c r="B49" t="s">
        <v>66</v>
      </c>
      <c r="L49" s="22">
        <f>ROUND(+$L35,0)</f>
        <v>165</v>
      </c>
      <c r="M49" s="22">
        <f t="shared" ref="M49:T49" si="33">ROUND(+$L35,0)</f>
        <v>165</v>
      </c>
      <c r="N49" s="22">
        <f t="shared" si="33"/>
        <v>165</v>
      </c>
      <c r="O49" s="22">
        <f t="shared" si="33"/>
        <v>165</v>
      </c>
      <c r="P49" s="106">
        <f t="shared" si="33"/>
        <v>165</v>
      </c>
      <c r="Q49" s="106">
        <f t="shared" si="33"/>
        <v>165</v>
      </c>
      <c r="R49" s="106">
        <f t="shared" si="33"/>
        <v>165</v>
      </c>
      <c r="S49" s="106">
        <f t="shared" si="33"/>
        <v>165</v>
      </c>
      <c r="T49" s="106">
        <f t="shared" si="33"/>
        <v>165</v>
      </c>
      <c r="U49" s="106">
        <f>ROUND(+$L35,0)+1</f>
        <v>166</v>
      </c>
      <c r="V49" s="106">
        <f>ROUND(+$L35,0)+1</f>
        <v>166</v>
      </c>
      <c r="W49" s="106">
        <f>ROUND(+$L35,0)+1</f>
        <v>166</v>
      </c>
      <c r="X49" s="106">
        <f>ROUND(+$L35,0)+1</f>
        <v>166</v>
      </c>
      <c r="Y49" s="106">
        <f>ROUND(+$L35,0)+1</f>
        <v>166</v>
      </c>
      <c r="AN49" s="22"/>
      <c r="AO49" s="22"/>
      <c r="AP49" s="22"/>
      <c r="AQ49" s="22"/>
      <c r="AR49" s="22"/>
      <c r="AS49" s="22"/>
      <c r="AT49" s="22"/>
      <c r="AU49" s="22"/>
      <c r="AV49" s="22">
        <f t="shared" si="24"/>
        <v>2315</v>
      </c>
      <c r="AW49" s="188">
        <f>ROUND(L$33,0)-ROUND($AV49,0)</f>
        <v>0</v>
      </c>
    </row>
    <row r="50" spans="1:49" x14ac:dyDescent="0.2">
      <c r="A50" t="s">
        <v>101</v>
      </c>
      <c r="B50" t="s">
        <v>66</v>
      </c>
      <c r="M50" s="22">
        <f>ROUND(+$M35,0)</f>
        <v>-126</v>
      </c>
      <c r="N50" s="22">
        <f t="shared" ref="N50:X50" si="34">ROUND(+$M35,0)</f>
        <v>-126</v>
      </c>
      <c r="O50" s="22">
        <f t="shared" si="34"/>
        <v>-126</v>
      </c>
      <c r="P50" s="106">
        <f t="shared" si="34"/>
        <v>-126</v>
      </c>
      <c r="Q50" s="106">
        <f t="shared" si="34"/>
        <v>-126</v>
      </c>
      <c r="R50" s="106">
        <f t="shared" si="34"/>
        <v>-126</v>
      </c>
      <c r="S50" s="106">
        <f t="shared" si="34"/>
        <v>-126</v>
      </c>
      <c r="T50" s="106">
        <f t="shared" si="34"/>
        <v>-126</v>
      </c>
      <c r="U50" s="106">
        <f t="shared" si="34"/>
        <v>-126</v>
      </c>
      <c r="V50" s="106">
        <f t="shared" si="34"/>
        <v>-126</v>
      </c>
      <c r="W50" s="106">
        <f t="shared" si="34"/>
        <v>-126</v>
      </c>
      <c r="X50" s="106">
        <f t="shared" si="34"/>
        <v>-126</v>
      </c>
      <c r="Y50" s="106">
        <f>ROUND(+$M35,0)-1</f>
        <v>-127</v>
      </c>
      <c r="AN50" s="22"/>
      <c r="AO50" s="22"/>
      <c r="AP50" s="22"/>
      <c r="AQ50" s="22"/>
      <c r="AR50" s="22"/>
      <c r="AS50" s="22"/>
      <c r="AT50" s="22"/>
      <c r="AU50" s="22"/>
      <c r="AV50" s="22">
        <f t="shared" si="24"/>
        <v>-1639</v>
      </c>
      <c r="AW50" s="188">
        <f>ROUND(M$33,0)-ROUND($AV50,0)</f>
        <v>0</v>
      </c>
    </row>
    <row r="51" spans="1:49" x14ac:dyDescent="0.2">
      <c r="A51" t="s">
        <v>102</v>
      </c>
      <c r="B51" t="s">
        <v>66</v>
      </c>
      <c r="N51" s="22">
        <f>ROUND(+$N35,0)</f>
        <v>22</v>
      </c>
      <c r="O51" s="22">
        <f t="shared" ref="O51:U51" si="35">ROUND(+$N35,0)</f>
        <v>22</v>
      </c>
      <c r="P51" s="106">
        <f t="shared" si="35"/>
        <v>22</v>
      </c>
      <c r="Q51" s="106">
        <f t="shared" si="35"/>
        <v>22</v>
      </c>
      <c r="R51" s="106">
        <f t="shared" si="35"/>
        <v>22</v>
      </c>
      <c r="S51" s="106">
        <f t="shared" si="35"/>
        <v>22</v>
      </c>
      <c r="T51" s="106">
        <f t="shared" si="35"/>
        <v>22</v>
      </c>
      <c r="U51" s="106">
        <f t="shared" si="35"/>
        <v>22</v>
      </c>
      <c r="V51" s="106">
        <f>ROUND(+$N35,0)-1</f>
        <v>21</v>
      </c>
      <c r="W51" s="106">
        <f>ROUND(+$N35,0)-1</f>
        <v>21</v>
      </c>
      <c r="X51" s="106">
        <f>ROUND(+$N35,0)-1</f>
        <v>21</v>
      </c>
      <c r="Y51" s="106">
        <f>ROUND(+$N35,0)-1</f>
        <v>21</v>
      </c>
      <c r="Z51" s="106">
        <f>ROUND(+$N35,0)-1</f>
        <v>21</v>
      </c>
      <c r="AA51" s="349"/>
      <c r="AB51" s="85"/>
      <c r="AC51" s="85"/>
      <c r="AD51" s="85"/>
      <c r="AE51" s="246"/>
      <c r="AF51" s="22"/>
      <c r="AG51" s="22"/>
      <c r="AH51" s="22"/>
      <c r="AI51" s="22"/>
      <c r="AJ51" s="22"/>
      <c r="AK51" s="22"/>
      <c r="AL51" s="22"/>
      <c r="AM51" s="22"/>
      <c r="AN51" s="22"/>
      <c r="AO51" s="22"/>
      <c r="AP51" s="22"/>
      <c r="AQ51" s="22"/>
      <c r="AR51" s="22"/>
      <c r="AS51" s="22"/>
      <c r="AT51" s="22"/>
      <c r="AU51" s="22"/>
      <c r="AV51" s="22">
        <f t="shared" si="24"/>
        <v>281</v>
      </c>
      <c r="AW51" s="188">
        <f>ROUND(N$33,0)-ROUND($AV51,0)</f>
        <v>0</v>
      </c>
    </row>
    <row r="52" spans="1:49" x14ac:dyDescent="0.2">
      <c r="A52" t="s">
        <v>308</v>
      </c>
      <c r="B52" t="s">
        <v>66</v>
      </c>
      <c r="N52" s="22"/>
      <c r="O52" s="22">
        <f>ROUND(+$O35,0)</f>
        <v>-48</v>
      </c>
      <c r="P52" s="106">
        <f t="shared" ref="P52:Z52" si="36">ROUND(+$O35,0)</f>
        <v>-48</v>
      </c>
      <c r="Q52" s="106">
        <f t="shared" si="36"/>
        <v>-48</v>
      </c>
      <c r="R52" s="106">
        <f t="shared" si="36"/>
        <v>-48</v>
      </c>
      <c r="S52" s="106">
        <f t="shared" si="36"/>
        <v>-48</v>
      </c>
      <c r="T52" s="106">
        <f t="shared" si="36"/>
        <v>-48</v>
      </c>
      <c r="U52" s="106">
        <f t="shared" si="36"/>
        <v>-48</v>
      </c>
      <c r="V52" s="106">
        <f t="shared" si="36"/>
        <v>-48</v>
      </c>
      <c r="W52" s="106">
        <f t="shared" si="36"/>
        <v>-48</v>
      </c>
      <c r="X52" s="106">
        <f t="shared" si="36"/>
        <v>-48</v>
      </c>
      <c r="Y52" s="106">
        <f t="shared" si="36"/>
        <v>-48</v>
      </c>
      <c r="Z52" s="106">
        <f t="shared" si="36"/>
        <v>-48</v>
      </c>
      <c r="AA52" s="349">
        <f>ROUND(+$O35,0)+1</f>
        <v>-47</v>
      </c>
      <c r="AB52" s="85"/>
      <c r="AC52" s="85"/>
      <c r="AD52" s="85"/>
      <c r="AE52" s="246"/>
      <c r="AF52" s="22"/>
      <c r="AG52" s="22"/>
      <c r="AH52" s="22"/>
      <c r="AI52" s="22"/>
      <c r="AJ52" s="22"/>
      <c r="AK52" s="22"/>
      <c r="AL52" s="22"/>
      <c r="AM52" s="22"/>
      <c r="AN52" s="22"/>
      <c r="AO52" s="22"/>
      <c r="AP52" s="22"/>
      <c r="AQ52" s="22"/>
      <c r="AR52" s="22"/>
      <c r="AS52" s="22"/>
      <c r="AT52" s="22"/>
      <c r="AU52" s="22"/>
      <c r="AV52" s="22">
        <f t="shared" si="24"/>
        <v>-623</v>
      </c>
      <c r="AW52" s="188">
        <f>ROUND(O$33,0)-ROUND($AV52,0)</f>
        <v>0</v>
      </c>
    </row>
    <row r="53" spans="1:49" s="115" customFormat="1" x14ac:dyDescent="0.2">
      <c r="A53" s="115" t="s">
        <v>310</v>
      </c>
      <c r="B53" t="s">
        <v>66</v>
      </c>
      <c r="N53" s="106"/>
      <c r="O53" s="106"/>
      <c r="P53" s="106">
        <f>ROUND(+$P35,0)</f>
        <v>23</v>
      </c>
      <c r="Q53" s="106">
        <f t="shared" ref="Q53:Z53" si="37">ROUND(+$P35,0)</f>
        <v>23</v>
      </c>
      <c r="R53" s="106">
        <f t="shared" si="37"/>
        <v>23</v>
      </c>
      <c r="S53" s="106">
        <f t="shared" si="37"/>
        <v>23</v>
      </c>
      <c r="T53" s="106">
        <f t="shared" si="37"/>
        <v>23</v>
      </c>
      <c r="U53" s="106">
        <f t="shared" si="37"/>
        <v>23</v>
      </c>
      <c r="V53" s="106">
        <f t="shared" si="37"/>
        <v>23</v>
      </c>
      <c r="W53" s="106">
        <f t="shared" si="37"/>
        <v>23</v>
      </c>
      <c r="X53" s="106">
        <f t="shared" si="37"/>
        <v>23</v>
      </c>
      <c r="Y53" s="106">
        <f t="shared" si="37"/>
        <v>23</v>
      </c>
      <c r="Z53" s="106">
        <f t="shared" si="37"/>
        <v>23</v>
      </c>
      <c r="AA53" s="349">
        <f>ROUND(+$P35,0)-1</f>
        <v>22</v>
      </c>
      <c r="AB53" s="85">
        <f>ROUND(+$P35,0)-1</f>
        <v>22</v>
      </c>
      <c r="AC53" s="85"/>
      <c r="AD53" s="85"/>
      <c r="AE53" s="246"/>
      <c r="AF53" s="106"/>
      <c r="AG53" s="106"/>
      <c r="AH53" s="106"/>
      <c r="AI53" s="106"/>
      <c r="AJ53" s="106"/>
      <c r="AK53" s="106"/>
      <c r="AL53" s="106"/>
      <c r="AM53" s="106"/>
      <c r="AN53" s="106"/>
      <c r="AO53" s="106"/>
      <c r="AP53" s="106"/>
      <c r="AQ53" s="106"/>
      <c r="AR53" s="106"/>
      <c r="AS53" s="106"/>
      <c r="AT53" s="106"/>
      <c r="AU53" s="106"/>
      <c r="AV53" s="106">
        <f t="shared" si="24"/>
        <v>297</v>
      </c>
      <c r="AW53" s="188">
        <f>ROUND(P$33,0)-ROUND($AV53,0)</f>
        <v>0</v>
      </c>
    </row>
    <row r="54" spans="1:49" s="115" customFormat="1" x14ac:dyDescent="0.2">
      <c r="A54" s="115" t="s">
        <v>311</v>
      </c>
      <c r="B54" t="s">
        <v>66</v>
      </c>
      <c r="N54" s="106"/>
      <c r="O54" s="106"/>
      <c r="P54" s="106"/>
      <c r="Q54" s="106"/>
      <c r="R54" s="106">
        <f t="shared" ref="R54:Z54" si="38">ROUND(+$Q35,0)</f>
        <v>-46</v>
      </c>
      <c r="S54" s="106">
        <f t="shared" si="38"/>
        <v>-46</v>
      </c>
      <c r="T54" s="106">
        <f t="shared" si="38"/>
        <v>-46</v>
      </c>
      <c r="U54" s="106">
        <f t="shared" si="38"/>
        <v>-46</v>
      </c>
      <c r="V54" s="106">
        <f t="shared" si="38"/>
        <v>-46</v>
      </c>
      <c r="W54" s="106">
        <f t="shared" si="38"/>
        <v>-46</v>
      </c>
      <c r="X54" s="106">
        <f t="shared" si="38"/>
        <v>-46</v>
      </c>
      <c r="Y54" s="106">
        <f t="shared" si="38"/>
        <v>-46</v>
      </c>
      <c r="Z54" s="106">
        <f t="shared" si="38"/>
        <v>-46</v>
      </c>
      <c r="AA54" s="349">
        <f>ROUND(+$Q35,0)-1</f>
        <v>-47</v>
      </c>
      <c r="AB54" s="85">
        <f>ROUND(+$Q35,0)-1</f>
        <v>-47</v>
      </c>
      <c r="AC54" s="85">
        <f>ROUND(+$Q35,0)-1</f>
        <v>-47</v>
      </c>
      <c r="AD54" s="85">
        <f>ROUND(+$Q35,0)-1</f>
        <v>-47</v>
      </c>
      <c r="AE54" s="246"/>
      <c r="AF54" s="106"/>
      <c r="AG54" s="106"/>
      <c r="AH54" s="106"/>
      <c r="AI54" s="106"/>
      <c r="AJ54" s="106"/>
      <c r="AK54" s="106"/>
      <c r="AL54" s="106"/>
      <c r="AM54" s="106"/>
      <c r="AN54" s="106"/>
      <c r="AO54" s="106"/>
      <c r="AP54" s="106"/>
      <c r="AQ54" s="106"/>
      <c r="AR54" s="106"/>
      <c r="AS54" s="106"/>
      <c r="AT54" s="106"/>
      <c r="AU54" s="106"/>
      <c r="AV54" s="106">
        <f t="shared" si="24"/>
        <v>-602</v>
      </c>
      <c r="AW54" s="188">
        <f>ROUND(Q$33,0)-ROUND($AV54,0)</f>
        <v>0</v>
      </c>
    </row>
    <row r="55" spans="1:49" s="115" customFormat="1" x14ac:dyDescent="0.2">
      <c r="A55" s="115" t="s">
        <v>312</v>
      </c>
      <c r="B55" s="115" t="s">
        <v>66</v>
      </c>
      <c r="N55" s="106"/>
      <c r="O55" s="106"/>
      <c r="P55" s="106"/>
      <c r="Q55" s="106"/>
      <c r="R55" s="106"/>
      <c r="S55" s="106">
        <f t="shared" ref="S55:Y55" si="39">ROUND(+$R35,0)</f>
        <v>240</v>
      </c>
      <c r="T55" s="106">
        <f t="shared" si="39"/>
        <v>240</v>
      </c>
      <c r="U55" s="106">
        <f t="shared" si="39"/>
        <v>240</v>
      </c>
      <c r="V55" s="106">
        <f t="shared" si="39"/>
        <v>240</v>
      </c>
      <c r="W55" s="106">
        <f t="shared" si="39"/>
        <v>240</v>
      </c>
      <c r="X55" s="106">
        <f t="shared" si="39"/>
        <v>240</v>
      </c>
      <c r="Y55" s="106">
        <f t="shared" si="39"/>
        <v>240</v>
      </c>
      <c r="Z55" s="106">
        <f t="shared" ref="Z55:AE55" si="40">ROUND(+$R35,0)</f>
        <v>240</v>
      </c>
      <c r="AA55" s="349">
        <f t="shared" si="40"/>
        <v>240</v>
      </c>
      <c r="AB55" s="85">
        <f t="shared" si="40"/>
        <v>240</v>
      </c>
      <c r="AC55" s="85">
        <f t="shared" si="40"/>
        <v>240</v>
      </c>
      <c r="AD55" s="85">
        <f t="shared" si="40"/>
        <v>240</v>
      </c>
      <c r="AE55" s="246">
        <f t="shared" si="40"/>
        <v>240</v>
      </c>
      <c r="AF55" s="106">
        <f>ROUND(+$R35,0)*0.6-4</f>
        <v>140</v>
      </c>
      <c r="AG55" s="106"/>
      <c r="AH55" s="106"/>
      <c r="AI55" s="106"/>
      <c r="AJ55" s="106"/>
      <c r="AK55" s="106"/>
      <c r="AL55" s="106"/>
      <c r="AM55" s="106"/>
      <c r="AN55" s="106"/>
      <c r="AO55" s="106"/>
      <c r="AP55" s="106"/>
      <c r="AQ55" s="106"/>
      <c r="AR55" s="106"/>
      <c r="AS55" s="106"/>
      <c r="AT55" s="106"/>
      <c r="AU55" s="106"/>
      <c r="AV55" s="106">
        <f t="shared" si="24"/>
        <v>3260</v>
      </c>
      <c r="AW55" s="188">
        <f>ROUND(R$33,0)-ROUND($AV55,0)</f>
        <v>0</v>
      </c>
    </row>
    <row r="56" spans="1:49" s="115" customFormat="1" x14ac:dyDescent="0.2">
      <c r="A56" s="115" t="s">
        <v>313</v>
      </c>
      <c r="B56" s="115" t="s">
        <v>66</v>
      </c>
      <c r="N56" s="106"/>
      <c r="O56" s="106"/>
      <c r="P56" s="106"/>
      <c r="Q56" s="106"/>
      <c r="R56" s="106"/>
      <c r="S56" s="106"/>
      <c r="T56" s="106">
        <f t="shared" ref="T56:Z56" si="41">ROUND(+$S35,0)</f>
        <v>294</v>
      </c>
      <c r="U56" s="106">
        <f t="shared" si="41"/>
        <v>294</v>
      </c>
      <c r="V56" s="106">
        <f t="shared" si="41"/>
        <v>294</v>
      </c>
      <c r="W56" s="106">
        <f t="shared" si="41"/>
        <v>294</v>
      </c>
      <c r="X56" s="106">
        <f t="shared" si="41"/>
        <v>294</v>
      </c>
      <c r="Y56" s="106">
        <f t="shared" si="41"/>
        <v>294</v>
      </c>
      <c r="Z56" s="106">
        <f t="shared" si="41"/>
        <v>294</v>
      </c>
      <c r="AA56" s="349">
        <f t="shared" ref="AA56:AF56" si="42">ROUND(+$S35,0)</f>
        <v>294</v>
      </c>
      <c r="AB56" s="85">
        <f t="shared" si="42"/>
        <v>294</v>
      </c>
      <c r="AC56" s="85">
        <f t="shared" si="42"/>
        <v>294</v>
      </c>
      <c r="AD56" s="85">
        <f t="shared" si="42"/>
        <v>294</v>
      </c>
      <c r="AE56" s="246">
        <f t="shared" si="42"/>
        <v>294</v>
      </c>
      <c r="AF56" s="106">
        <f t="shared" si="42"/>
        <v>294</v>
      </c>
      <c r="AG56" s="106">
        <f>ROUND(+$S35,0)-60</f>
        <v>234</v>
      </c>
      <c r="AH56" s="106"/>
      <c r="AI56" s="106"/>
      <c r="AJ56" s="106"/>
      <c r="AK56" s="106"/>
      <c r="AL56" s="106"/>
      <c r="AM56" s="106"/>
      <c r="AN56" s="106"/>
      <c r="AO56" s="106"/>
      <c r="AP56" s="106"/>
      <c r="AQ56" s="106"/>
      <c r="AR56" s="106"/>
      <c r="AS56" s="106"/>
      <c r="AT56" s="106"/>
      <c r="AU56" s="106"/>
      <c r="AV56" s="106">
        <f t="shared" si="24"/>
        <v>4056</v>
      </c>
      <c r="AW56" s="188">
        <f>ROUND(S$33,0)-ROUND($AV56,0)</f>
        <v>0</v>
      </c>
    </row>
    <row r="57" spans="1:49" s="115" customFormat="1" x14ac:dyDescent="0.2">
      <c r="A57" s="115" t="s">
        <v>314</v>
      </c>
      <c r="B57" s="115" t="s">
        <v>66</v>
      </c>
      <c r="N57" s="106"/>
      <c r="O57" s="106"/>
      <c r="P57" s="106"/>
      <c r="Q57" s="106"/>
      <c r="R57" s="106"/>
      <c r="S57" s="106"/>
      <c r="T57" s="207"/>
      <c r="U57" s="106">
        <f t="shared" ref="U57:AA57" si="43">ROUND(+$T35,0)</f>
        <v>-198</v>
      </c>
      <c r="V57" s="106">
        <f t="shared" si="43"/>
        <v>-198</v>
      </c>
      <c r="W57" s="106">
        <f t="shared" si="43"/>
        <v>-198</v>
      </c>
      <c r="X57" s="106">
        <f t="shared" si="43"/>
        <v>-198</v>
      </c>
      <c r="Y57" s="106">
        <f t="shared" si="43"/>
        <v>-198</v>
      </c>
      <c r="Z57" s="106">
        <f t="shared" si="43"/>
        <v>-198</v>
      </c>
      <c r="AA57" s="349">
        <f t="shared" si="43"/>
        <v>-198</v>
      </c>
      <c r="AB57" s="85">
        <f t="shared" ref="AB57:AG57" si="44">ROUND(+$T35,0)</f>
        <v>-198</v>
      </c>
      <c r="AC57" s="85">
        <f t="shared" si="44"/>
        <v>-198</v>
      </c>
      <c r="AD57" s="85">
        <f t="shared" si="44"/>
        <v>-198</v>
      </c>
      <c r="AE57" s="246">
        <f t="shared" si="44"/>
        <v>-198</v>
      </c>
      <c r="AF57" s="106">
        <f t="shared" si="44"/>
        <v>-198</v>
      </c>
      <c r="AG57" s="106">
        <f t="shared" si="44"/>
        <v>-198</v>
      </c>
      <c r="AH57" s="106">
        <f>ROUND(+$T35,0)-1</f>
        <v>-199</v>
      </c>
      <c r="AI57" s="106"/>
      <c r="AJ57" s="106"/>
      <c r="AK57" s="106"/>
      <c r="AL57" s="106"/>
      <c r="AM57" s="106"/>
      <c r="AN57" s="106"/>
      <c r="AO57" s="106"/>
      <c r="AP57" s="106"/>
      <c r="AQ57" s="106"/>
      <c r="AR57" s="106"/>
      <c r="AS57" s="106"/>
      <c r="AT57" s="106"/>
      <c r="AU57" s="106"/>
      <c r="AV57" s="106">
        <f t="shared" si="24"/>
        <v>-2773</v>
      </c>
      <c r="AW57" s="188">
        <f>ROUND(T$33,0)-ROUND($AV57,0)</f>
        <v>0</v>
      </c>
    </row>
    <row r="58" spans="1:49" s="115" customFormat="1" x14ac:dyDescent="0.2">
      <c r="A58" s="115" t="s">
        <v>329</v>
      </c>
      <c r="B58" s="115" t="s">
        <v>66</v>
      </c>
      <c r="N58" s="106"/>
      <c r="O58" s="106"/>
      <c r="P58" s="106"/>
      <c r="Q58" s="106"/>
      <c r="R58" s="106"/>
      <c r="S58" s="106"/>
      <c r="T58" s="106"/>
      <c r="U58" s="106"/>
      <c r="V58" s="106">
        <f>ROUND(+$U35,0)</f>
        <v>-269</v>
      </c>
      <c r="W58" s="106">
        <f t="shared" ref="W58:AH58" si="45">ROUND(+$U35,0)</f>
        <v>-269</v>
      </c>
      <c r="X58" s="106">
        <f t="shared" si="45"/>
        <v>-269</v>
      </c>
      <c r="Y58" s="106">
        <f t="shared" si="45"/>
        <v>-269</v>
      </c>
      <c r="Z58" s="106">
        <f t="shared" si="45"/>
        <v>-269</v>
      </c>
      <c r="AA58" s="349">
        <f t="shared" si="45"/>
        <v>-269</v>
      </c>
      <c r="AB58" s="85">
        <f t="shared" si="45"/>
        <v>-269</v>
      </c>
      <c r="AC58" s="85">
        <f t="shared" si="45"/>
        <v>-269</v>
      </c>
      <c r="AD58" s="85">
        <f t="shared" si="45"/>
        <v>-269</v>
      </c>
      <c r="AE58" s="246">
        <f t="shared" si="45"/>
        <v>-269</v>
      </c>
      <c r="AF58" s="106">
        <f t="shared" si="45"/>
        <v>-269</v>
      </c>
      <c r="AG58" s="106">
        <f t="shared" si="45"/>
        <v>-269</v>
      </c>
      <c r="AH58" s="106">
        <f t="shared" si="45"/>
        <v>-269</v>
      </c>
      <c r="AI58" s="106">
        <f>ROUND(+$U35,0)+1</f>
        <v>-268</v>
      </c>
      <c r="AJ58" s="106"/>
      <c r="AK58" s="106"/>
      <c r="AL58" s="106"/>
      <c r="AM58" s="106"/>
      <c r="AN58" s="106"/>
      <c r="AO58" s="106"/>
      <c r="AP58" s="106"/>
      <c r="AQ58" s="106"/>
      <c r="AR58" s="106"/>
      <c r="AS58" s="106"/>
      <c r="AT58" s="106"/>
      <c r="AU58" s="106"/>
      <c r="AV58" s="106">
        <f t="shared" si="24"/>
        <v>-3765</v>
      </c>
      <c r="AW58" s="189">
        <f>ROUND(U$33,0)-ROUND($AV58,0)</f>
        <v>0</v>
      </c>
    </row>
    <row r="59" spans="1:49" s="115" customFormat="1" x14ac:dyDescent="0.2">
      <c r="A59" s="115" t="s">
        <v>332</v>
      </c>
      <c r="B59" s="115" t="s">
        <v>66</v>
      </c>
      <c r="N59" s="106"/>
      <c r="O59" s="106"/>
      <c r="P59" s="106"/>
      <c r="Q59" s="106"/>
      <c r="R59" s="106"/>
      <c r="S59" s="106"/>
      <c r="T59" s="106"/>
      <c r="U59" s="106"/>
      <c r="V59" s="106"/>
      <c r="W59" s="106">
        <f t="shared" ref="W59:AE59" si="46">ROUND(+$V35,0)</f>
        <v>114</v>
      </c>
      <c r="X59" s="106">
        <f t="shared" si="46"/>
        <v>114</v>
      </c>
      <c r="Y59" s="106">
        <f t="shared" si="46"/>
        <v>114</v>
      </c>
      <c r="Z59" s="106">
        <f t="shared" si="46"/>
        <v>114</v>
      </c>
      <c r="AA59" s="349">
        <f t="shared" si="46"/>
        <v>114</v>
      </c>
      <c r="AB59" s="85">
        <f t="shared" si="46"/>
        <v>114</v>
      </c>
      <c r="AC59" s="85">
        <f t="shared" si="46"/>
        <v>114</v>
      </c>
      <c r="AD59" s="85">
        <f t="shared" si="46"/>
        <v>114</v>
      </c>
      <c r="AE59" s="246">
        <f t="shared" si="46"/>
        <v>114</v>
      </c>
      <c r="AF59" s="106">
        <f>ROUND(+$V35,0)</f>
        <v>114</v>
      </c>
      <c r="AG59" s="106">
        <f>ROUND(+$V35,0)</f>
        <v>114</v>
      </c>
      <c r="AH59" s="106">
        <f>ROUND(+$V35,0)</f>
        <v>114</v>
      </c>
      <c r="AI59" s="106">
        <f>ROUND(+$V35,0)</f>
        <v>114</v>
      </c>
      <c r="AJ59" s="207">
        <f>ROUND(+$V35,0)-12-6</f>
        <v>96</v>
      </c>
      <c r="AK59" s="106"/>
      <c r="AL59" s="106"/>
      <c r="AM59" s="106"/>
      <c r="AN59" s="106"/>
      <c r="AO59" s="106"/>
      <c r="AP59" s="106"/>
      <c r="AQ59" s="106"/>
      <c r="AR59" s="106"/>
      <c r="AS59" s="106"/>
      <c r="AT59" s="106"/>
      <c r="AU59" s="106"/>
      <c r="AV59" s="106">
        <f>SUM(C59:AN59)</f>
        <v>1578</v>
      </c>
      <c r="AW59" s="189">
        <f>ROUND(V$33,0)-ROUND($AV59,0)</f>
        <v>0</v>
      </c>
    </row>
    <row r="60" spans="1:49" s="115" customFormat="1" x14ac:dyDescent="0.2">
      <c r="A60" s="115" t="s">
        <v>336</v>
      </c>
      <c r="B60" s="115" t="s">
        <v>66</v>
      </c>
      <c r="N60" s="106"/>
      <c r="O60" s="106"/>
      <c r="P60" s="106"/>
      <c r="Q60" s="106"/>
      <c r="R60" s="106"/>
      <c r="S60" s="106"/>
      <c r="T60" s="106"/>
      <c r="U60" s="106"/>
      <c r="V60" s="106"/>
      <c r="W60" s="106"/>
      <c r="X60" s="106">
        <f>ROUND(+$W35,0)</f>
        <v>-309</v>
      </c>
      <c r="Y60" s="106">
        <f>ROUND(+$W35,0)</f>
        <v>-309</v>
      </c>
      <c r="Z60" s="106">
        <f>ROUND(+$W35,0)</f>
        <v>-309</v>
      </c>
      <c r="AA60" s="349">
        <f>ROUND(+$W35,0)</f>
        <v>-309</v>
      </c>
      <c r="AB60" s="85">
        <f t="shared" ref="AB60:AG60" si="47">ROUND(+$W35,0)</f>
        <v>-309</v>
      </c>
      <c r="AC60" s="85">
        <f t="shared" si="47"/>
        <v>-309</v>
      </c>
      <c r="AD60" s="85">
        <f t="shared" si="47"/>
        <v>-309</v>
      </c>
      <c r="AE60" s="246">
        <f t="shared" si="47"/>
        <v>-309</v>
      </c>
      <c r="AF60" s="106">
        <f t="shared" si="47"/>
        <v>-309</v>
      </c>
      <c r="AG60" s="106">
        <f t="shared" si="47"/>
        <v>-309</v>
      </c>
      <c r="AH60" s="106">
        <f>ROUND(+$W35,0)</f>
        <v>-309</v>
      </c>
      <c r="AI60" s="106">
        <f>ROUND(+$W35,0)</f>
        <v>-309</v>
      </c>
      <c r="AJ60" s="106">
        <f>ROUND(+$W35,0)</f>
        <v>-309</v>
      </c>
      <c r="AK60" s="106">
        <f>ROUND(+$W35,0)+38</f>
        <v>-271</v>
      </c>
      <c r="AL60" s="207">
        <f>-77+13+1</f>
        <v>-63</v>
      </c>
      <c r="AM60" s="106"/>
      <c r="AN60" s="106"/>
      <c r="AO60" s="106"/>
      <c r="AP60" s="106"/>
      <c r="AQ60" s="106"/>
      <c r="AR60" s="106"/>
      <c r="AS60" s="106"/>
      <c r="AT60" s="106"/>
      <c r="AU60" s="106"/>
      <c r="AV60" s="106">
        <f>SUM(C60:AN60)</f>
        <v>-4351</v>
      </c>
      <c r="AW60" s="189">
        <f>ROUND(W$33,0)-ROUND($AV60,0)</f>
        <v>0</v>
      </c>
    </row>
    <row r="61" spans="1:49" s="115" customFormat="1" x14ac:dyDescent="0.2">
      <c r="A61" s="115" t="s">
        <v>350</v>
      </c>
      <c r="B61" s="115" t="s">
        <v>66</v>
      </c>
      <c r="N61" s="106"/>
      <c r="O61" s="106"/>
      <c r="P61" s="106"/>
      <c r="Q61" s="106"/>
      <c r="R61" s="106"/>
      <c r="S61" s="106"/>
      <c r="T61" s="106"/>
      <c r="U61" s="106" t="s">
        <v>352</v>
      </c>
      <c r="V61" s="106" t="s">
        <v>353</v>
      </c>
      <c r="W61" s="106"/>
      <c r="X61" s="106"/>
      <c r="Y61" s="106">
        <f>ROUND(+$X35,0)</f>
        <v>69</v>
      </c>
      <c r="Z61" s="106">
        <f t="shared" ref="Z61:AL61" si="48">ROUND(+$X35,0)</f>
        <v>69</v>
      </c>
      <c r="AA61" s="349">
        <f t="shared" si="48"/>
        <v>69</v>
      </c>
      <c r="AB61" s="85">
        <f t="shared" si="48"/>
        <v>69</v>
      </c>
      <c r="AC61" s="85">
        <f t="shared" si="48"/>
        <v>69</v>
      </c>
      <c r="AD61" s="85">
        <f t="shared" si="48"/>
        <v>69</v>
      </c>
      <c r="AE61" s="246">
        <f t="shared" si="48"/>
        <v>69</v>
      </c>
      <c r="AF61" s="106">
        <f t="shared" si="48"/>
        <v>69</v>
      </c>
      <c r="AG61" s="106">
        <f t="shared" si="48"/>
        <v>69</v>
      </c>
      <c r="AH61" s="106">
        <f t="shared" si="48"/>
        <v>69</v>
      </c>
      <c r="AI61" s="106">
        <f t="shared" si="48"/>
        <v>69</v>
      </c>
      <c r="AJ61" s="106">
        <f t="shared" si="48"/>
        <v>69</v>
      </c>
      <c r="AK61" s="106">
        <f t="shared" si="48"/>
        <v>69</v>
      </c>
      <c r="AL61" s="106">
        <f t="shared" si="48"/>
        <v>69</v>
      </c>
      <c r="AM61" s="106">
        <f>ROUND(+$X35,0)*0.6-3</f>
        <v>38.4</v>
      </c>
      <c r="AN61" s="106"/>
      <c r="AO61" s="106"/>
      <c r="AP61" s="106"/>
      <c r="AQ61" s="106"/>
      <c r="AR61" s="106"/>
      <c r="AS61" s="106"/>
      <c r="AT61" s="106"/>
      <c r="AU61" s="106"/>
      <c r="AV61" s="106">
        <f>SUM(C61:AN61)</f>
        <v>1004.4</v>
      </c>
      <c r="AW61" s="189">
        <f>ROUND(X$33,0)-ROUND($AV61,0)</f>
        <v>0</v>
      </c>
    </row>
    <row r="62" spans="1:49" s="115" customFormat="1" x14ac:dyDescent="0.2">
      <c r="A62" s="115" t="s">
        <v>355</v>
      </c>
      <c r="B62" s="115" t="s">
        <v>66</v>
      </c>
      <c r="N62" s="106"/>
      <c r="O62" s="106"/>
      <c r="P62" s="106"/>
      <c r="Q62" s="106"/>
      <c r="R62" s="106"/>
      <c r="S62" s="106"/>
      <c r="T62" s="106"/>
      <c r="U62" s="106" t="s">
        <v>352</v>
      </c>
      <c r="V62" s="106" t="s">
        <v>353</v>
      </c>
      <c r="W62" s="106"/>
      <c r="X62" s="106"/>
      <c r="Y62" s="106"/>
      <c r="Z62" s="106">
        <f>ROUND(+$Y35,0)</f>
        <v>421</v>
      </c>
      <c r="AA62" s="349">
        <f t="shared" ref="AA62:AF62" si="49">ROUND(+$Y35,0)</f>
        <v>421</v>
      </c>
      <c r="AB62" s="85">
        <f t="shared" si="49"/>
        <v>421</v>
      </c>
      <c r="AC62" s="85">
        <f t="shared" si="49"/>
        <v>421</v>
      </c>
      <c r="AD62" s="85">
        <f t="shared" si="49"/>
        <v>421</v>
      </c>
      <c r="AE62" s="246">
        <f t="shared" si="49"/>
        <v>421</v>
      </c>
      <c r="AF62" s="106">
        <f t="shared" si="49"/>
        <v>421</v>
      </c>
      <c r="AG62" s="106">
        <f t="shared" ref="AG62:AM62" si="50">ROUND(+$Y35,0)</f>
        <v>421</v>
      </c>
      <c r="AH62" s="106">
        <f t="shared" si="50"/>
        <v>421</v>
      </c>
      <c r="AI62" s="106">
        <f t="shared" si="50"/>
        <v>421</v>
      </c>
      <c r="AJ62" s="106">
        <f t="shared" si="50"/>
        <v>421</v>
      </c>
      <c r="AK62" s="106">
        <f t="shared" si="50"/>
        <v>421</v>
      </c>
      <c r="AL62" s="106">
        <f t="shared" si="50"/>
        <v>421</v>
      </c>
      <c r="AM62" s="106">
        <f t="shared" si="50"/>
        <v>421</v>
      </c>
      <c r="AN62" s="106">
        <f>ROUND(+$Y35,0)*0.5</f>
        <v>210.5</v>
      </c>
      <c r="AO62" s="106"/>
      <c r="AP62" s="106"/>
      <c r="AQ62" s="106"/>
      <c r="AR62" s="106"/>
      <c r="AS62" s="106"/>
      <c r="AT62" s="106"/>
      <c r="AU62" s="106"/>
      <c r="AV62" s="106">
        <f>SUM(C62:AN62)</f>
        <v>6104.5</v>
      </c>
      <c r="AW62" s="189">
        <f>ROUND(Y$33,0)-ROUND($AV62,0)</f>
        <v>0</v>
      </c>
    </row>
    <row r="63" spans="1:49" s="115" customFormat="1" x14ac:dyDescent="0.2">
      <c r="A63" s="115" t="s">
        <v>358</v>
      </c>
      <c r="B63" s="115" t="s">
        <v>66</v>
      </c>
      <c r="N63" s="106"/>
      <c r="O63" s="106"/>
      <c r="P63" s="106"/>
      <c r="Q63" s="106"/>
      <c r="R63" s="106"/>
      <c r="S63" s="106"/>
      <c r="T63" s="106"/>
      <c r="U63" s="106" t="s">
        <v>352</v>
      </c>
      <c r="V63" s="106" t="s">
        <v>353</v>
      </c>
      <c r="W63" s="106"/>
      <c r="X63" s="106"/>
      <c r="Y63" s="106"/>
      <c r="Z63" s="106"/>
      <c r="AA63" s="349">
        <f>ROUND(+$Z35,0)</f>
        <v>433</v>
      </c>
      <c r="AB63" s="85">
        <f t="shared" ref="AB63:AM63" si="51">ROUND(+$Z35,0)</f>
        <v>433</v>
      </c>
      <c r="AC63" s="85">
        <f t="shared" si="51"/>
        <v>433</v>
      </c>
      <c r="AD63" s="85">
        <f t="shared" si="51"/>
        <v>433</v>
      </c>
      <c r="AE63" s="246">
        <f t="shared" si="51"/>
        <v>433</v>
      </c>
      <c r="AF63" s="106">
        <f t="shared" si="51"/>
        <v>433</v>
      </c>
      <c r="AG63" s="502">
        <f t="shared" si="51"/>
        <v>433</v>
      </c>
      <c r="AH63" s="502">
        <f t="shared" si="51"/>
        <v>433</v>
      </c>
      <c r="AI63" s="502">
        <f t="shared" si="51"/>
        <v>433</v>
      </c>
      <c r="AJ63" s="502">
        <f t="shared" si="51"/>
        <v>433</v>
      </c>
      <c r="AK63" s="502">
        <f t="shared" si="51"/>
        <v>433</v>
      </c>
      <c r="AL63" s="502">
        <f t="shared" si="51"/>
        <v>433</v>
      </c>
      <c r="AM63" s="502">
        <f t="shared" si="51"/>
        <v>433</v>
      </c>
      <c r="AN63" s="502">
        <f>ROUND(+$Z35,0)</f>
        <v>433</v>
      </c>
      <c r="AO63" s="503">
        <f>ROUND(+$Z35,0)*0.4+6</f>
        <v>179.20000000000002</v>
      </c>
      <c r="AP63" s="502"/>
      <c r="AQ63" s="502"/>
      <c r="AR63" s="502"/>
      <c r="AS63" s="502"/>
      <c r="AT63" s="502"/>
      <c r="AU63" s="502"/>
      <c r="AV63" s="106">
        <f>SUM(C63:AO63)</f>
        <v>6241.2</v>
      </c>
      <c r="AW63" s="189">
        <f>ROUND(Z$33,0)-ROUND($AV63,0)</f>
        <v>0</v>
      </c>
    </row>
    <row r="64" spans="1:49" s="115" customFormat="1" x14ac:dyDescent="0.2">
      <c r="A64" s="499" t="s">
        <v>363</v>
      </c>
      <c r="B64" s="499" t="s">
        <v>66</v>
      </c>
      <c r="C64" s="499"/>
      <c r="D64" s="499"/>
      <c r="E64" s="499"/>
      <c r="F64" s="499"/>
      <c r="G64" s="499"/>
      <c r="H64" s="499"/>
      <c r="I64" s="499"/>
      <c r="J64" s="499"/>
      <c r="K64" s="499"/>
      <c r="L64" s="499"/>
      <c r="M64" s="499"/>
      <c r="N64" s="500"/>
      <c r="O64" s="500"/>
      <c r="P64" s="500"/>
      <c r="Q64" s="500"/>
      <c r="R64" s="500"/>
      <c r="S64" s="500"/>
      <c r="T64" s="500"/>
      <c r="U64" s="500"/>
      <c r="V64" s="500"/>
      <c r="W64" s="500"/>
      <c r="X64" s="500"/>
      <c r="Y64" s="500"/>
      <c r="Z64" s="500"/>
      <c r="AA64" s="500"/>
      <c r="AB64" s="500">
        <f>ROUND($AA$35,0)</f>
        <v>594</v>
      </c>
      <c r="AC64" s="500">
        <f t="shared" ref="AC64:AK64" si="52">ROUND($AA$35,0)</f>
        <v>594</v>
      </c>
      <c r="AD64" s="500">
        <f t="shared" si="52"/>
        <v>594</v>
      </c>
      <c r="AE64" s="500">
        <f t="shared" si="52"/>
        <v>594</v>
      </c>
      <c r="AF64" s="500">
        <f t="shared" si="52"/>
        <v>594</v>
      </c>
      <c r="AG64" s="500">
        <f t="shared" si="52"/>
        <v>594</v>
      </c>
      <c r="AH64" s="500">
        <f t="shared" si="52"/>
        <v>594</v>
      </c>
      <c r="AI64" s="500">
        <f t="shared" si="52"/>
        <v>594</v>
      </c>
      <c r="AJ64" s="500">
        <f t="shared" si="52"/>
        <v>594</v>
      </c>
      <c r="AK64" s="500">
        <f t="shared" si="52"/>
        <v>594</v>
      </c>
      <c r="AL64" s="500">
        <f>ROUND($AA$35,0)-1</f>
        <v>593</v>
      </c>
      <c r="AM64" s="500">
        <f>ROUND($AA$35,0)-1</f>
        <v>593</v>
      </c>
      <c r="AN64" s="500">
        <f>ROUND($AA$35,0)-1</f>
        <v>593</v>
      </c>
      <c r="AO64" s="500">
        <f>ROUND($AA$35,0)-1</f>
        <v>593</v>
      </c>
      <c r="AP64" s="500">
        <f>ROUND($AA$35,0)-1</f>
        <v>593</v>
      </c>
      <c r="AQ64" s="501">
        <f>ROUND($AA$35,0)*0.3+6</f>
        <v>184.2</v>
      </c>
      <c r="AR64" s="500"/>
      <c r="AS64" s="500"/>
      <c r="AT64" s="500"/>
      <c r="AU64" s="500"/>
      <c r="AV64" s="106">
        <f>SUM(C64:AQ64)</f>
        <v>9089.2000000000007</v>
      </c>
      <c r="AW64" s="224">
        <f>ROUND(AA$33,0)-ROUND($AV64,0)</f>
        <v>5</v>
      </c>
    </row>
    <row r="65" spans="1:49" s="115" customFormat="1" x14ac:dyDescent="0.2">
      <c r="A65" s="311" t="s">
        <v>368</v>
      </c>
      <c r="B65" s="76" t="s">
        <v>66</v>
      </c>
      <c r="C65" s="76"/>
      <c r="D65" s="76"/>
      <c r="E65" s="76"/>
      <c r="F65" s="76"/>
      <c r="G65" s="76"/>
      <c r="H65" s="76"/>
      <c r="I65" s="76"/>
      <c r="J65" s="76"/>
      <c r="K65" s="76"/>
      <c r="L65" s="76"/>
      <c r="M65" s="76"/>
      <c r="N65" s="85"/>
      <c r="O65" s="85"/>
      <c r="P65" s="85"/>
      <c r="Q65" s="85"/>
      <c r="R65" s="85"/>
      <c r="S65" s="85"/>
      <c r="T65" s="85"/>
      <c r="U65" s="85"/>
      <c r="V65" s="85"/>
      <c r="W65" s="85"/>
      <c r="X65" s="85"/>
      <c r="Y65" s="85"/>
      <c r="Z65" s="85"/>
      <c r="AA65" s="349"/>
      <c r="AB65" s="85"/>
      <c r="AC65" s="85">
        <f>ROUND($AB$35,0)</f>
        <v>417</v>
      </c>
      <c r="AD65" s="85">
        <f t="shared" ref="AD65:AQ65" si="53">ROUND($AB$35,0)</f>
        <v>417</v>
      </c>
      <c r="AE65" s="246">
        <f t="shared" si="53"/>
        <v>417</v>
      </c>
      <c r="AF65" s="85">
        <f t="shared" si="53"/>
        <v>417</v>
      </c>
      <c r="AG65" s="85">
        <f t="shared" si="53"/>
        <v>417</v>
      </c>
      <c r="AH65" s="85">
        <f t="shared" si="53"/>
        <v>417</v>
      </c>
      <c r="AI65" s="85">
        <f t="shared" si="53"/>
        <v>417</v>
      </c>
      <c r="AJ65" s="85">
        <f t="shared" si="53"/>
        <v>417</v>
      </c>
      <c r="AK65" s="85">
        <f t="shared" si="53"/>
        <v>417</v>
      </c>
      <c r="AL65" s="85">
        <f t="shared" si="53"/>
        <v>417</v>
      </c>
      <c r="AM65" s="85">
        <f t="shared" si="53"/>
        <v>417</v>
      </c>
      <c r="AN65" s="85">
        <f t="shared" si="53"/>
        <v>417</v>
      </c>
      <c r="AO65" s="85">
        <f t="shared" si="53"/>
        <v>417</v>
      </c>
      <c r="AP65" s="85">
        <f t="shared" si="53"/>
        <v>417</v>
      </c>
      <c r="AQ65" s="85">
        <f t="shared" si="53"/>
        <v>417</v>
      </c>
      <c r="AR65" s="403">
        <f>ROUND($AB$35,0)*0.3+5</f>
        <v>130.1</v>
      </c>
      <c r="AS65" s="85"/>
      <c r="AT65" s="85"/>
      <c r="AU65" s="85"/>
      <c r="AV65" s="106">
        <f>SUM(AC65:AR65)</f>
        <v>6385.1</v>
      </c>
      <c r="AW65" s="224">
        <f>AB33-AV65</f>
        <v>-6.359715462758686</v>
      </c>
    </row>
    <row r="66" spans="1:49" s="115" customFormat="1" x14ac:dyDescent="0.2">
      <c r="A66" s="311" t="s">
        <v>371</v>
      </c>
      <c r="B66" s="76" t="s">
        <v>66</v>
      </c>
      <c r="C66" s="76"/>
      <c r="D66" s="76"/>
      <c r="E66" s="76"/>
      <c r="F66" s="76"/>
      <c r="G66" s="76"/>
      <c r="H66" s="76"/>
      <c r="I66" s="76"/>
      <c r="J66" s="76"/>
      <c r="K66" s="76"/>
      <c r="L66" s="76"/>
      <c r="M66" s="76"/>
      <c r="N66" s="85"/>
      <c r="O66" s="85"/>
      <c r="P66" s="85"/>
      <c r="Q66" s="85"/>
      <c r="R66" s="85"/>
      <c r="S66" s="85"/>
      <c r="T66" s="85"/>
      <c r="U66" s="85"/>
      <c r="V66" s="85"/>
      <c r="W66" s="85"/>
      <c r="X66" s="85"/>
      <c r="Y66" s="85"/>
      <c r="Z66" s="85"/>
      <c r="AA66" s="349"/>
      <c r="AB66" s="85"/>
      <c r="AC66" s="85"/>
      <c r="AD66" s="85">
        <f>ROUND($AC$35,0)</f>
        <v>312</v>
      </c>
      <c r="AE66" s="246">
        <f t="shared" ref="AE66:AR66" si="54">ROUND($AC$35,0)</f>
        <v>312</v>
      </c>
      <c r="AF66" s="85">
        <f t="shared" si="54"/>
        <v>312</v>
      </c>
      <c r="AG66" s="85">
        <f t="shared" si="54"/>
        <v>312</v>
      </c>
      <c r="AH66" s="85">
        <f t="shared" si="54"/>
        <v>312</v>
      </c>
      <c r="AI66" s="85">
        <f t="shared" si="54"/>
        <v>312</v>
      </c>
      <c r="AJ66" s="85">
        <f t="shared" si="54"/>
        <v>312</v>
      </c>
      <c r="AK66" s="85">
        <f t="shared" si="54"/>
        <v>312</v>
      </c>
      <c r="AL66" s="85">
        <f t="shared" si="54"/>
        <v>312</v>
      </c>
      <c r="AM66" s="85">
        <f t="shared" si="54"/>
        <v>312</v>
      </c>
      <c r="AN66" s="85">
        <f t="shared" si="54"/>
        <v>312</v>
      </c>
      <c r="AO66" s="85">
        <f t="shared" si="54"/>
        <v>312</v>
      </c>
      <c r="AP66" s="85">
        <f t="shared" si="54"/>
        <v>312</v>
      </c>
      <c r="AQ66" s="85">
        <f t="shared" si="54"/>
        <v>312</v>
      </c>
      <c r="AR66" s="85">
        <f t="shared" si="54"/>
        <v>312</v>
      </c>
      <c r="AS66" s="403">
        <f>ROUND($AC$35,0)*0.3-4</f>
        <v>89.6</v>
      </c>
      <c r="AT66" s="85"/>
      <c r="AU66" s="85"/>
      <c r="AV66" s="106">
        <f>SUM(AC66:AT66)</f>
        <v>4769.6000000000004</v>
      </c>
      <c r="AW66" s="224">
        <f>AC33-AV66</f>
        <v>-0.10439138384572288</v>
      </c>
    </row>
    <row r="67" spans="1:49" s="115" customFormat="1" x14ac:dyDescent="0.2">
      <c r="A67" s="395" t="s">
        <v>407</v>
      </c>
      <c r="B67" s="76" t="s">
        <v>66</v>
      </c>
      <c r="C67" s="76"/>
      <c r="D67" s="76"/>
      <c r="E67" s="76"/>
      <c r="F67" s="76"/>
      <c r="G67" s="76"/>
      <c r="H67" s="76"/>
      <c r="I67" s="76"/>
      <c r="J67" s="76"/>
      <c r="K67" s="76"/>
      <c r="L67" s="76"/>
      <c r="M67" s="76"/>
      <c r="N67" s="85"/>
      <c r="O67" s="85"/>
      <c r="P67" s="85"/>
      <c r="Q67" s="85"/>
      <c r="R67" s="85"/>
      <c r="S67" s="85"/>
      <c r="T67" s="85"/>
      <c r="U67" s="85"/>
      <c r="V67" s="85"/>
      <c r="W67" s="85"/>
      <c r="X67" s="85"/>
      <c r="Y67" s="85"/>
      <c r="Z67" s="85"/>
      <c r="AA67" s="349"/>
      <c r="AB67" s="85"/>
      <c r="AC67" s="85"/>
      <c r="AD67" s="85"/>
      <c r="AE67" s="246">
        <f>ROUND($AD$35,0)</f>
        <v>235</v>
      </c>
      <c r="AF67" s="85">
        <f t="shared" ref="AF67:AS67" si="55">ROUND($AD$35,0)</f>
        <v>235</v>
      </c>
      <c r="AG67" s="85">
        <f t="shared" si="55"/>
        <v>235</v>
      </c>
      <c r="AH67" s="85">
        <f t="shared" si="55"/>
        <v>235</v>
      </c>
      <c r="AI67" s="85">
        <f t="shared" si="55"/>
        <v>235</v>
      </c>
      <c r="AJ67" s="85">
        <f t="shared" si="55"/>
        <v>235</v>
      </c>
      <c r="AK67" s="85">
        <f t="shared" si="55"/>
        <v>235</v>
      </c>
      <c r="AL67" s="85">
        <f t="shared" si="55"/>
        <v>235</v>
      </c>
      <c r="AM67" s="85">
        <f t="shared" si="55"/>
        <v>235</v>
      </c>
      <c r="AN67" s="85">
        <f t="shared" si="55"/>
        <v>235</v>
      </c>
      <c r="AO67" s="85">
        <f t="shared" si="55"/>
        <v>235</v>
      </c>
      <c r="AP67" s="85">
        <f t="shared" si="55"/>
        <v>235</v>
      </c>
      <c r="AQ67" s="85">
        <f t="shared" si="55"/>
        <v>235</v>
      </c>
      <c r="AR67" s="85">
        <f t="shared" si="55"/>
        <v>235</v>
      </c>
      <c r="AS67" s="85">
        <f t="shared" si="55"/>
        <v>235</v>
      </c>
      <c r="AT67" s="403">
        <f>ROUND($AD$35,0)*0.3-4</f>
        <v>66.5</v>
      </c>
      <c r="AU67" s="85"/>
      <c r="AV67" s="106">
        <f>SUM(AC67:AT67)</f>
        <v>3591.5</v>
      </c>
      <c r="AW67" s="224">
        <f>ROUND(AD33,0)-ROUND(AV67,0)</f>
        <v>0</v>
      </c>
    </row>
    <row r="68" spans="1:49" s="115" customFormat="1" x14ac:dyDescent="0.2">
      <c r="A68" s="235" t="s">
        <v>445</v>
      </c>
      <c r="B68" s="76" t="s">
        <v>66</v>
      </c>
      <c r="C68" s="76"/>
      <c r="D68" s="76"/>
      <c r="E68" s="76"/>
      <c r="F68" s="76"/>
      <c r="G68" s="76"/>
      <c r="H68" s="76"/>
      <c r="I68" s="76"/>
      <c r="J68" s="76"/>
      <c r="K68" s="76"/>
      <c r="L68" s="76"/>
      <c r="M68" s="76"/>
      <c r="N68" s="85"/>
      <c r="O68" s="85"/>
      <c r="P68" s="85"/>
      <c r="Q68" s="85"/>
      <c r="R68" s="85"/>
      <c r="S68" s="85"/>
      <c r="T68" s="85"/>
      <c r="U68" s="85"/>
      <c r="V68" s="85"/>
      <c r="W68" s="85"/>
      <c r="X68" s="85"/>
      <c r="Y68" s="85"/>
      <c r="Z68" s="85"/>
      <c r="AA68" s="349"/>
      <c r="AB68" s="85"/>
      <c r="AC68" s="85"/>
      <c r="AD68" s="85"/>
      <c r="AE68" s="246"/>
      <c r="AF68" s="85">
        <f>ROUND($AE$35,0)</f>
        <v>139</v>
      </c>
      <c r="AG68" s="85">
        <f t="shared" ref="AG68:AT68" si="56">ROUND($AE$35,0)</f>
        <v>139</v>
      </c>
      <c r="AH68" s="85">
        <f t="shared" si="56"/>
        <v>139</v>
      </c>
      <c r="AI68" s="85">
        <f t="shared" si="56"/>
        <v>139</v>
      </c>
      <c r="AJ68" s="85">
        <f t="shared" si="56"/>
        <v>139</v>
      </c>
      <c r="AK68" s="85">
        <f t="shared" si="56"/>
        <v>139</v>
      </c>
      <c r="AL68" s="85">
        <f t="shared" si="56"/>
        <v>139</v>
      </c>
      <c r="AM68" s="85">
        <f t="shared" si="56"/>
        <v>139</v>
      </c>
      <c r="AN68" s="85">
        <f t="shared" si="56"/>
        <v>139</v>
      </c>
      <c r="AO68" s="85">
        <f t="shared" si="56"/>
        <v>139</v>
      </c>
      <c r="AP68" s="85">
        <f t="shared" si="56"/>
        <v>139</v>
      </c>
      <c r="AQ68" s="85">
        <f t="shared" si="56"/>
        <v>139</v>
      </c>
      <c r="AR68" s="85">
        <f t="shared" si="56"/>
        <v>139</v>
      </c>
      <c r="AS68" s="85">
        <f t="shared" si="56"/>
        <v>139</v>
      </c>
      <c r="AT68" s="85">
        <f t="shared" si="56"/>
        <v>139</v>
      </c>
      <c r="AU68" s="498">
        <f>ROUND($AE$35,0)*0.3-1</f>
        <v>40.699999999999996</v>
      </c>
      <c r="AV68" s="106">
        <f>SUM(AC68:AU68)</f>
        <v>2125.6999999999998</v>
      </c>
      <c r="AW68" s="224">
        <f>ROUND(AE33,0)-ROUND(AV68,0)</f>
        <v>0</v>
      </c>
    </row>
    <row r="69" spans="1:49" s="31" customFormat="1" x14ac:dyDescent="0.2">
      <c r="A69" s="31" t="s">
        <v>90</v>
      </c>
      <c r="B69" s="31" t="s">
        <v>31</v>
      </c>
      <c r="C69" s="37">
        <f>SUM(C40:C67)</f>
        <v>111</v>
      </c>
      <c r="D69" s="37">
        <f t="shared" ref="D69:AC69" si="57">SUM(D40:D67)</f>
        <v>61</v>
      </c>
      <c r="E69" s="37">
        <f t="shared" si="57"/>
        <v>257</v>
      </c>
      <c r="F69" s="37">
        <f t="shared" si="57"/>
        <v>148</v>
      </c>
      <c r="G69" s="37">
        <f t="shared" si="57"/>
        <v>293</v>
      </c>
      <c r="H69" s="37">
        <f t="shared" si="57"/>
        <v>465</v>
      </c>
      <c r="I69" s="37">
        <f t="shared" si="57"/>
        <v>680</v>
      </c>
      <c r="J69" s="37">
        <f t="shared" si="57"/>
        <v>892</v>
      </c>
      <c r="K69" s="37">
        <f t="shared" si="57"/>
        <v>1211</v>
      </c>
      <c r="L69" s="37">
        <f t="shared" si="57"/>
        <v>1376</v>
      </c>
      <c r="M69" s="37">
        <f t="shared" si="57"/>
        <v>1250</v>
      </c>
      <c r="N69" s="37">
        <f t="shared" si="57"/>
        <v>1273</v>
      </c>
      <c r="O69" s="37">
        <f t="shared" si="57"/>
        <v>1225</v>
      </c>
      <c r="P69" s="136">
        <f t="shared" si="57"/>
        <v>1248</v>
      </c>
      <c r="Q69" s="136">
        <f t="shared" si="57"/>
        <v>1138</v>
      </c>
      <c r="R69" s="136">
        <f t="shared" si="57"/>
        <v>1140</v>
      </c>
      <c r="S69" s="136">
        <f t="shared" si="57"/>
        <v>1185</v>
      </c>
      <c r="T69" s="136">
        <f t="shared" si="57"/>
        <v>1587</v>
      </c>
      <c r="U69" s="136">
        <f t="shared" si="57"/>
        <v>1244</v>
      </c>
      <c r="V69" s="136">
        <f t="shared" si="57"/>
        <v>587</v>
      </c>
      <c r="W69" s="136">
        <f t="shared" si="57"/>
        <v>490</v>
      </c>
      <c r="X69" s="136">
        <f t="shared" si="57"/>
        <v>181</v>
      </c>
      <c r="Y69" s="136">
        <f t="shared" si="57"/>
        <v>-70</v>
      </c>
      <c r="Z69" s="136">
        <f>SUM(Z40:Z67)</f>
        <v>312</v>
      </c>
      <c r="AA69" s="355">
        <f t="shared" si="57"/>
        <v>723</v>
      </c>
      <c r="AB69" s="91">
        <f t="shared" si="57"/>
        <v>1364</v>
      </c>
      <c r="AC69" s="91">
        <f t="shared" si="57"/>
        <v>1759</v>
      </c>
      <c r="AD69" s="91">
        <f>SUM(AD40:AD67)</f>
        <v>2071</v>
      </c>
      <c r="AE69" s="253">
        <f>SUM(AE40:AE67)</f>
        <v>2353</v>
      </c>
      <c r="AF69" s="37">
        <f>SUM(AF40:AF68)</f>
        <v>2392</v>
      </c>
      <c r="AG69" s="37">
        <f t="shared" ref="AG69:AS69" si="58">SUM(AG40:AG68)</f>
        <v>2192</v>
      </c>
      <c r="AH69" s="37">
        <f t="shared" si="58"/>
        <v>1957</v>
      </c>
      <c r="AI69" s="37">
        <f t="shared" si="58"/>
        <v>2157</v>
      </c>
      <c r="AJ69" s="37">
        <f t="shared" si="58"/>
        <v>2407</v>
      </c>
      <c r="AK69" s="37">
        <f t="shared" si="58"/>
        <v>2349</v>
      </c>
      <c r="AL69" s="37">
        <f t="shared" si="58"/>
        <v>2556</v>
      </c>
      <c r="AM69" s="37">
        <f t="shared" si="58"/>
        <v>2588.4</v>
      </c>
      <c r="AN69" s="37">
        <f t="shared" si="58"/>
        <v>2339.5</v>
      </c>
      <c r="AO69" s="37">
        <f t="shared" si="58"/>
        <v>1875.2</v>
      </c>
      <c r="AP69" s="37">
        <f t="shared" si="58"/>
        <v>1696</v>
      </c>
      <c r="AQ69" s="37">
        <f t="shared" si="58"/>
        <v>1287.2</v>
      </c>
      <c r="AR69" s="37">
        <f t="shared" si="58"/>
        <v>816.1</v>
      </c>
      <c r="AS69" s="37">
        <f t="shared" si="58"/>
        <v>463.6</v>
      </c>
      <c r="AT69" s="37">
        <f>SUM(AT40:AT68)</f>
        <v>205.5</v>
      </c>
      <c r="AU69" s="37">
        <f>SUM(AU40:AU68)</f>
        <v>40.699999999999996</v>
      </c>
      <c r="AV69" s="106"/>
      <c r="AW69" s="187"/>
    </row>
    <row r="71" spans="1:49" s="3" customFormat="1" ht="15" x14ac:dyDescent="0.35">
      <c r="A71" s="41" t="s">
        <v>139</v>
      </c>
      <c r="D71" s="3">
        <f>'Data Input'!F16</f>
        <v>0</v>
      </c>
      <c r="E71" s="3">
        <f>'Data Input'!G16</f>
        <v>0</v>
      </c>
      <c r="F71" s="3">
        <f>'Data Input'!H16</f>
        <v>0</v>
      </c>
      <c r="G71" s="3">
        <f>'Data Input'!I16</f>
        <v>0</v>
      </c>
      <c r="H71" s="3">
        <f>'Data Input'!J16+500</f>
        <v>758</v>
      </c>
      <c r="I71" s="3">
        <f>'Data Input'!K16-500</f>
        <v>1513</v>
      </c>
      <c r="J71" s="3">
        <f>'Data Input'!L16</f>
        <v>0</v>
      </c>
      <c r="K71" s="3">
        <f>'Data Input'!M16</f>
        <v>0</v>
      </c>
      <c r="L71" s="3">
        <f>'Data Input'!N16</f>
        <v>0</v>
      </c>
      <c r="M71" s="3">
        <f>'Data Input'!O16</f>
        <v>4519</v>
      </c>
      <c r="N71" s="3">
        <f>'Data Input'!P16</f>
        <v>0</v>
      </c>
      <c r="O71" s="3">
        <f>'Data Input'!Q16</f>
        <v>0</v>
      </c>
      <c r="P71" s="121">
        <f>'Data Input'!R16</f>
        <v>0</v>
      </c>
      <c r="Q71" s="121">
        <f>'Data Input'!S16</f>
        <v>0</v>
      </c>
      <c r="R71" s="121">
        <f>'Data Input'!T16</f>
        <v>0</v>
      </c>
      <c r="S71" s="121">
        <f>'Data Input'!U16</f>
        <v>0</v>
      </c>
      <c r="T71" s="121">
        <f>'Data Input'!V16</f>
        <v>0</v>
      </c>
      <c r="U71" s="121">
        <f>'Data Input'!W16</f>
        <v>0</v>
      </c>
      <c r="V71" s="121">
        <f>'Data Input'!X16</f>
        <v>0</v>
      </c>
      <c r="W71" s="121">
        <f>'Data Input'!Y16</f>
        <v>0</v>
      </c>
      <c r="X71" s="121">
        <f>'Data Input'!Z16</f>
        <v>0</v>
      </c>
      <c r="Y71" s="121">
        <f>'Data Input'!AA16</f>
        <v>0</v>
      </c>
      <c r="Z71" s="121"/>
      <c r="AA71" s="345"/>
      <c r="AB71" s="79"/>
      <c r="AC71" s="79"/>
      <c r="AD71" s="79"/>
      <c r="AE71" s="240"/>
      <c r="AW71" s="178"/>
    </row>
    <row r="73" spans="1:49" x14ac:dyDescent="0.2">
      <c r="A73" s="28" t="s">
        <v>140</v>
      </c>
    </row>
    <row r="74" spans="1:49" s="3" customFormat="1" x14ac:dyDescent="0.2">
      <c r="A74" s="3" t="s">
        <v>112</v>
      </c>
      <c r="B74" s="3" t="s">
        <v>122</v>
      </c>
      <c r="H74" s="3">
        <f>amendment!C16</f>
        <v>-85</v>
      </c>
      <c r="I74" s="3">
        <f>amendment!D16</f>
        <v>-85</v>
      </c>
      <c r="J74" s="3">
        <f>amendment!E16</f>
        <v>-84</v>
      </c>
      <c r="K74" s="3">
        <f>amendment!F16</f>
        <v>-84</v>
      </c>
      <c r="L74" s="3">
        <f>amendment!G16</f>
        <v>-84</v>
      </c>
      <c r="M74" s="3">
        <f>amendment!H16</f>
        <v>-84</v>
      </c>
      <c r="N74" s="3">
        <f>amendment!I16</f>
        <v>-84</v>
      </c>
      <c r="O74" s="3">
        <f>amendment!J16</f>
        <v>-84</v>
      </c>
      <c r="P74" s="121">
        <f>amendment!K16</f>
        <v>-84</v>
      </c>
      <c r="Q74" s="121"/>
      <c r="R74" s="121"/>
      <c r="S74" s="121"/>
      <c r="T74" s="121"/>
      <c r="U74" s="121"/>
      <c r="V74" s="121"/>
      <c r="W74" s="121"/>
      <c r="X74" s="121"/>
      <c r="Y74" s="121"/>
      <c r="Z74" s="121"/>
      <c r="AA74" s="345"/>
      <c r="AB74" s="79"/>
      <c r="AC74" s="79"/>
      <c r="AD74" s="79"/>
      <c r="AE74" s="240"/>
      <c r="AW74" s="178"/>
    </row>
    <row r="75" spans="1:49" s="3" customFormat="1" x14ac:dyDescent="0.2">
      <c r="A75" s="3" t="s">
        <v>120</v>
      </c>
      <c r="B75" s="3" t="s">
        <v>122</v>
      </c>
      <c r="I75" s="3">
        <f>amendment!D29</f>
        <v>-26</v>
      </c>
      <c r="J75" s="3">
        <f>amendment!E29</f>
        <v>-27</v>
      </c>
      <c r="K75" s="3">
        <f>amendment!F29</f>
        <v>-27</v>
      </c>
      <c r="L75" s="3">
        <f>amendment!G29</f>
        <v>-27</v>
      </c>
      <c r="M75" s="3">
        <f>amendment!H29</f>
        <v>-27</v>
      </c>
      <c r="N75" s="3">
        <f>amendment!I29</f>
        <v>-27</v>
      </c>
      <c r="O75" s="3">
        <f>amendment!J29</f>
        <v>-27</v>
      </c>
      <c r="P75" s="121">
        <f>amendment!K29</f>
        <v>-27</v>
      </c>
      <c r="Q75" s="121">
        <f>amendment!L29</f>
        <v>0</v>
      </c>
      <c r="R75" s="121">
        <f>amendment!M29</f>
        <v>0</v>
      </c>
      <c r="S75" s="121"/>
      <c r="T75" s="121"/>
      <c r="U75" s="121"/>
      <c r="V75" s="121"/>
      <c r="W75" s="121"/>
      <c r="X75" s="121"/>
      <c r="Y75" s="121"/>
      <c r="Z75" s="121"/>
      <c r="AA75" s="345"/>
      <c r="AB75" s="79"/>
      <c r="AC75" s="79"/>
      <c r="AD75" s="79"/>
      <c r="AE75" s="240"/>
      <c r="AW75" s="178"/>
    </row>
    <row r="76" spans="1:49" s="3" customFormat="1" x14ac:dyDescent="0.2">
      <c r="A76" s="3" t="s">
        <v>121</v>
      </c>
      <c r="B76" s="3" t="s">
        <v>122</v>
      </c>
      <c r="I76" s="3">
        <f>amendment!D30</f>
        <v>-130</v>
      </c>
      <c r="J76" s="3">
        <f>amendment!E30</f>
        <v>-130</v>
      </c>
      <c r="K76" s="3">
        <f>amendment!F30</f>
        <v>-130</v>
      </c>
      <c r="L76" s="3">
        <f>amendment!G30</f>
        <v>-130</v>
      </c>
      <c r="M76" s="3">
        <f>amendment!H30</f>
        <v>-130</v>
      </c>
      <c r="N76" s="3">
        <f>amendment!I30</f>
        <v>-130</v>
      </c>
      <c r="O76" s="3">
        <f>amendment!J30</f>
        <v>-130</v>
      </c>
      <c r="P76" s="121">
        <f>amendment!K30</f>
        <v>-130</v>
      </c>
      <c r="Q76" s="121">
        <f>amendment!L30</f>
        <v>-129</v>
      </c>
      <c r="R76" s="121">
        <f>amendment!M30</f>
        <v>-129</v>
      </c>
      <c r="S76" s="121"/>
      <c r="T76" s="121"/>
      <c r="U76" s="121"/>
      <c r="V76" s="121"/>
      <c r="W76" s="121"/>
      <c r="X76" s="121"/>
      <c r="Y76" s="121"/>
      <c r="Z76" s="121"/>
      <c r="AA76" s="345"/>
      <c r="AB76" s="79"/>
      <c r="AC76" s="79"/>
      <c r="AD76" s="79"/>
      <c r="AE76" s="240"/>
      <c r="AW76" s="178"/>
    </row>
    <row r="77" spans="1:49" s="3" customFormat="1" x14ac:dyDescent="0.2">
      <c r="A77" s="3" t="s">
        <v>132</v>
      </c>
      <c r="B77" s="3" t="s">
        <v>122</v>
      </c>
      <c r="M77" s="3">
        <f>amendment!H48</f>
        <v>-66</v>
      </c>
      <c r="N77" s="3">
        <f>amendment!I48</f>
        <v>-66</v>
      </c>
      <c r="O77" s="3">
        <f>amendment!J48</f>
        <v>-66</v>
      </c>
      <c r="P77" s="121">
        <f>amendment!K48</f>
        <v>-66</v>
      </c>
      <c r="Q77" s="121">
        <f>amendment!L48</f>
        <v>-67</v>
      </c>
      <c r="R77" s="121">
        <f>amendment!M48</f>
        <v>-66</v>
      </c>
      <c r="S77" s="121">
        <f>amendment!N48</f>
        <v>0</v>
      </c>
      <c r="T77" s="121">
        <f>amendment!O48</f>
        <v>0</v>
      </c>
      <c r="U77" s="121">
        <f>amendment!P48</f>
        <v>0</v>
      </c>
      <c r="V77" s="121"/>
      <c r="W77" s="121"/>
      <c r="X77" s="121"/>
      <c r="Y77" s="121"/>
      <c r="Z77" s="121"/>
      <c r="AA77" s="345"/>
      <c r="AB77" s="79"/>
      <c r="AC77" s="79"/>
      <c r="AD77" s="79"/>
      <c r="AE77" s="240"/>
      <c r="AW77" s="178"/>
    </row>
    <row r="78" spans="1:49" s="3" customFormat="1" x14ac:dyDescent="0.2">
      <c r="A78" s="3" t="s">
        <v>133</v>
      </c>
      <c r="B78" s="3" t="s">
        <v>122</v>
      </c>
      <c r="M78" s="3">
        <f>amendment!H49</f>
        <v>-145</v>
      </c>
      <c r="N78" s="3">
        <f>amendment!I49</f>
        <v>-145</v>
      </c>
      <c r="O78" s="3">
        <f>amendment!J49</f>
        <v>-146</v>
      </c>
      <c r="P78" s="121">
        <f>amendment!K49</f>
        <v>-146</v>
      </c>
      <c r="Q78" s="121">
        <f>amendment!L49</f>
        <v>-146</v>
      </c>
      <c r="R78" s="121">
        <f>amendment!M49</f>
        <v>-146</v>
      </c>
      <c r="S78" s="121">
        <f>amendment!N49</f>
        <v>-146</v>
      </c>
      <c r="T78" s="121">
        <f>amendment!O49</f>
        <v>-146</v>
      </c>
      <c r="U78" s="121">
        <f>amendment!P49</f>
        <v>0</v>
      </c>
      <c r="V78" s="121"/>
      <c r="W78" s="121"/>
      <c r="X78" s="121"/>
      <c r="Y78" s="121"/>
      <c r="Z78" s="121"/>
      <c r="AA78" s="345"/>
      <c r="AB78" s="79"/>
      <c r="AC78" s="79"/>
      <c r="AD78" s="79"/>
      <c r="AE78" s="240"/>
      <c r="AW78" s="178"/>
    </row>
    <row r="79" spans="1:49" s="3" customFormat="1" x14ac:dyDescent="0.2">
      <c r="A79" s="3" t="s">
        <v>134</v>
      </c>
      <c r="B79" s="3" t="s">
        <v>122</v>
      </c>
      <c r="M79" s="3">
        <f>amendment!H50</f>
        <v>-172</v>
      </c>
      <c r="N79" s="3">
        <f>amendment!I50</f>
        <v>-172</v>
      </c>
      <c r="O79" s="3">
        <f>amendment!J50</f>
        <v>-172</v>
      </c>
      <c r="P79" s="121">
        <f>amendment!K50</f>
        <v>-172</v>
      </c>
      <c r="Q79" s="121">
        <f>amendment!L50</f>
        <v>-172</v>
      </c>
      <c r="R79" s="121">
        <f>amendment!M50</f>
        <v>-172</v>
      </c>
      <c r="S79" s="121">
        <f>amendment!N50</f>
        <v>-172</v>
      </c>
      <c r="T79" s="121">
        <f>amendment!O50</f>
        <v>-171</v>
      </c>
      <c r="U79" s="121">
        <f>amendment!P50</f>
        <v>-171</v>
      </c>
      <c r="V79" s="121"/>
      <c r="W79" s="121"/>
      <c r="X79" s="121"/>
      <c r="Y79" s="121"/>
      <c r="Z79" s="121"/>
      <c r="AA79" s="345"/>
      <c r="AB79" s="79"/>
      <c r="AC79" s="79"/>
      <c r="AD79" s="79"/>
      <c r="AE79" s="240"/>
      <c r="AW79" s="178"/>
    </row>
    <row r="80" spans="1:49" s="3" customFormat="1" x14ac:dyDescent="0.2">
      <c r="A80" s="3" t="s">
        <v>135</v>
      </c>
      <c r="B80" s="3" t="s">
        <v>122</v>
      </c>
      <c r="M80" s="3">
        <f>amendment!H51</f>
        <v>-156</v>
      </c>
      <c r="N80" s="3">
        <f>amendment!I51</f>
        <v>-156</v>
      </c>
      <c r="O80" s="3">
        <f>amendment!J51</f>
        <v>-156</v>
      </c>
      <c r="P80" s="121">
        <f>amendment!K51</f>
        <v>-157</v>
      </c>
      <c r="Q80" s="121">
        <f>amendment!L51</f>
        <v>-157</v>
      </c>
      <c r="R80" s="121">
        <f>amendment!M51</f>
        <v>-157</v>
      </c>
      <c r="S80" s="121">
        <f>amendment!N51</f>
        <v>-157</v>
      </c>
      <c r="T80" s="121">
        <f>amendment!O51</f>
        <v>-157</v>
      </c>
      <c r="U80" s="121">
        <f>amendment!P51</f>
        <v>-157</v>
      </c>
      <c r="V80" s="121"/>
      <c r="W80" s="121"/>
      <c r="X80" s="121"/>
      <c r="Y80" s="121"/>
      <c r="Z80" s="121"/>
      <c r="AA80" s="345"/>
      <c r="AB80" s="79"/>
      <c r="AC80" s="79"/>
      <c r="AD80" s="79"/>
      <c r="AE80" s="240"/>
      <c r="AW80" s="178"/>
    </row>
    <row r="81" spans="1:49" s="3" customFormat="1" x14ac:dyDescent="0.2">
      <c r="C81" s="6"/>
      <c r="D81" s="6"/>
      <c r="E81" s="6"/>
      <c r="F81" s="6"/>
      <c r="G81" s="6"/>
      <c r="H81" s="6"/>
      <c r="I81" s="6"/>
      <c r="J81" s="6"/>
      <c r="K81" s="6"/>
      <c r="L81" s="6"/>
      <c r="M81" s="6"/>
      <c r="N81" s="6"/>
      <c r="O81" s="6"/>
      <c r="P81" s="125"/>
      <c r="Q81" s="125"/>
      <c r="R81" s="125"/>
      <c r="S81" s="125"/>
      <c r="T81" s="125"/>
      <c r="U81" s="125"/>
      <c r="V81" s="125"/>
      <c r="W81" s="125"/>
      <c r="X81" s="125"/>
      <c r="Y81" s="125"/>
      <c r="Z81" s="121"/>
      <c r="AA81" s="345"/>
      <c r="AB81" s="79"/>
      <c r="AC81" s="79"/>
      <c r="AD81" s="79"/>
      <c r="AE81" s="240"/>
      <c r="AW81" s="178"/>
    </row>
    <row r="82" spans="1:49" s="25" customFormat="1" x14ac:dyDescent="0.2">
      <c r="A82" s="25" t="s">
        <v>141</v>
      </c>
      <c r="B82" s="25" t="s">
        <v>31</v>
      </c>
      <c r="C82" s="26">
        <f t="shared" ref="C82:H82" si="59">SUM(C74:C81)</f>
        <v>0</v>
      </c>
      <c r="D82" s="26">
        <f t="shared" si="59"/>
        <v>0</v>
      </c>
      <c r="E82" s="26">
        <f t="shared" si="59"/>
        <v>0</v>
      </c>
      <c r="F82" s="26">
        <f t="shared" si="59"/>
        <v>0</v>
      </c>
      <c r="G82" s="26">
        <f t="shared" si="59"/>
        <v>0</v>
      </c>
      <c r="H82" s="26">
        <f t="shared" si="59"/>
        <v>-85</v>
      </c>
      <c r="I82" s="26">
        <f t="shared" ref="I82:AC82" si="60">SUM(I74:I81)</f>
        <v>-241</v>
      </c>
      <c r="J82" s="26">
        <f t="shared" si="60"/>
        <v>-241</v>
      </c>
      <c r="K82" s="26">
        <f t="shared" si="60"/>
        <v>-241</v>
      </c>
      <c r="L82" s="26">
        <f t="shared" si="60"/>
        <v>-241</v>
      </c>
      <c r="M82" s="26">
        <f t="shared" si="60"/>
        <v>-780</v>
      </c>
      <c r="N82" s="26">
        <f t="shared" si="60"/>
        <v>-780</v>
      </c>
      <c r="O82" s="26">
        <f t="shared" si="60"/>
        <v>-781</v>
      </c>
      <c r="P82" s="129">
        <f t="shared" si="60"/>
        <v>-782</v>
      </c>
      <c r="Q82" s="129">
        <f t="shared" si="60"/>
        <v>-671</v>
      </c>
      <c r="R82" s="129">
        <f t="shared" si="60"/>
        <v>-670</v>
      </c>
      <c r="S82" s="129">
        <f t="shared" si="60"/>
        <v>-475</v>
      </c>
      <c r="T82" s="129">
        <f t="shared" si="60"/>
        <v>-474</v>
      </c>
      <c r="U82" s="129">
        <f t="shared" si="60"/>
        <v>-328</v>
      </c>
      <c r="V82" s="129">
        <f t="shared" si="60"/>
        <v>0</v>
      </c>
      <c r="W82" s="129">
        <f t="shared" si="60"/>
        <v>0</v>
      </c>
      <c r="X82" s="129">
        <f t="shared" si="60"/>
        <v>0</v>
      </c>
      <c r="Y82" s="129">
        <f t="shared" si="60"/>
        <v>0</v>
      </c>
      <c r="Z82" s="129">
        <f t="shared" si="60"/>
        <v>0</v>
      </c>
      <c r="AA82" s="347">
        <f t="shared" si="60"/>
        <v>0</v>
      </c>
      <c r="AB82" s="83">
        <f t="shared" si="60"/>
        <v>0</v>
      </c>
      <c r="AC82" s="83">
        <f t="shared" si="60"/>
        <v>0</v>
      </c>
      <c r="AD82" s="83">
        <f t="shared" ref="AD82:AE82" si="61">SUM(AD74:AD81)</f>
        <v>0</v>
      </c>
      <c r="AE82" s="244">
        <f t="shared" si="61"/>
        <v>0</v>
      </c>
      <c r="AF82" s="39"/>
      <c r="AG82" s="39"/>
      <c r="AH82" s="39"/>
      <c r="AI82" s="39"/>
      <c r="AJ82" s="39"/>
      <c r="AK82" s="39"/>
      <c r="AL82" s="39"/>
      <c r="AM82" s="39"/>
      <c r="AW82" s="185"/>
    </row>
    <row r="84" spans="1:49" x14ac:dyDescent="0.2">
      <c r="A84" s="28" t="s">
        <v>142</v>
      </c>
    </row>
    <row r="85" spans="1:49" x14ac:dyDescent="0.2">
      <c r="A85" t="s">
        <v>143</v>
      </c>
      <c r="B85" t="s">
        <v>66</v>
      </c>
      <c r="C85" s="22">
        <f>+C69</f>
        <v>111</v>
      </c>
      <c r="D85" s="22">
        <f t="shared" ref="D85:Y85" si="62">+D69</f>
        <v>61</v>
      </c>
      <c r="E85" s="22">
        <f t="shared" si="62"/>
        <v>257</v>
      </c>
      <c r="F85" s="22">
        <f t="shared" si="62"/>
        <v>148</v>
      </c>
      <c r="G85" s="22">
        <f t="shared" si="62"/>
        <v>293</v>
      </c>
      <c r="H85" s="22">
        <f t="shared" si="62"/>
        <v>465</v>
      </c>
      <c r="I85" s="22">
        <f t="shared" si="62"/>
        <v>680</v>
      </c>
      <c r="J85" s="22">
        <f t="shared" si="62"/>
        <v>892</v>
      </c>
      <c r="K85" s="22">
        <f t="shared" si="62"/>
        <v>1211</v>
      </c>
      <c r="L85" s="22">
        <f t="shared" si="62"/>
        <v>1376</v>
      </c>
      <c r="M85" s="22">
        <f t="shared" si="62"/>
        <v>1250</v>
      </c>
      <c r="N85" s="22">
        <f t="shared" si="62"/>
        <v>1273</v>
      </c>
      <c r="O85" s="22">
        <f t="shared" si="62"/>
        <v>1225</v>
      </c>
      <c r="P85" s="106">
        <f t="shared" si="62"/>
        <v>1248</v>
      </c>
      <c r="Q85" s="106">
        <f t="shared" si="62"/>
        <v>1138</v>
      </c>
      <c r="R85" s="106">
        <f t="shared" si="62"/>
        <v>1140</v>
      </c>
      <c r="S85" s="106">
        <f t="shared" si="62"/>
        <v>1185</v>
      </c>
      <c r="T85" s="106">
        <f>+T69</f>
        <v>1587</v>
      </c>
      <c r="U85" s="106">
        <f t="shared" si="62"/>
        <v>1244</v>
      </c>
      <c r="V85" s="106">
        <f t="shared" si="62"/>
        <v>587</v>
      </c>
      <c r="W85" s="106">
        <f>+W69</f>
        <v>490</v>
      </c>
      <c r="X85" s="106">
        <f t="shared" si="62"/>
        <v>181</v>
      </c>
      <c r="Y85" s="106">
        <f t="shared" si="62"/>
        <v>-70</v>
      </c>
      <c r="Z85" s="106">
        <f t="shared" ref="Z85:AE85" si="63">+Z69</f>
        <v>312</v>
      </c>
      <c r="AA85" s="349">
        <f t="shared" si="63"/>
        <v>723</v>
      </c>
      <c r="AB85" s="85">
        <f t="shared" si="63"/>
        <v>1364</v>
      </c>
      <c r="AC85" s="85">
        <f t="shared" si="63"/>
        <v>1759</v>
      </c>
      <c r="AD85" s="85">
        <f t="shared" si="63"/>
        <v>2071</v>
      </c>
      <c r="AE85" s="246">
        <f t="shared" si="63"/>
        <v>2353</v>
      </c>
      <c r="AF85" s="22"/>
      <c r="AG85" s="22"/>
      <c r="AH85" s="22"/>
      <c r="AI85" s="22"/>
      <c r="AJ85" s="22"/>
      <c r="AK85" s="22"/>
      <c r="AL85" s="22"/>
      <c r="AM85" s="22"/>
    </row>
    <row r="86" spans="1:49" x14ac:dyDescent="0.2">
      <c r="A86" t="s">
        <v>144</v>
      </c>
      <c r="B86" t="s">
        <v>66</v>
      </c>
      <c r="C86" s="38">
        <f>+C82</f>
        <v>0</v>
      </c>
      <c r="D86" s="38">
        <f t="shared" ref="D86:Y86" si="64">+D82</f>
        <v>0</v>
      </c>
      <c r="E86" s="38">
        <f t="shared" si="64"/>
        <v>0</v>
      </c>
      <c r="F86" s="38">
        <f t="shared" si="64"/>
        <v>0</v>
      </c>
      <c r="G86" s="38">
        <f t="shared" si="64"/>
        <v>0</v>
      </c>
      <c r="H86" s="38">
        <f t="shared" si="64"/>
        <v>-85</v>
      </c>
      <c r="I86" s="38">
        <f t="shared" si="64"/>
        <v>-241</v>
      </c>
      <c r="J86" s="38">
        <f t="shared" si="64"/>
        <v>-241</v>
      </c>
      <c r="K86" s="38">
        <f t="shared" si="64"/>
        <v>-241</v>
      </c>
      <c r="L86" s="38">
        <f t="shared" si="64"/>
        <v>-241</v>
      </c>
      <c r="M86" s="38">
        <f t="shared" si="64"/>
        <v>-780</v>
      </c>
      <c r="N86" s="38">
        <f t="shared" si="64"/>
        <v>-780</v>
      </c>
      <c r="O86" s="38">
        <f t="shared" si="64"/>
        <v>-781</v>
      </c>
      <c r="P86" s="137">
        <f t="shared" si="64"/>
        <v>-782</v>
      </c>
      <c r="Q86" s="137">
        <f t="shared" si="64"/>
        <v>-671</v>
      </c>
      <c r="R86" s="137">
        <f t="shared" si="64"/>
        <v>-670</v>
      </c>
      <c r="S86" s="137">
        <f t="shared" si="64"/>
        <v>-475</v>
      </c>
      <c r="T86" s="137">
        <f t="shared" si="64"/>
        <v>-474</v>
      </c>
      <c r="U86" s="137">
        <f t="shared" si="64"/>
        <v>-328</v>
      </c>
      <c r="V86" s="137">
        <f t="shared" si="64"/>
        <v>0</v>
      </c>
      <c r="W86" s="137">
        <f t="shared" si="64"/>
        <v>0</v>
      </c>
      <c r="X86" s="137">
        <f t="shared" si="64"/>
        <v>0</v>
      </c>
      <c r="Y86" s="137">
        <f t="shared" si="64"/>
        <v>0</v>
      </c>
      <c r="Z86" s="137">
        <f t="shared" ref="Z86:AE86" si="65">+Z82</f>
        <v>0</v>
      </c>
      <c r="AA86" s="356">
        <f t="shared" si="65"/>
        <v>0</v>
      </c>
      <c r="AB86" s="92">
        <f t="shared" si="65"/>
        <v>0</v>
      </c>
      <c r="AC86" s="92">
        <f t="shared" si="65"/>
        <v>0</v>
      </c>
      <c r="AD86" s="92">
        <f t="shared" si="65"/>
        <v>0</v>
      </c>
      <c r="AE86" s="254">
        <f t="shared" si="65"/>
        <v>0</v>
      </c>
      <c r="AF86" s="74"/>
      <c r="AG86" s="74"/>
      <c r="AH86" s="74"/>
      <c r="AI86" s="74"/>
      <c r="AJ86" s="74"/>
      <c r="AK86" s="74"/>
      <c r="AL86" s="74"/>
      <c r="AM86" s="74"/>
    </row>
    <row r="87" spans="1:49" s="18" customFormat="1" ht="16.5" thickBot="1" x14ac:dyDescent="0.3">
      <c r="A87" s="18" t="s">
        <v>136</v>
      </c>
      <c r="C87" s="27">
        <f>SUM(C85:C86)</f>
        <v>111</v>
      </c>
      <c r="D87" s="27">
        <f t="shared" ref="D87:AC87" si="66">SUM(D85:D86)</f>
        <v>61</v>
      </c>
      <c r="E87" s="27">
        <f t="shared" si="66"/>
        <v>257</v>
      </c>
      <c r="F87" s="27">
        <f t="shared" si="66"/>
        <v>148</v>
      </c>
      <c r="G87" s="27">
        <f t="shared" si="66"/>
        <v>293</v>
      </c>
      <c r="H87" s="27">
        <f t="shared" si="66"/>
        <v>380</v>
      </c>
      <c r="I87" s="27">
        <f t="shared" si="66"/>
        <v>439</v>
      </c>
      <c r="J87" s="27">
        <f t="shared" si="66"/>
        <v>651</v>
      </c>
      <c r="K87" s="27">
        <f t="shared" si="66"/>
        <v>970</v>
      </c>
      <c r="L87" s="27">
        <f t="shared" si="66"/>
        <v>1135</v>
      </c>
      <c r="M87" s="27">
        <f t="shared" si="66"/>
        <v>470</v>
      </c>
      <c r="N87" s="27">
        <f t="shared" si="66"/>
        <v>493</v>
      </c>
      <c r="O87" s="27">
        <f t="shared" si="66"/>
        <v>444</v>
      </c>
      <c r="P87" s="138">
        <f t="shared" si="66"/>
        <v>466</v>
      </c>
      <c r="Q87" s="138">
        <f t="shared" si="66"/>
        <v>467</v>
      </c>
      <c r="R87" s="138">
        <f t="shared" si="66"/>
        <v>470</v>
      </c>
      <c r="S87" s="138">
        <f t="shared" si="66"/>
        <v>710</v>
      </c>
      <c r="T87" s="138">
        <f>SUM(T85:T86)</f>
        <v>1113</v>
      </c>
      <c r="U87" s="138">
        <f t="shared" si="66"/>
        <v>916</v>
      </c>
      <c r="V87" s="138">
        <f t="shared" si="66"/>
        <v>587</v>
      </c>
      <c r="W87" s="138">
        <f t="shared" si="66"/>
        <v>490</v>
      </c>
      <c r="X87" s="138">
        <f t="shared" si="66"/>
        <v>181</v>
      </c>
      <c r="Y87" s="138">
        <f t="shared" si="66"/>
        <v>-70</v>
      </c>
      <c r="Z87" s="138">
        <f t="shared" si="66"/>
        <v>312</v>
      </c>
      <c r="AA87" s="357">
        <f t="shared" si="66"/>
        <v>723</v>
      </c>
      <c r="AB87" s="93">
        <f t="shared" si="66"/>
        <v>1364</v>
      </c>
      <c r="AC87" s="93">
        <f t="shared" si="66"/>
        <v>1759</v>
      </c>
      <c r="AD87" s="93">
        <f t="shared" ref="AD87:AE87" si="67">SUM(AD85:AD86)</f>
        <v>2071</v>
      </c>
      <c r="AE87" s="255">
        <f t="shared" si="67"/>
        <v>2353</v>
      </c>
      <c r="AF87" s="75"/>
      <c r="AG87" s="75"/>
      <c r="AH87" s="75"/>
      <c r="AI87" s="75"/>
      <c r="AJ87" s="75"/>
      <c r="AK87" s="75"/>
      <c r="AL87" s="75"/>
      <c r="AM87" s="75"/>
      <c r="AW87" s="177"/>
    </row>
    <row r="88" spans="1:49" ht="13.5" thickTop="1" x14ac:dyDescent="0.2"/>
    <row r="90" spans="1:49" x14ac:dyDescent="0.2">
      <c r="A90" s="28" t="s">
        <v>145</v>
      </c>
    </row>
    <row r="91" spans="1:49" x14ac:dyDescent="0.2">
      <c r="A91" t="s">
        <v>147</v>
      </c>
      <c r="C91" s="22">
        <f t="shared" ref="C91:M91" si="68">+C37</f>
        <v>1554.4300000000003</v>
      </c>
      <c r="D91" s="22">
        <f t="shared" si="68"/>
        <v>858.42250000000058</v>
      </c>
      <c r="E91" s="22">
        <f t="shared" si="68"/>
        <v>3601.5162499999969</v>
      </c>
      <c r="F91" s="22">
        <f t="shared" si="68"/>
        <v>2070.3037499999955</v>
      </c>
      <c r="G91" s="22">
        <f t="shared" si="68"/>
        <v>4106.6912499999999</v>
      </c>
      <c r="H91" s="22">
        <f t="shared" si="68"/>
        <v>6512.3662500000028</v>
      </c>
      <c r="I91" s="22">
        <f t="shared" si="68"/>
        <v>9312.8549999999996</v>
      </c>
      <c r="J91" s="22">
        <f t="shared" si="68"/>
        <v>12065.997500000001</v>
      </c>
      <c r="K91" s="22">
        <f t="shared" si="68"/>
        <v>16532.279999999995</v>
      </c>
      <c r="L91" s="22">
        <f t="shared" si="68"/>
        <v>18847.434999999994</v>
      </c>
      <c r="M91" s="22">
        <f t="shared" si="68"/>
        <v>17208.714999999993</v>
      </c>
      <c r="N91" s="22">
        <f t="shared" ref="N91:S91" si="69">+N37</f>
        <v>17489.434999999994</v>
      </c>
      <c r="O91" s="22">
        <f t="shared" si="69"/>
        <v>16866.274999999991</v>
      </c>
      <c r="P91" s="106">
        <f t="shared" si="69"/>
        <v>17163.049999999985</v>
      </c>
      <c r="Q91" s="106">
        <f t="shared" si="69"/>
        <v>16560.599999999988</v>
      </c>
      <c r="R91" s="106">
        <f t="shared" si="69"/>
        <v>19820.149999999991</v>
      </c>
      <c r="S91" s="106">
        <f t="shared" si="69"/>
        <v>23875.801249999986</v>
      </c>
      <c r="T91" s="106">
        <f t="shared" ref="T91:Y91" si="70">+T37</f>
        <v>21102.976249999989</v>
      </c>
      <c r="U91" s="106">
        <f t="shared" si="70"/>
        <v>17337.679999999989</v>
      </c>
      <c r="V91" s="106">
        <f>+V37</f>
        <v>18915.935353428558</v>
      </c>
      <c r="W91" s="106">
        <f>+W37</f>
        <v>14565.11210442855</v>
      </c>
      <c r="X91" s="106">
        <f t="shared" si="70"/>
        <v>15568.941333450868</v>
      </c>
      <c r="Y91" s="106">
        <f t="shared" si="70"/>
        <v>21674.312070450858</v>
      </c>
      <c r="Z91" s="106">
        <f t="shared" ref="Z91:AE91" si="71">+Z37</f>
        <v>27915.146620450872</v>
      </c>
      <c r="AA91" s="349">
        <f t="shared" si="71"/>
        <v>37009.558623450896</v>
      </c>
      <c r="AB91" s="85">
        <f t="shared" si="71"/>
        <v>43388.298907988137</v>
      </c>
      <c r="AC91" s="85">
        <f t="shared" si="71"/>
        <v>48157.794516604292</v>
      </c>
      <c r="AD91" s="85">
        <f t="shared" si="71"/>
        <v>51749.756768374515</v>
      </c>
      <c r="AE91" s="246">
        <f t="shared" si="71"/>
        <v>53875.493050398989</v>
      </c>
    </row>
    <row r="92" spans="1:49" x14ac:dyDescent="0.2">
      <c r="A92" t="s">
        <v>149</v>
      </c>
      <c r="C92" s="22">
        <f>-SUM($C$69:C69)</f>
        <v>-111</v>
      </c>
      <c r="D92" s="22">
        <f>-SUM($C$69:D69)</f>
        <v>-172</v>
      </c>
      <c r="E92" s="22">
        <f>-SUM($C$69:E69)</f>
        <v>-429</v>
      </c>
      <c r="F92" s="22">
        <f>-SUM($C$69:F69)</f>
        <v>-577</v>
      </c>
      <c r="G92" s="22">
        <f>-SUM($C$69:G69)</f>
        <v>-870</v>
      </c>
      <c r="H92" s="22">
        <f>-SUM($C$69:H69)</f>
        <v>-1335</v>
      </c>
      <c r="I92" s="22">
        <f>-SUM($C$69:I69)</f>
        <v>-2015</v>
      </c>
      <c r="J92" s="22">
        <f>-SUM($C$69:J69)</f>
        <v>-2907</v>
      </c>
      <c r="K92" s="22">
        <f>-SUM($C$69:K69)</f>
        <v>-4118</v>
      </c>
      <c r="L92" s="22">
        <f>-SUM($C$69:L69)</f>
        <v>-5494</v>
      </c>
      <c r="M92" s="22">
        <f>-SUM($C$69:M69)-1</f>
        <v>-6745</v>
      </c>
      <c r="N92" s="22">
        <f>-SUM($C$69:N69)</f>
        <v>-8017</v>
      </c>
      <c r="O92" s="22">
        <f>-SUM($C$69:O69)</f>
        <v>-9242</v>
      </c>
      <c r="P92" s="106">
        <f>-SUM($C$69:P69)</f>
        <v>-10490</v>
      </c>
      <c r="Q92" s="106">
        <f>-SUM($C$69:Q69)</f>
        <v>-11628</v>
      </c>
      <c r="R92" s="106">
        <f>-SUM($C$69:R69)</f>
        <v>-12768</v>
      </c>
      <c r="S92" s="106">
        <f>-SUM($C$69:S69)</f>
        <v>-13953</v>
      </c>
      <c r="T92" s="106">
        <f>-SUM($C$69:T69)</f>
        <v>-15540</v>
      </c>
      <c r="U92" s="106">
        <f>-SUM($C$69:U69)</f>
        <v>-16784</v>
      </c>
      <c r="V92" s="106">
        <f>-SUM($C$69:V69)</f>
        <v>-17371</v>
      </c>
      <c r="W92" s="106">
        <f>-SUM($C$69:W69)</f>
        <v>-17861</v>
      </c>
      <c r="X92" s="106">
        <f>-SUM($C$69:X69)</f>
        <v>-18042</v>
      </c>
      <c r="Y92" s="106">
        <f>-SUM($C$69:Y69)</f>
        <v>-17972</v>
      </c>
      <c r="Z92" s="106">
        <f>-SUM($C$69:Z69)</f>
        <v>-18284</v>
      </c>
      <c r="AA92" s="349">
        <f>-SUM($C$69:AA69)</f>
        <v>-19007</v>
      </c>
      <c r="AB92" s="85">
        <f>-SUM($C$69:AB69)</f>
        <v>-20371</v>
      </c>
      <c r="AC92" s="85">
        <f>-SUM($C$69:AC69)</f>
        <v>-22130</v>
      </c>
      <c r="AD92" s="85">
        <f>-SUM($C$69:AD69)</f>
        <v>-24201</v>
      </c>
      <c r="AE92" s="246">
        <f>-SUM($C$69:AE69)</f>
        <v>-26554</v>
      </c>
    </row>
    <row r="93" spans="1:49" x14ac:dyDescent="0.2">
      <c r="A93" t="s">
        <v>150</v>
      </c>
      <c r="C93" s="22">
        <f>-SUM($C$71:C71)</f>
        <v>0</v>
      </c>
      <c r="D93" s="22">
        <f>-SUM($C$71:D71)</f>
        <v>0</v>
      </c>
      <c r="E93" s="22">
        <f>-SUM($C$71:E71)</f>
        <v>0</v>
      </c>
      <c r="F93" s="22">
        <f>-SUM($C$71:F71)</f>
        <v>0</v>
      </c>
      <c r="G93" s="22">
        <f>-SUM($C$71:G71)</f>
        <v>0</v>
      </c>
      <c r="H93" s="22">
        <f>-SUM($C$71:H71)</f>
        <v>-758</v>
      </c>
      <c r="I93" s="22">
        <f>-SUM($C$71:I71)</f>
        <v>-2271</v>
      </c>
      <c r="J93" s="22">
        <f>-SUM($C$71:J71)</f>
        <v>-2271</v>
      </c>
      <c r="K93" s="22">
        <f>-SUM($C$71:K71)</f>
        <v>-2271</v>
      </c>
      <c r="L93" s="22">
        <f>-SUM($C$71:L71)</f>
        <v>-2271</v>
      </c>
      <c r="M93" s="22">
        <f>-SUM($C$71:M71)</f>
        <v>-6790</v>
      </c>
      <c r="N93" s="22">
        <f>-SUM($C$71:N71)</f>
        <v>-6790</v>
      </c>
      <c r="O93" s="22">
        <f>-SUM($C$71:O71)</f>
        <v>-6790</v>
      </c>
      <c r="P93" s="106">
        <f>-SUM($C$71:P71)</f>
        <v>-6790</v>
      </c>
      <c r="Q93" s="106">
        <f>-SUM($C$71:Q71)</f>
        <v>-6790</v>
      </c>
      <c r="R93" s="106">
        <f>-SUM($C$71:R71)</f>
        <v>-6790</v>
      </c>
      <c r="S93" s="106">
        <f>-SUM($C$71:S71)</f>
        <v>-6790</v>
      </c>
      <c r="T93" s="106">
        <f>-SUM($C$71:T71)</f>
        <v>-6790</v>
      </c>
      <c r="U93" s="106">
        <f>-SUM($C$71:U71)</f>
        <v>-6790</v>
      </c>
      <c r="V93" s="106">
        <f>-SUM($C$71:V71)</f>
        <v>-6790</v>
      </c>
      <c r="W93" s="106">
        <f>-SUM($C$71:W71)</f>
        <v>-6790</v>
      </c>
      <c r="X93" s="106">
        <f>-SUM($C$71:X71)</f>
        <v>-6790</v>
      </c>
      <c r="Y93" s="106">
        <f>-SUM($C$71:Y71)</f>
        <v>-6790</v>
      </c>
      <c r="Z93" s="106">
        <f>-SUM($C$71:Z71)</f>
        <v>-6790</v>
      </c>
      <c r="AA93" s="349">
        <f>-SUM($C$71:AA71)</f>
        <v>-6790</v>
      </c>
      <c r="AB93" s="85">
        <f>-SUM($C$71:AB71)</f>
        <v>-6790</v>
      </c>
      <c r="AC93" s="85">
        <f>-SUM($C$71:AC71)</f>
        <v>-6790</v>
      </c>
      <c r="AD93" s="85">
        <f>-SUM($C$71:AD71)</f>
        <v>-6790</v>
      </c>
      <c r="AE93" s="246">
        <f>-SUM($C$71:AE71)</f>
        <v>-6790</v>
      </c>
    </row>
    <row r="94" spans="1:49" x14ac:dyDescent="0.2">
      <c r="A94" t="s">
        <v>151</v>
      </c>
      <c r="C94" s="38">
        <f>-C71</f>
        <v>0</v>
      </c>
      <c r="D94" s="38">
        <f>-SUM($C$82:D82)</f>
        <v>0</v>
      </c>
      <c r="E94" s="38">
        <f>-SUM($C$82:E82)</f>
        <v>0</v>
      </c>
      <c r="F94" s="38">
        <f>-SUM($C$82:F82)</f>
        <v>0</v>
      </c>
      <c r="G94" s="38">
        <f>-SUM($C$82:G82)</f>
        <v>0</v>
      </c>
      <c r="H94" s="38">
        <f>-SUM($C$82:H82)</f>
        <v>85</v>
      </c>
      <c r="I94" s="38">
        <f>-SUM($C$82:I82)</f>
        <v>326</v>
      </c>
      <c r="J94" s="38">
        <f>-SUM($C$82:J82)</f>
        <v>567</v>
      </c>
      <c r="K94" s="38">
        <f>-SUM($C$82:K82)</f>
        <v>808</v>
      </c>
      <c r="L94" s="38">
        <f>-SUM($C$82:L82)</f>
        <v>1049</v>
      </c>
      <c r="M94" s="38">
        <f>-SUM($C$82:M82)</f>
        <v>1829</v>
      </c>
      <c r="N94" s="38">
        <f>-SUM($C$82:N82)</f>
        <v>2609</v>
      </c>
      <c r="O94" s="38">
        <f>-SUM($C$82:O82)</f>
        <v>3390</v>
      </c>
      <c r="P94" s="137">
        <f>-SUM($C$82:P82)</f>
        <v>4172</v>
      </c>
      <c r="Q94" s="137">
        <f>-SUM($C$82:Q82)</f>
        <v>4843</v>
      </c>
      <c r="R94" s="137">
        <f>-SUM($C$82:R82)</f>
        <v>5513</v>
      </c>
      <c r="S94" s="137">
        <f>-SUM($C$82:S82)</f>
        <v>5988</v>
      </c>
      <c r="T94" s="137">
        <f>-SUM($C$82:T82)</f>
        <v>6462</v>
      </c>
      <c r="U94" s="137">
        <f>-SUM($C$82:U82)</f>
        <v>6790</v>
      </c>
      <c r="V94" s="137">
        <f>-SUM($C$82:V82)</f>
        <v>6790</v>
      </c>
      <c r="W94" s="137">
        <f>-SUM($C$82:W82)</f>
        <v>6790</v>
      </c>
      <c r="X94" s="137">
        <f>-SUM($C$82:X82)</f>
        <v>6790</v>
      </c>
      <c r="Y94" s="137">
        <f>-SUM($C$82:Y82)</f>
        <v>6790</v>
      </c>
      <c r="Z94" s="137">
        <f>-SUM($C$82:Z82)</f>
        <v>6790</v>
      </c>
      <c r="AA94" s="356">
        <f>-SUM($C$82:AA82)</f>
        <v>6790</v>
      </c>
      <c r="AB94" s="92">
        <f>-SUM($C$82:AB82)</f>
        <v>6790</v>
      </c>
      <c r="AC94" s="92">
        <f>-SUM($C$82:AC82)</f>
        <v>6790</v>
      </c>
      <c r="AD94" s="92">
        <f>-SUM($C$82:AD82)</f>
        <v>6790</v>
      </c>
      <c r="AE94" s="254">
        <f>-SUM($C$82:AE82)</f>
        <v>6790</v>
      </c>
    </row>
    <row r="95" spans="1:49" s="18" customFormat="1" ht="16.5" thickBot="1" x14ac:dyDescent="0.3">
      <c r="A95" s="18" t="s">
        <v>148</v>
      </c>
      <c r="C95" s="27">
        <f t="shared" ref="C95:P95" si="72">SUM(C91:C94)</f>
        <v>1443.4300000000003</v>
      </c>
      <c r="D95" s="27">
        <f t="shared" si="72"/>
        <v>686.42250000000058</v>
      </c>
      <c r="E95" s="27">
        <f t="shared" si="72"/>
        <v>3172.5162499999969</v>
      </c>
      <c r="F95" s="27">
        <f t="shared" si="72"/>
        <v>1493.3037499999955</v>
      </c>
      <c r="G95" s="27">
        <f t="shared" si="72"/>
        <v>3236.6912499999999</v>
      </c>
      <c r="H95" s="27">
        <f t="shared" si="72"/>
        <v>4504.3662500000028</v>
      </c>
      <c r="I95" s="27">
        <f t="shared" si="72"/>
        <v>5352.8549999999996</v>
      </c>
      <c r="J95" s="27">
        <f t="shared" si="72"/>
        <v>7454.9975000000013</v>
      </c>
      <c r="K95" s="27">
        <f t="shared" si="72"/>
        <v>10951.279999999995</v>
      </c>
      <c r="L95" s="27">
        <f t="shared" si="72"/>
        <v>12131.434999999994</v>
      </c>
      <c r="M95" s="27">
        <f t="shared" si="72"/>
        <v>5502.7149999999929</v>
      </c>
      <c r="N95" s="27">
        <f t="shared" si="72"/>
        <v>5291.434999999994</v>
      </c>
      <c r="O95" s="27">
        <f t="shared" si="72"/>
        <v>4224.2749999999905</v>
      </c>
      <c r="P95" s="138">
        <f t="shared" si="72"/>
        <v>4055.0499999999847</v>
      </c>
      <c r="Q95" s="138">
        <f t="shared" ref="Q95:AC95" si="73">SUM(Q91:Q94)</f>
        <v>2985.5999999999876</v>
      </c>
      <c r="R95" s="138">
        <f t="shared" si="73"/>
        <v>5775.1499999999905</v>
      </c>
      <c r="S95" s="138">
        <f t="shared" si="73"/>
        <v>9120.8012499999859</v>
      </c>
      <c r="T95" s="138">
        <f t="shared" si="73"/>
        <v>5234.9762499999888</v>
      </c>
      <c r="U95" s="138">
        <f t="shared" si="73"/>
        <v>553.67999999998938</v>
      </c>
      <c r="V95" s="138">
        <f t="shared" si="73"/>
        <v>1544.9353534285583</v>
      </c>
      <c r="W95" s="138">
        <f t="shared" si="73"/>
        <v>-3295.8878955714499</v>
      </c>
      <c r="X95" s="138">
        <f t="shared" si="73"/>
        <v>-2473.0586665491319</v>
      </c>
      <c r="Y95" s="138">
        <f t="shared" si="73"/>
        <v>3702.3120704508583</v>
      </c>
      <c r="Z95" s="138">
        <f t="shared" si="73"/>
        <v>9631.1466204508724</v>
      </c>
      <c r="AA95" s="357">
        <f t="shared" si="73"/>
        <v>18002.558623450896</v>
      </c>
      <c r="AB95" s="93">
        <f t="shared" si="73"/>
        <v>23017.298907988137</v>
      </c>
      <c r="AC95" s="93">
        <f t="shared" si="73"/>
        <v>26027.794516604292</v>
      </c>
      <c r="AD95" s="93">
        <f t="shared" ref="AD95:AE95" si="74">SUM(AD91:AD94)</f>
        <v>27548.756768374515</v>
      </c>
      <c r="AE95" s="255">
        <f t="shared" si="74"/>
        <v>27321.493050398989</v>
      </c>
      <c r="AW95" s="177"/>
    </row>
    <row r="96" spans="1:49" ht="13.5" thickTop="1" x14ac:dyDescent="0.2"/>
    <row r="97" spans="1:31" x14ac:dyDescent="0.2">
      <c r="A97" s="2" t="s">
        <v>298</v>
      </c>
    </row>
    <row r="98" spans="1:31" x14ac:dyDescent="0.2">
      <c r="A98" t="s">
        <v>299</v>
      </c>
      <c r="C98" s="22"/>
      <c r="D98" s="22">
        <f>C102</f>
        <v>1443.4300000000003</v>
      </c>
      <c r="E98" s="22">
        <f t="shared" ref="E98:M98" si="75">D102</f>
        <v>686.42250000000058</v>
      </c>
      <c r="F98" s="22">
        <f t="shared" si="75"/>
        <v>3172.5162499999969</v>
      </c>
      <c r="G98" s="22">
        <f t="shared" si="75"/>
        <v>1493.3037499999955</v>
      </c>
      <c r="H98" s="22">
        <f t="shared" si="75"/>
        <v>3236.6912499999999</v>
      </c>
      <c r="I98" s="22">
        <f t="shared" si="75"/>
        <v>4504.3662500000028</v>
      </c>
      <c r="J98" s="22">
        <f t="shared" si="75"/>
        <v>5352.8549999999996</v>
      </c>
      <c r="K98" s="22">
        <f t="shared" si="75"/>
        <v>7454.9975000000013</v>
      </c>
      <c r="L98" s="22">
        <f t="shared" si="75"/>
        <v>10951.279999999995</v>
      </c>
      <c r="M98" s="22">
        <f t="shared" si="75"/>
        <v>12131.434999999994</v>
      </c>
      <c r="N98" s="22">
        <f t="shared" ref="N98:AE98" si="76">M102</f>
        <v>5503.7149999999929</v>
      </c>
      <c r="O98" s="22">
        <f t="shared" si="76"/>
        <v>5291.434999999994</v>
      </c>
      <c r="P98" s="106">
        <f t="shared" si="76"/>
        <v>4224.2749999999905</v>
      </c>
      <c r="Q98" s="106">
        <f t="shared" si="76"/>
        <v>4055.0499999999847</v>
      </c>
      <c r="R98" s="106">
        <f t="shared" si="76"/>
        <v>2985.5999999999876</v>
      </c>
      <c r="S98" s="106">
        <f t="shared" si="76"/>
        <v>5775.1499999999905</v>
      </c>
      <c r="T98" s="106">
        <f>S102</f>
        <v>9120.8012499999859</v>
      </c>
      <c r="U98" s="106">
        <f t="shared" si="76"/>
        <v>5234.9762499999888</v>
      </c>
      <c r="V98" s="106">
        <f t="shared" si="76"/>
        <v>553.67999999998938</v>
      </c>
      <c r="W98" s="106">
        <f t="shared" si="76"/>
        <v>1544.9353534285583</v>
      </c>
      <c r="X98" s="106">
        <f t="shared" si="76"/>
        <v>-3295.8878955714499</v>
      </c>
      <c r="Y98" s="106">
        <f t="shared" si="76"/>
        <v>-2473.0586665491319</v>
      </c>
      <c r="Z98" s="106">
        <f t="shared" si="76"/>
        <v>3702.3120704508583</v>
      </c>
      <c r="AA98" s="349">
        <f t="shared" si="76"/>
        <v>9631.1466204508724</v>
      </c>
      <c r="AB98" s="85">
        <f t="shared" si="76"/>
        <v>18002.558623450892</v>
      </c>
      <c r="AC98" s="85">
        <f t="shared" si="76"/>
        <v>23017.298907988134</v>
      </c>
      <c r="AD98" s="85">
        <f t="shared" si="76"/>
        <v>26027.794516604288</v>
      </c>
      <c r="AE98" s="246">
        <f t="shared" si="76"/>
        <v>27548.756768374511</v>
      </c>
    </row>
    <row r="99" spans="1:31" x14ac:dyDescent="0.2">
      <c r="A99" t="s">
        <v>300</v>
      </c>
      <c r="C99" s="22">
        <f>-C87</f>
        <v>-111</v>
      </c>
      <c r="D99" s="22">
        <f>-D87</f>
        <v>-61</v>
      </c>
      <c r="E99" s="22">
        <f t="shared" ref="E99:N99" si="77">-E87</f>
        <v>-257</v>
      </c>
      <c r="F99" s="22">
        <f t="shared" si="77"/>
        <v>-148</v>
      </c>
      <c r="G99" s="22">
        <f t="shared" si="77"/>
        <v>-293</v>
      </c>
      <c r="H99" s="22">
        <f t="shared" si="77"/>
        <v>-380</v>
      </c>
      <c r="I99" s="22">
        <f t="shared" si="77"/>
        <v>-439</v>
      </c>
      <c r="J99" s="22">
        <f t="shared" si="77"/>
        <v>-651</v>
      </c>
      <c r="K99" s="22">
        <f t="shared" si="77"/>
        <v>-970</v>
      </c>
      <c r="L99" s="22">
        <f t="shared" si="77"/>
        <v>-1135</v>
      </c>
      <c r="M99" s="22">
        <f t="shared" si="77"/>
        <v>-470</v>
      </c>
      <c r="N99" s="22">
        <f t="shared" si="77"/>
        <v>-493</v>
      </c>
      <c r="O99" s="22">
        <f>-O87</f>
        <v>-444</v>
      </c>
      <c r="P99" s="106">
        <f>-P87</f>
        <v>-466</v>
      </c>
      <c r="Q99" s="106">
        <f>-Q87</f>
        <v>-467</v>
      </c>
      <c r="R99" s="106">
        <f>-R87</f>
        <v>-470</v>
      </c>
      <c r="S99" s="106">
        <f>-S87</f>
        <v>-710</v>
      </c>
      <c r="T99" s="106">
        <f t="shared" ref="T99:Y99" si="78">-T87</f>
        <v>-1113</v>
      </c>
      <c r="U99" s="106">
        <f t="shared" si="78"/>
        <v>-916</v>
      </c>
      <c r="V99" s="106">
        <f t="shared" si="78"/>
        <v>-587</v>
      </c>
      <c r="W99" s="106">
        <f t="shared" si="78"/>
        <v>-490</v>
      </c>
      <c r="X99" s="106">
        <f t="shared" si="78"/>
        <v>-181</v>
      </c>
      <c r="Y99" s="106">
        <f t="shared" si="78"/>
        <v>70</v>
      </c>
      <c r="Z99" s="106">
        <f t="shared" ref="Z99:AE99" si="79">-Z87</f>
        <v>-312</v>
      </c>
      <c r="AA99" s="349">
        <f t="shared" si="79"/>
        <v>-723</v>
      </c>
      <c r="AB99" s="85">
        <f t="shared" si="79"/>
        <v>-1364</v>
      </c>
      <c r="AC99" s="85">
        <f t="shared" si="79"/>
        <v>-1759</v>
      </c>
      <c r="AD99" s="85">
        <f t="shared" si="79"/>
        <v>-2071</v>
      </c>
      <c r="AE99" s="246">
        <f t="shared" si="79"/>
        <v>-2353</v>
      </c>
    </row>
    <row r="100" spans="1:31" x14ac:dyDescent="0.2">
      <c r="A100" t="s">
        <v>301</v>
      </c>
      <c r="C100" s="22">
        <f>C33</f>
        <v>1554.4300000000003</v>
      </c>
      <c r="D100" s="22">
        <f>D33</f>
        <v>-696.00749999999971</v>
      </c>
      <c r="E100" s="22">
        <f t="shared" ref="E100:N100" si="80">E33</f>
        <v>2743.0937499999964</v>
      </c>
      <c r="F100" s="22">
        <f t="shared" si="80"/>
        <v>-1531.2125000000015</v>
      </c>
      <c r="G100" s="22">
        <f t="shared" si="80"/>
        <v>2036.3875000000044</v>
      </c>
      <c r="H100" s="22">
        <f t="shared" si="80"/>
        <v>2405.6750000000029</v>
      </c>
      <c r="I100" s="22">
        <f t="shared" si="80"/>
        <v>2800.4887499999968</v>
      </c>
      <c r="J100" s="22">
        <f t="shared" si="80"/>
        <v>2753.1425000000017</v>
      </c>
      <c r="K100" s="22">
        <f t="shared" si="80"/>
        <v>4466.2824999999939</v>
      </c>
      <c r="L100" s="22">
        <f t="shared" si="80"/>
        <v>2315.1549999999988</v>
      </c>
      <c r="M100" s="22">
        <f t="shared" si="80"/>
        <v>-1638.7200000000012</v>
      </c>
      <c r="N100" s="22">
        <f t="shared" si="80"/>
        <v>280.72000000000116</v>
      </c>
      <c r="O100" s="22">
        <f>O33</f>
        <v>-623.16000000000349</v>
      </c>
      <c r="P100" s="106">
        <f>P33</f>
        <v>296.77499999999418</v>
      </c>
      <c r="Q100" s="106">
        <f>Q33</f>
        <v>-602.44999999999709</v>
      </c>
      <c r="R100" s="106">
        <f>R33</f>
        <v>3259.5500000000029</v>
      </c>
      <c r="S100" s="106">
        <f>S33</f>
        <v>4055.6512499999953</v>
      </c>
      <c r="T100" s="106">
        <f t="shared" ref="T100:Y100" si="81">T33</f>
        <v>-2772.8249999999971</v>
      </c>
      <c r="U100" s="106">
        <f t="shared" si="81"/>
        <v>-3765.2962499999994</v>
      </c>
      <c r="V100" s="106">
        <f t="shared" si="81"/>
        <v>1578.2553534285689</v>
      </c>
      <c r="W100" s="106">
        <f t="shared" si="81"/>
        <v>-4350.8232490000082</v>
      </c>
      <c r="X100" s="106">
        <f t="shared" si="81"/>
        <v>1003.829229022318</v>
      </c>
      <c r="Y100" s="106">
        <f t="shared" si="81"/>
        <v>6105.3707369999902</v>
      </c>
      <c r="Z100" s="106">
        <f t="shared" ref="Z100:AE100" si="82">Z33</f>
        <v>6240.8345500000141</v>
      </c>
      <c r="AA100" s="349">
        <f t="shared" si="82"/>
        <v>9094.4120030000195</v>
      </c>
      <c r="AB100" s="85">
        <f t="shared" si="82"/>
        <v>6378.7402845372417</v>
      </c>
      <c r="AC100" s="85">
        <f t="shared" si="82"/>
        <v>4769.4956086161546</v>
      </c>
      <c r="AD100" s="85">
        <f t="shared" si="82"/>
        <v>3591.9622517702228</v>
      </c>
      <c r="AE100" s="246">
        <f t="shared" si="82"/>
        <v>2125.7362820244743</v>
      </c>
    </row>
    <row r="101" spans="1:31" x14ac:dyDescent="0.2">
      <c r="A101" t="s">
        <v>302</v>
      </c>
      <c r="C101" s="22">
        <f t="shared" ref="C101:H101" si="83">-C71</f>
        <v>0</v>
      </c>
      <c r="D101" s="22">
        <f t="shared" si="83"/>
        <v>0</v>
      </c>
      <c r="E101" s="22">
        <f t="shared" si="83"/>
        <v>0</v>
      </c>
      <c r="F101" s="22">
        <f t="shared" si="83"/>
        <v>0</v>
      </c>
      <c r="G101" s="22">
        <f t="shared" si="83"/>
        <v>0</v>
      </c>
      <c r="H101" s="22">
        <f t="shared" si="83"/>
        <v>-758</v>
      </c>
      <c r="I101" s="22">
        <f t="shared" ref="I101:N101" si="84">-I71</f>
        <v>-1513</v>
      </c>
      <c r="J101" s="22">
        <f t="shared" si="84"/>
        <v>0</v>
      </c>
      <c r="K101" s="22">
        <f t="shared" si="84"/>
        <v>0</v>
      </c>
      <c r="L101" s="22">
        <f t="shared" si="84"/>
        <v>0</v>
      </c>
      <c r="M101" s="22">
        <f t="shared" si="84"/>
        <v>-4519</v>
      </c>
      <c r="N101" s="22">
        <f t="shared" si="84"/>
        <v>0</v>
      </c>
      <c r="O101" s="22">
        <f t="shared" ref="O101:T101" si="85">-O71</f>
        <v>0</v>
      </c>
      <c r="P101" s="106">
        <f t="shared" si="85"/>
        <v>0</v>
      </c>
      <c r="Q101" s="106">
        <f t="shared" si="85"/>
        <v>0</v>
      </c>
      <c r="R101" s="106">
        <f t="shared" si="85"/>
        <v>0</v>
      </c>
      <c r="S101" s="106">
        <f t="shared" si="85"/>
        <v>0</v>
      </c>
      <c r="T101" s="106">
        <f t="shared" si="85"/>
        <v>0</v>
      </c>
      <c r="U101" s="106">
        <f t="shared" ref="U101:Z101" si="86">-U71</f>
        <v>0</v>
      </c>
      <c r="V101" s="106">
        <f t="shared" si="86"/>
        <v>0</v>
      </c>
      <c r="W101" s="106">
        <f t="shared" si="86"/>
        <v>0</v>
      </c>
      <c r="X101" s="106">
        <f t="shared" si="86"/>
        <v>0</v>
      </c>
      <c r="Y101" s="106">
        <f t="shared" si="86"/>
        <v>0</v>
      </c>
      <c r="Z101" s="106">
        <f t="shared" si="86"/>
        <v>0</v>
      </c>
      <c r="AA101" s="349">
        <f>-AA71</f>
        <v>0</v>
      </c>
      <c r="AB101" s="85">
        <f>-AB71</f>
        <v>0</v>
      </c>
      <c r="AC101" s="85">
        <f>-AC71</f>
        <v>0</v>
      </c>
      <c r="AD101" s="85">
        <f>-AD71</f>
        <v>0</v>
      </c>
      <c r="AE101" s="246">
        <f>-AE71</f>
        <v>0</v>
      </c>
    </row>
    <row r="102" spans="1:31" ht="13.5" thickBot="1" x14ac:dyDescent="0.25">
      <c r="A102" t="s">
        <v>303</v>
      </c>
      <c r="C102" s="66">
        <f>SUM(C98:C101)</f>
        <v>1443.4300000000003</v>
      </c>
      <c r="D102" s="66">
        <f>SUM(D98:D101)</f>
        <v>686.42250000000058</v>
      </c>
      <c r="E102" s="66">
        <f t="shared" ref="E102:P102" si="87">SUM(E98:E101)</f>
        <v>3172.5162499999969</v>
      </c>
      <c r="F102" s="66">
        <f t="shared" si="87"/>
        <v>1493.3037499999955</v>
      </c>
      <c r="G102" s="66">
        <f t="shared" si="87"/>
        <v>3236.6912499999999</v>
      </c>
      <c r="H102" s="66">
        <f t="shared" si="87"/>
        <v>4504.3662500000028</v>
      </c>
      <c r="I102" s="66">
        <f t="shared" si="87"/>
        <v>5352.8549999999996</v>
      </c>
      <c r="J102" s="66">
        <f t="shared" si="87"/>
        <v>7454.9975000000013</v>
      </c>
      <c r="K102" s="66">
        <f t="shared" si="87"/>
        <v>10951.279999999995</v>
      </c>
      <c r="L102" s="66">
        <f t="shared" si="87"/>
        <v>12131.434999999994</v>
      </c>
      <c r="M102" s="66">
        <f t="shared" si="87"/>
        <v>5503.7149999999929</v>
      </c>
      <c r="N102" s="66">
        <f t="shared" si="87"/>
        <v>5291.434999999994</v>
      </c>
      <c r="O102" s="66">
        <f t="shared" si="87"/>
        <v>4224.2749999999905</v>
      </c>
      <c r="P102" s="139">
        <f t="shared" si="87"/>
        <v>4055.0499999999847</v>
      </c>
      <c r="Q102" s="139">
        <f t="shared" ref="Q102:AC102" si="88">SUM(Q98:Q101)</f>
        <v>2985.5999999999876</v>
      </c>
      <c r="R102" s="139">
        <f t="shared" si="88"/>
        <v>5775.1499999999905</v>
      </c>
      <c r="S102" s="139">
        <f t="shared" si="88"/>
        <v>9120.8012499999859</v>
      </c>
      <c r="T102" s="139">
        <f t="shared" si="88"/>
        <v>5234.9762499999888</v>
      </c>
      <c r="U102" s="139">
        <f t="shared" si="88"/>
        <v>553.67999999998938</v>
      </c>
      <c r="V102" s="139">
        <f t="shared" si="88"/>
        <v>1544.9353534285583</v>
      </c>
      <c r="W102" s="139">
        <f t="shared" si="88"/>
        <v>-3295.8878955714499</v>
      </c>
      <c r="X102" s="139">
        <f t="shared" si="88"/>
        <v>-2473.0586665491319</v>
      </c>
      <c r="Y102" s="139">
        <f t="shared" si="88"/>
        <v>3702.3120704508583</v>
      </c>
      <c r="Z102" s="139">
        <f t="shared" si="88"/>
        <v>9631.1466204508724</v>
      </c>
      <c r="AA102" s="358">
        <f t="shared" si="88"/>
        <v>18002.558623450892</v>
      </c>
      <c r="AB102" s="94">
        <f t="shared" si="88"/>
        <v>23017.298907988134</v>
      </c>
      <c r="AC102" s="94">
        <f t="shared" si="88"/>
        <v>26027.794516604288</v>
      </c>
      <c r="AD102" s="94">
        <f t="shared" ref="AD102:AE102" si="89">SUM(AD98:AD101)</f>
        <v>27548.756768374511</v>
      </c>
      <c r="AE102" s="256">
        <f t="shared" si="89"/>
        <v>27321.493050398985</v>
      </c>
    </row>
    <row r="103" spans="1:31" ht="13.5" thickTop="1" x14ac:dyDescent="0.2"/>
    <row r="104" spans="1:31" x14ac:dyDescent="0.2">
      <c r="H104" s="22">
        <f>H102-H95</f>
        <v>0</v>
      </c>
      <c r="M104" s="22">
        <f>M95-M102</f>
        <v>-1</v>
      </c>
      <c r="N104" s="22">
        <f>N95-N102</f>
        <v>0</v>
      </c>
      <c r="O104" s="22">
        <f>O95-O102</f>
        <v>0</v>
      </c>
      <c r="P104" s="106">
        <f>P95-P102</f>
        <v>0</v>
      </c>
      <c r="Q104" s="106">
        <f t="shared" ref="Q104:Z104" si="90">Q95-Q102</f>
        <v>0</v>
      </c>
      <c r="R104" s="106">
        <f t="shared" si="90"/>
        <v>0</v>
      </c>
      <c r="S104" s="106">
        <f t="shared" si="90"/>
        <v>0</v>
      </c>
      <c r="T104" s="106">
        <f t="shared" si="90"/>
        <v>0</v>
      </c>
      <c r="U104" s="106">
        <f t="shared" si="90"/>
        <v>0</v>
      </c>
      <c r="V104" s="106">
        <f t="shared" si="90"/>
        <v>0</v>
      </c>
      <c r="W104" s="106">
        <f t="shared" si="90"/>
        <v>0</v>
      </c>
      <c r="X104" s="106">
        <f t="shared" si="90"/>
        <v>0</v>
      </c>
      <c r="Y104" s="106">
        <f t="shared" si="90"/>
        <v>0</v>
      </c>
      <c r="Z104" s="106">
        <f t="shared" si="90"/>
        <v>0</v>
      </c>
      <c r="AA104" s="349">
        <f>AA95-AA102</f>
        <v>0</v>
      </c>
      <c r="AB104" s="85">
        <f>AB95-AB102</f>
        <v>0</v>
      </c>
      <c r="AC104" s="85">
        <f>AC95-AC102</f>
        <v>0</v>
      </c>
      <c r="AD104" s="85">
        <f>AD95-AD102</f>
        <v>0</v>
      </c>
      <c r="AE104" s="246">
        <f>AE95-AE102</f>
        <v>0</v>
      </c>
    </row>
  </sheetData>
  <phoneticPr fontId="0" type="noConversion"/>
  <pageMargins left="0.5" right="0.5" top="0.5" bottom="0.45" header="0.25" footer="0.25"/>
  <pageSetup paperSize="5" scale="46" fitToHeight="2" orientation="landscape" r:id="rId1"/>
  <headerFooter alignWithMargins="0">
    <oddFooter>&amp;L&amp;"Arial,Bold"&amp;F&amp;C&amp;A&amp;R&amp;D  &amp;T</oddFooter>
  </headerFooter>
  <rowBreaks count="1" manualBreakCount="1">
    <brk id="72" max="3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74"/>
  <sheetViews>
    <sheetView workbookViewId="0">
      <pane xSplit="2" ySplit="5" topLeftCell="J6" activePane="bottomRight" state="frozen"/>
      <selection activeCell="V17" sqref="V17"/>
      <selection pane="topRight" activeCell="V17" sqref="V17"/>
      <selection pane="bottomLeft" activeCell="V17" sqref="V17"/>
      <selection pane="bottomRight" activeCell="V17" sqref="V17"/>
    </sheetView>
  </sheetViews>
  <sheetFormatPr defaultRowHeight="12.75" x14ac:dyDescent="0.2"/>
  <cols>
    <col min="1" max="1" width="55.140625" customWidth="1"/>
    <col min="2" max="2" width="20.28515625" customWidth="1"/>
    <col min="3" max="5" width="9.28515625" customWidth="1"/>
    <col min="6" max="6" width="10" customWidth="1"/>
    <col min="7" max="7" width="10.140625" customWidth="1"/>
    <col min="8" max="8" width="9.28515625" customWidth="1"/>
    <col min="9" max="9" width="10.42578125" customWidth="1"/>
    <col min="11" max="21" width="9.140625" style="115"/>
    <col min="22" max="22" width="9.140625" style="338"/>
    <col min="23" max="25" width="9.140625" style="76"/>
    <col min="26" max="26" width="9.140625" style="238"/>
    <col min="40" max="40" width="9.140625" style="176"/>
  </cols>
  <sheetData>
    <row r="1" spans="1:40" ht="15.75" x14ac:dyDescent="0.25">
      <c r="A1" s="18" t="s">
        <v>258</v>
      </c>
      <c r="B1" s="18"/>
    </row>
    <row r="2" spans="1:40" ht="15.75" x14ac:dyDescent="0.25">
      <c r="A2" s="2" t="s">
        <v>105</v>
      </c>
      <c r="B2" s="18"/>
    </row>
    <row r="3" spans="1:40" ht="15.75" x14ac:dyDescent="0.25">
      <c r="A3" s="2" t="s">
        <v>146</v>
      </c>
      <c r="B3" s="18"/>
    </row>
    <row r="5" spans="1:40" s="2" customFormat="1" ht="13.5" thickBot="1" x14ac:dyDescent="0.25">
      <c r="A5" s="19" t="s">
        <v>1</v>
      </c>
      <c r="B5" s="20" t="s">
        <v>26</v>
      </c>
      <c r="C5" s="20">
        <v>1996</v>
      </c>
      <c r="D5" s="20">
        <v>1997</v>
      </c>
      <c r="E5" s="20">
        <v>1998</v>
      </c>
      <c r="F5" s="20">
        <v>1999</v>
      </c>
      <c r="G5" s="20">
        <v>2000</v>
      </c>
      <c r="H5" s="20">
        <v>2001</v>
      </c>
      <c r="I5" s="20">
        <v>2002</v>
      </c>
      <c r="J5" s="20">
        <v>2003</v>
      </c>
      <c r="K5" s="116">
        <v>2004</v>
      </c>
      <c r="L5" s="116">
        <v>2005</v>
      </c>
      <c r="M5" s="116">
        <v>2006</v>
      </c>
      <c r="N5" s="116">
        <v>2007</v>
      </c>
      <c r="O5" s="116">
        <v>2008</v>
      </c>
      <c r="P5" s="116">
        <v>2009</v>
      </c>
      <c r="Q5" s="116">
        <v>2010</v>
      </c>
      <c r="R5" s="116">
        <v>2011</v>
      </c>
      <c r="S5" s="116">
        <v>2012</v>
      </c>
      <c r="T5" s="116">
        <v>2013</v>
      </c>
      <c r="U5" s="116">
        <v>2014</v>
      </c>
      <c r="V5" s="342">
        <v>2015</v>
      </c>
      <c r="W5" s="77">
        <v>2016</v>
      </c>
      <c r="X5" s="77">
        <v>2017</v>
      </c>
      <c r="Y5" s="77">
        <v>2018</v>
      </c>
      <c r="Z5" s="239">
        <v>2019</v>
      </c>
      <c r="AA5" s="20">
        <v>2020</v>
      </c>
      <c r="AB5" s="20">
        <v>2021</v>
      </c>
      <c r="AC5" s="20">
        <v>2022</v>
      </c>
      <c r="AD5" s="20">
        <v>2023</v>
      </c>
      <c r="AE5" s="20">
        <v>2023</v>
      </c>
      <c r="AF5" s="20">
        <v>2024</v>
      </c>
      <c r="AG5" s="20">
        <v>2025</v>
      </c>
      <c r="AH5" s="20">
        <v>2026</v>
      </c>
      <c r="AI5" s="73"/>
      <c r="AJ5" s="73"/>
      <c r="AK5" s="73"/>
      <c r="AL5" s="73"/>
      <c r="AN5" s="177" t="s">
        <v>298</v>
      </c>
    </row>
    <row r="8" spans="1:40" x14ac:dyDescent="0.2">
      <c r="A8" s="28" t="s">
        <v>69</v>
      </c>
    </row>
    <row r="9" spans="1:40" s="3" customFormat="1" x14ac:dyDescent="0.2">
      <c r="A9" s="3" t="s">
        <v>48</v>
      </c>
      <c r="B9" s="3" t="s">
        <v>259</v>
      </c>
      <c r="C9" s="3">
        <f>'RCA data'!C11</f>
        <v>380</v>
      </c>
      <c r="D9" s="3">
        <f>'RCA data'!D11</f>
        <v>347</v>
      </c>
      <c r="E9" s="3">
        <f>'RCA data'!E11</f>
        <v>273</v>
      </c>
      <c r="F9" s="3">
        <f>'RCA data'!F11</f>
        <v>286</v>
      </c>
      <c r="G9" s="3">
        <f>'RCA data'!G11</f>
        <v>239</v>
      </c>
      <c r="H9" s="3">
        <f>'RCA data'!H11</f>
        <v>306</v>
      </c>
      <c r="I9" s="3">
        <f>'RCA data'!I11</f>
        <v>361</v>
      </c>
      <c r="J9" s="3">
        <f>'RCA data'!J11</f>
        <v>474.67</v>
      </c>
      <c r="K9" s="121">
        <f>'RCA data'!K11</f>
        <v>157.977</v>
      </c>
      <c r="L9" s="121">
        <f>'RCA data'!L11</f>
        <v>188.56900000000002</v>
      </c>
      <c r="M9" s="121">
        <f>'RCA data'!M11</f>
        <v>167.649</v>
      </c>
      <c r="N9" s="121">
        <f>'RCA data'!N11</f>
        <v>207.655</v>
      </c>
      <c r="O9" s="121">
        <f>'RCA data'!O11</f>
        <v>245.40100000000001</v>
      </c>
      <c r="P9" s="121">
        <f>'RCA data'!P11</f>
        <v>227.29400000000001</v>
      </c>
      <c r="Q9" s="121">
        <f>'RCA data'!Q11</f>
        <v>295.99200000000002</v>
      </c>
      <c r="R9" s="121">
        <f>'RCA data'!R11</f>
        <v>383.58199999999999</v>
      </c>
      <c r="S9" s="121">
        <f>'RCA data'!S11</f>
        <v>391.83499999999998</v>
      </c>
      <c r="T9" s="121">
        <f>'RCA data'!T11</f>
        <v>380.09500000000003</v>
      </c>
      <c r="U9" s="121">
        <f>'RCA data'!U11</f>
        <v>344.35599999999999</v>
      </c>
      <c r="V9" s="345">
        <f>'RCA data'!V11</f>
        <v>329.99400000000003</v>
      </c>
      <c r="W9" s="79">
        <f>'RCA data'!W11</f>
        <v>309.17200000000003</v>
      </c>
      <c r="X9" s="79">
        <f>'RCA data'!X11</f>
        <v>310.16956500000003</v>
      </c>
      <c r="Y9" s="79">
        <f>'RCA data'!Y11</f>
        <v>311.20723923125001</v>
      </c>
      <c r="Z9" s="240">
        <f>'RCA data'!Z11</f>
        <v>312.28814035075783</v>
      </c>
      <c r="AN9" s="178"/>
    </row>
    <row r="10" spans="1:40" s="3" customFormat="1" x14ac:dyDescent="0.2">
      <c r="A10" s="3" t="s">
        <v>70</v>
      </c>
      <c r="B10" s="3" t="s">
        <v>259</v>
      </c>
      <c r="C10" s="3">
        <f>'RCA data'!D13</f>
        <v>31</v>
      </c>
      <c r="D10" s="3">
        <f>'RCA data'!E13</f>
        <v>21</v>
      </c>
      <c r="E10" s="3">
        <f>'RCA data'!F13</f>
        <v>25</v>
      </c>
      <c r="F10" s="3">
        <f>'RCA data'!G13</f>
        <v>22</v>
      </c>
      <c r="G10" s="3">
        <f>'RCA data'!H13</f>
        <v>18</v>
      </c>
      <c r="H10" s="3">
        <f>'RCA data'!I13</f>
        <v>32</v>
      </c>
      <c r="I10" s="3">
        <f>'RCA data'!J13</f>
        <v>32.648000000000003</v>
      </c>
      <c r="J10" s="3">
        <f>'RCA data'!K13</f>
        <v>9.0760000000000005</v>
      </c>
      <c r="K10" s="121">
        <f>'RCA data'!L13</f>
        <v>10.337</v>
      </c>
      <c r="L10" s="121">
        <f>'RCA data'!M13</f>
        <v>11.595000000000001</v>
      </c>
      <c r="M10" s="121">
        <f>'RCA data'!N13</f>
        <v>7.33</v>
      </c>
      <c r="N10" s="121">
        <f>'RCA data'!O13</f>
        <v>9.3049999999999997</v>
      </c>
      <c r="O10" s="121">
        <f>'RCA data'!P13</f>
        <v>10.839</v>
      </c>
      <c r="P10" s="121">
        <f>'RCA data'!Q13</f>
        <v>9.9450000000000003</v>
      </c>
      <c r="Q10" s="121">
        <f>'RCA data'!R13</f>
        <v>12.819000000000001</v>
      </c>
      <c r="R10" s="121">
        <f>'RCA data'!S13</f>
        <v>15.012</v>
      </c>
      <c r="S10" s="121">
        <f>'RCA data'!T13</f>
        <v>14.574999999999999</v>
      </c>
      <c r="T10" s="121">
        <f>'RCA data'!U13</f>
        <v>13.451000000000001</v>
      </c>
      <c r="U10" s="121">
        <f>'RCA data'!V13</f>
        <v>6.5359999999999996</v>
      </c>
      <c r="V10" s="345">
        <f>'RCA data'!W13</f>
        <v>8.2240000000000002</v>
      </c>
      <c r="W10" s="79">
        <f>'RCA data'!X13</f>
        <v>8.4295999999999989</v>
      </c>
      <c r="X10" s="79">
        <f>'RCA data'!Y13</f>
        <v>8.6403399999999984</v>
      </c>
      <c r="Y10" s="79">
        <f>'RCA data'!Z13</f>
        <v>8.8563484999999975</v>
      </c>
      <c r="Z10" s="240">
        <f>'RCA data'!AA13</f>
        <v>9.0777572124999963</v>
      </c>
      <c r="AN10" s="178"/>
    </row>
    <row r="11" spans="1:40" s="3" customFormat="1" x14ac:dyDescent="0.2">
      <c r="A11" s="3" t="s">
        <v>71</v>
      </c>
      <c r="B11" s="3" t="s">
        <v>259</v>
      </c>
      <c r="C11" s="3">
        <f>'RCA data'!D14</f>
        <v>0</v>
      </c>
      <c r="D11" s="3">
        <f>'RCA data'!E14</f>
        <v>0</v>
      </c>
      <c r="E11" s="3">
        <f>'RCA data'!F14</f>
        <v>0</v>
      </c>
      <c r="F11" s="3">
        <f>'RCA data'!G14</f>
        <v>0</v>
      </c>
      <c r="G11" s="3">
        <f>'RCA data'!H14</f>
        <v>0</v>
      </c>
      <c r="H11" s="3">
        <f>'RCA data'!I14</f>
        <v>39</v>
      </c>
      <c r="I11" s="3">
        <f>'RCA data'!J14</f>
        <v>0</v>
      </c>
      <c r="J11" s="3">
        <f>'RCA data'!K14</f>
        <v>0</v>
      </c>
      <c r="K11" s="121">
        <f>'RCA data'!L14</f>
        <v>0</v>
      </c>
      <c r="L11" s="121">
        <f>'RCA data'!M14</f>
        <v>0</v>
      </c>
      <c r="M11" s="121">
        <f>'RCA data'!N14</f>
        <v>0</v>
      </c>
      <c r="N11" s="121">
        <f>'RCA data'!O14</f>
        <v>0</v>
      </c>
      <c r="O11" s="121">
        <f>'RCA data'!P14</f>
        <v>0</v>
      </c>
      <c r="P11" s="121">
        <f>'RCA data'!Q14</f>
        <v>0</v>
      </c>
      <c r="Q11" s="121">
        <f>'RCA data'!R14</f>
        <v>0</v>
      </c>
      <c r="R11" s="121">
        <f>'RCA data'!S14</f>
        <v>0</v>
      </c>
      <c r="S11" s="121">
        <f>'RCA data'!T14</f>
        <v>0</v>
      </c>
      <c r="T11" s="121">
        <f>'RCA data'!U14</f>
        <v>0</v>
      </c>
      <c r="U11" s="121">
        <f>'RCA data'!V14</f>
        <v>0</v>
      </c>
      <c r="V11" s="345">
        <f>'RCA data'!W14</f>
        <v>0</v>
      </c>
      <c r="W11" s="79">
        <f>'RCA data'!X14</f>
        <v>0</v>
      </c>
      <c r="X11" s="79">
        <f>'RCA data'!Y14</f>
        <v>0</v>
      </c>
      <c r="Y11" s="79">
        <f>'RCA data'!Z14</f>
        <v>0</v>
      </c>
      <c r="Z11" s="240">
        <f>'RCA data'!AA14</f>
        <v>0</v>
      </c>
      <c r="AN11" s="178"/>
    </row>
    <row r="12" spans="1:40" s="3" customFormat="1" x14ac:dyDescent="0.2">
      <c r="A12" s="3" t="s">
        <v>72</v>
      </c>
      <c r="B12" s="3" t="s">
        <v>262</v>
      </c>
      <c r="C12" s="3">
        <f>'RCA interest'!C14</f>
        <v>16.314375000000002</v>
      </c>
      <c r="D12" s="3">
        <f>'RCA interest'!D14</f>
        <v>13.853125</v>
      </c>
      <c r="E12" s="3">
        <f>'RCA interest'!E14</f>
        <v>11.636249999999999</v>
      </c>
      <c r="F12" s="3">
        <f>'RCA interest'!F14</f>
        <v>10.023750000000001</v>
      </c>
      <c r="G12" s="3">
        <f>'RCA interest'!G14</f>
        <v>7.75</v>
      </c>
      <c r="H12" s="3">
        <f>'RCA interest'!H14</f>
        <v>10.7415</v>
      </c>
      <c r="I12" s="3">
        <f>'RCA interest'!I14</f>
        <v>11.112797499999999</v>
      </c>
      <c r="J12" s="3">
        <f>'RCA interest'!J14</f>
        <v>13.632789750000001</v>
      </c>
      <c r="K12" s="121">
        <f>'RCA interest'!K14</f>
        <v>4.3366431250000002</v>
      </c>
      <c r="L12" s="121">
        <f>'RCA interest'!L14</f>
        <v>4.4408170000000009</v>
      </c>
      <c r="M12" s="121">
        <f>'RCA interest'!M14</f>
        <v>3.9929789999999996</v>
      </c>
      <c r="N12" s="121">
        <f>'RCA interest'!N14</f>
        <v>4.8987052499999999</v>
      </c>
      <c r="O12" s="121">
        <f>'RCA interest'!O14</f>
        <v>4.9792900000000007</v>
      </c>
      <c r="P12" s="121">
        <f>'RCA interest'!P14</f>
        <v>4.6010800000000005</v>
      </c>
      <c r="Q12" s="121">
        <f>'RCA interest'!Q14</f>
        <v>6.8999195000000002</v>
      </c>
      <c r="R12" s="121">
        <f>'RCA interest'!R14</f>
        <v>7.8596223749999989</v>
      </c>
      <c r="S12" s="121">
        <f>'RCA interest'!S14</f>
        <v>6.7335725000000011</v>
      </c>
      <c r="T12" s="121">
        <f>'RCA interest'!T14</f>
        <v>6.5199250000000006</v>
      </c>
      <c r="U12" s="121">
        <f>'RCA interest'!U14</f>
        <v>7.2052364999999998</v>
      </c>
      <c r="V12" s="345">
        <f>'RCA interest'!V14</f>
        <v>5.493497500000001</v>
      </c>
      <c r="W12" s="79">
        <f>'RCA interest'!W14</f>
        <v>4.9913298500000005</v>
      </c>
      <c r="X12" s="79">
        <f>'RCA interest'!X14</f>
        <v>5.0077344590000008</v>
      </c>
      <c r="Y12" s="79">
        <f>'RCA interest'!Y14</f>
        <v>5.0248108782990633</v>
      </c>
      <c r="Z12" s="240">
        <f>'RCA interest'!Z14</f>
        <v>5.0426104984185596</v>
      </c>
      <c r="AN12" s="178"/>
    </row>
    <row r="13" spans="1:40" s="3" customFormat="1" x14ac:dyDescent="0.2">
      <c r="A13" s="3" t="s">
        <v>74</v>
      </c>
      <c r="B13" s="3" t="s">
        <v>259</v>
      </c>
      <c r="C13" s="6">
        <f>'RCA data'!D16</f>
        <v>0</v>
      </c>
      <c r="D13" s="6">
        <f>'RCA data'!E16</f>
        <v>0</v>
      </c>
      <c r="E13" s="6">
        <f>'RCA data'!F16</f>
        <v>0</v>
      </c>
      <c r="F13" s="6">
        <f>'RCA data'!G16</f>
        <v>0</v>
      </c>
      <c r="G13" s="6">
        <f>'RCA data'!H16</f>
        <v>0</v>
      </c>
      <c r="H13" s="6">
        <f>'RCA data'!I16</f>
        <v>-1</v>
      </c>
      <c r="I13" s="6">
        <f>'RCA data'!J16</f>
        <v>-1.238</v>
      </c>
      <c r="J13" s="6">
        <f>'RCA data'!K16</f>
        <v>-1.7290000000000001</v>
      </c>
      <c r="K13" s="125">
        <f>'RCA data'!L16</f>
        <v>-2.056</v>
      </c>
      <c r="L13" s="125">
        <f>'RCA data'!M16</f>
        <v>-2.5750000000000002</v>
      </c>
      <c r="M13" s="125">
        <f>'RCA data'!N16</f>
        <v>-2.8</v>
      </c>
      <c r="N13" s="125">
        <f>'RCA data'!O16</f>
        <v>-3.2210000000000001</v>
      </c>
      <c r="O13" s="125">
        <f>'RCA data'!P16</f>
        <v>-3.7120000000000002</v>
      </c>
      <c r="P13" s="125">
        <f>'RCA data'!Q16</f>
        <v>-4.4249999999999998</v>
      </c>
      <c r="Q13" s="125">
        <f>'RCA data'!R16</f>
        <v>-4.8099999999999996</v>
      </c>
      <c r="R13" s="125">
        <f>'RCA data'!S16</f>
        <v>-5.9169999999999998</v>
      </c>
      <c r="S13" s="125">
        <f>'RCA data'!T16</f>
        <v>-6.06</v>
      </c>
      <c r="T13" s="125">
        <f>'RCA data'!U16</f>
        <v>-6.5910000000000002</v>
      </c>
      <c r="U13" s="125">
        <f>'RCA data'!V16</f>
        <v>-9.0350000000000001</v>
      </c>
      <c r="V13" s="346">
        <f>'RCA data'!W16</f>
        <v>-12.272</v>
      </c>
      <c r="W13" s="81">
        <f>'RCA data'!X16</f>
        <v>-12.456079999999998</v>
      </c>
      <c r="X13" s="81">
        <f>'RCA data'!Y16</f>
        <v>-12.642921199999996</v>
      </c>
      <c r="Y13" s="81">
        <f>'RCA data'!Z16</f>
        <v>-12.832565017999995</v>
      </c>
      <c r="Z13" s="241">
        <f>'RCA data'!AA16</f>
        <v>-13.025053493269994</v>
      </c>
      <c r="AN13" s="178"/>
    </row>
    <row r="14" spans="1:40" s="8" customFormat="1" x14ac:dyDescent="0.2">
      <c r="A14" s="8" t="s">
        <v>297</v>
      </c>
      <c r="B14" s="8" t="s">
        <v>31</v>
      </c>
      <c r="C14" s="8">
        <f t="shared" ref="C14:J14" si="0">SUM(C9:C13)</f>
        <v>427.31437499999998</v>
      </c>
      <c r="D14" s="8">
        <f t="shared" si="0"/>
        <v>381.85312499999998</v>
      </c>
      <c r="E14" s="8">
        <f t="shared" si="0"/>
        <v>309.63625000000002</v>
      </c>
      <c r="F14" s="8">
        <f t="shared" si="0"/>
        <v>318.02375000000001</v>
      </c>
      <c r="G14" s="8">
        <f t="shared" si="0"/>
        <v>264.75</v>
      </c>
      <c r="H14" s="8">
        <f t="shared" si="0"/>
        <v>386.74149999999997</v>
      </c>
      <c r="I14" s="8">
        <f t="shared" si="0"/>
        <v>403.52279750000002</v>
      </c>
      <c r="J14" s="8">
        <f t="shared" si="0"/>
        <v>495.64978975000002</v>
      </c>
      <c r="K14" s="119">
        <f t="shared" ref="K14:X14" si="1">SUM(K9:K13)</f>
        <v>170.59464312499998</v>
      </c>
      <c r="L14" s="119">
        <f t="shared" si="1"/>
        <v>202.02981700000004</v>
      </c>
      <c r="M14" s="119">
        <f t="shared" si="1"/>
        <v>176.17197899999999</v>
      </c>
      <c r="N14" s="119">
        <f t="shared" si="1"/>
        <v>218.63770525000001</v>
      </c>
      <c r="O14" s="119">
        <f t="shared" si="1"/>
        <v>257.50729000000001</v>
      </c>
      <c r="P14" s="119">
        <f t="shared" si="1"/>
        <v>237.41507999999999</v>
      </c>
      <c r="Q14" s="119">
        <f t="shared" si="1"/>
        <v>310.90091950000004</v>
      </c>
      <c r="R14" s="119">
        <f t="shared" si="1"/>
        <v>400.53662237500004</v>
      </c>
      <c r="S14" s="119">
        <f t="shared" si="1"/>
        <v>407.08357249999995</v>
      </c>
      <c r="T14" s="119">
        <f t="shared" si="1"/>
        <v>393.47492500000004</v>
      </c>
      <c r="U14" s="119">
        <f t="shared" si="1"/>
        <v>349.06223649999998</v>
      </c>
      <c r="V14" s="343">
        <f t="shared" si="1"/>
        <v>331.43949750000002</v>
      </c>
      <c r="W14" s="78">
        <f t="shared" si="1"/>
        <v>310.13684985000003</v>
      </c>
      <c r="X14" s="78">
        <f t="shared" si="1"/>
        <v>311.17471825900003</v>
      </c>
      <c r="Y14" s="78">
        <f t="shared" ref="Y14:Z14" si="2">SUM(Y9:Y13)</f>
        <v>312.25583359154911</v>
      </c>
      <c r="Z14" s="242">
        <f t="shared" si="2"/>
        <v>313.38345456840642</v>
      </c>
      <c r="AN14" s="179"/>
    </row>
    <row r="15" spans="1:40" s="3" customFormat="1" x14ac:dyDescent="0.2">
      <c r="A15" s="3" t="s">
        <v>75</v>
      </c>
      <c r="B15" s="3" t="s">
        <v>259</v>
      </c>
      <c r="C15" s="6">
        <f>'RCA data'!D11</f>
        <v>347</v>
      </c>
      <c r="D15" s="6">
        <f>'RCA data'!E11</f>
        <v>273</v>
      </c>
      <c r="E15" s="6">
        <f>'RCA data'!F11</f>
        <v>286</v>
      </c>
      <c r="F15" s="6">
        <f>'RCA data'!G11</f>
        <v>239</v>
      </c>
      <c r="G15" s="6">
        <f>'RCA data'!H11</f>
        <v>306</v>
      </c>
      <c r="H15" s="6">
        <f>'RCA data'!I11</f>
        <v>361</v>
      </c>
      <c r="I15" s="6">
        <f>'RCA data'!J11</f>
        <v>474.67</v>
      </c>
      <c r="J15" s="6">
        <f>'RCA data'!K11</f>
        <v>157.977</v>
      </c>
      <c r="K15" s="125">
        <f>'RCA data'!L11</f>
        <v>188.56900000000002</v>
      </c>
      <c r="L15" s="125">
        <f>'RCA data'!M11</f>
        <v>167.649</v>
      </c>
      <c r="M15" s="125">
        <f>'RCA data'!N11</f>
        <v>207.655</v>
      </c>
      <c r="N15" s="125">
        <f>'RCA data'!O11</f>
        <v>245.40100000000001</v>
      </c>
      <c r="O15" s="125">
        <f>'RCA data'!P11</f>
        <v>227.29400000000001</v>
      </c>
      <c r="P15" s="125">
        <f>'RCA data'!Q11</f>
        <v>295.99200000000002</v>
      </c>
      <c r="Q15" s="125">
        <f>'RCA data'!R11</f>
        <v>383.58199999999999</v>
      </c>
      <c r="R15" s="125">
        <f>'RCA data'!S11</f>
        <v>391.83499999999998</v>
      </c>
      <c r="S15" s="125">
        <f>'RCA data'!T11</f>
        <v>380.09500000000003</v>
      </c>
      <c r="T15" s="125">
        <f>'RCA data'!U11</f>
        <v>344.35599999999999</v>
      </c>
      <c r="U15" s="125">
        <f>'RCA data'!V11</f>
        <v>329.99400000000003</v>
      </c>
      <c r="V15" s="346">
        <f>'RCA data'!W11</f>
        <v>309.17200000000003</v>
      </c>
      <c r="W15" s="81">
        <f>'RCA data'!X11</f>
        <v>310.16956500000003</v>
      </c>
      <c r="X15" s="81">
        <f>'RCA data'!Y11</f>
        <v>311.20723923125001</v>
      </c>
      <c r="Y15" s="81">
        <f>'RCA data'!Z11</f>
        <v>312.28814035075783</v>
      </c>
      <c r="Z15" s="241">
        <f>'RCA data'!AA11</f>
        <v>313.41552635068763</v>
      </c>
      <c r="AN15" s="178"/>
    </row>
    <row r="16" spans="1:40" s="25" customFormat="1" x14ac:dyDescent="0.2">
      <c r="A16" s="25" t="s">
        <v>76</v>
      </c>
      <c r="B16" s="8" t="s">
        <v>31</v>
      </c>
      <c r="C16" s="26">
        <f t="shared" ref="C16:J16" si="3">C14-C15</f>
        <v>80.314374999999984</v>
      </c>
      <c r="D16" s="26">
        <f t="shared" si="3"/>
        <v>108.85312499999998</v>
      </c>
      <c r="E16" s="26">
        <f t="shared" si="3"/>
        <v>23.636250000000018</v>
      </c>
      <c r="F16" s="26">
        <f t="shared" si="3"/>
        <v>79.023750000000007</v>
      </c>
      <c r="G16" s="26">
        <f t="shared" si="3"/>
        <v>-41.25</v>
      </c>
      <c r="H16" s="26">
        <f t="shared" si="3"/>
        <v>25.741499999999974</v>
      </c>
      <c r="I16" s="26">
        <f t="shared" si="3"/>
        <v>-71.147202499999992</v>
      </c>
      <c r="J16" s="26">
        <f t="shared" si="3"/>
        <v>337.67278974999999</v>
      </c>
      <c r="K16" s="129">
        <f t="shared" ref="K16:X16" si="4">K14-K15</f>
        <v>-17.974356875000041</v>
      </c>
      <c r="L16" s="129">
        <f t="shared" si="4"/>
        <v>34.380817000000036</v>
      </c>
      <c r="M16" s="129">
        <f t="shared" si="4"/>
        <v>-31.483021000000008</v>
      </c>
      <c r="N16" s="129">
        <f t="shared" si="4"/>
        <v>-26.76329475</v>
      </c>
      <c r="O16" s="129">
        <f t="shared" si="4"/>
        <v>30.213290000000001</v>
      </c>
      <c r="P16" s="129">
        <f t="shared" si="4"/>
        <v>-58.57692000000003</v>
      </c>
      <c r="Q16" s="129">
        <f t="shared" si="4"/>
        <v>-72.68108049999995</v>
      </c>
      <c r="R16" s="129">
        <f t="shared" si="4"/>
        <v>8.7016223750000563</v>
      </c>
      <c r="S16" s="129">
        <f t="shared" si="4"/>
        <v>26.988572499999918</v>
      </c>
      <c r="T16" s="129">
        <f t="shared" si="4"/>
        <v>49.118925000000047</v>
      </c>
      <c r="U16" s="129">
        <f t="shared" si="4"/>
        <v>19.068236499999955</v>
      </c>
      <c r="V16" s="347">
        <f t="shared" si="4"/>
        <v>22.26749749999999</v>
      </c>
      <c r="W16" s="83">
        <f t="shared" si="4"/>
        <v>-3.2715150000001358E-2</v>
      </c>
      <c r="X16" s="83">
        <f t="shared" si="4"/>
        <v>-3.2520972249983515E-2</v>
      </c>
      <c r="Y16" s="83">
        <f t="shared" ref="Y16:Z16" si="5">Y14-Y15</f>
        <v>-3.2306759208722724E-2</v>
      </c>
      <c r="Z16" s="244">
        <f t="shared" si="5"/>
        <v>-3.2071782281207106E-2</v>
      </c>
      <c r="AN16" s="185"/>
    </row>
    <row r="18" spans="1:40" x14ac:dyDescent="0.2">
      <c r="A18" t="s">
        <v>89</v>
      </c>
      <c r="B18" s="3" t="s">
        <v>259</v>
      </c>
      <c r="C18" s="11">
        <f>'RCA data'!D31</f>
        <v>14</v>
      </c>
      <c r="D18" s="11">
        <f>'RCA data'!E31</f>
        <v>13</v>
      </c>
      <c r="E18" s="11">
        <f>'RCA data'!F31</f>
        <v>13</v>
      </c>
      <c r="F18" s="11">
        <f>'RCA data'!G31</f>
        <v>14</v>
      </c>
      <c r="G18" s="11">
        <f>'RCA data'!H31</f>
        <v>14</v>
      </c>
      <c r="H18" s="11">
        <f>'RCA data'!I31</f>
        <v>13</v>
      </c>
      <c r="I18" s="11">
        <f>'RCA data'!J31</f>
        <v>13</v>
      </c>
      <c r="J18" s="11">
        <f>'RCA data'!K31</f>
        <v>13</v>
      </c>
      <c r="K18" s="134">
        <f>'RCA data'!L31</f>
        <v>13</v>
      </c>
      <c r="L18" s="134">
        <f>'RCA data'!M31</f>
        <v>13</v>
      </c>
      <c r="M18" s="134">
        <f>'RCA data'!N31</f>
        <v>13.6</v>
      </c>
      <c r="N18" s="134">
        <f>'RCA data'!O31</f>
        <v>13.8</v>
      </c>
      <c r="O18" s="134">
        <f>'RCA data'!P31</f>
        <v>14</v>
      </c>
      <c r="P18" s="134">
        <f>'RCA data'!Q31</f>
        <v>14</v>
      </c>
      <c r="Q18" s="134">
        <f>'RCA data'!R31</f>
        <v>13.9</v>
      </c>
      <c r="R18" s="134">
        <f>'RCA data'!S31</f>
        <v>14.1</v>
      </c>
      <c r="S18" s="134">
        <f>'RCA data'!T31</f>
        <v>14.6</v>
      </c>
      <c r="T18" s="134">
        <f>'RCA data'!U31</f>
        <v>14.5</v>
      </c>
      <c r="U18" s="134">
        <f>'RCA data'!V31</f>
        <v>14.4</v>
      </c>
      <c r="V18" s="352">
        <f>'RCA data'!W31</f>
        <v>15.3</v>
      </c>
      <c r="W18" s="89">
        <f>'RCA data'!X31</f>
        <v>15.3</v>
      </c>
      <c r="X18" s="89">
        <f>'RCA data'!Y31</f>
        <v>15.3</v>
      </c>
      <c r="Y18" s="89">
        <f>'RCA data'!Z31</f>
        <v>15.3</v>
      </c>
      <c r="Z18" s="250">
        <f>'RCA data'!AA31</f>
        <v>15.3</v>
      </c>
    </row>
    <row r="19" spans="1:40" s="25" customFormat="1" x14ac:dyDescent="0.2">
      <c r="A19" s="25" t="s">
        <v>104</v>
      </c>
      <c r="B19" s="8" t="s">
        <v>31</v>
      </c>
      <c r="C19" s="26">
        <f t="shared" ref="C19:J19" si="6">C16/C18</f>
        <v>5.73674107142857</v>
      </c>
      <c r="D19" s="26">
        <f t="shared" si="6"/>
        <v>8.3733173076923055</v>
      </c>
      <c r="E19" s="26">
        <f t="shared" si="6"/>
        <v>1.8181730769230784</v>
      </c>
      <c r="F19" s="26">
        <f t="shared" si="6"/>
        <v>5.6445535714285722</v>
      </c>
      <c r="G19" s="26">
        <f t="shared" si="6"/>
        <v>-2.9464285714285716</v>
      </c>
      <c r="H19" s="26">
        <f t="shared" si="6"/>
        <v>1.9801153846153825</v>
      </c>
      <c r="I19" s="26">
        <f t="shared" si="6"/>
        <v>-5.47286173076923</v>
      </c>
      <c r="J19" s="26">
        <f t="shared" si="6"/>
        <v>25.974829980769229</v>
      </c>
      <c r="K19" s="129">
        <f t="shared" ref="K19:X19" si="7">K16/K18</f>
        <v>-1.3826428365384646</v>
      </c>
      <c r="L19" s="129">
        <f t="shared" si="7"/>
        <v>2.6446782307692334</v>
      </c>
      <c r="M19" s="129">
        <f t="shared" si="7"/>
        <v>-2.3149280147058828</v>
      </c>
      <c r="N19" s="129">
        <f t="shared" si="7"/>
        <v>-1.9393691847826087</v>
      </c>
      <c r="O19" s="129">
        <f t="shared" si="7"/>
        <v>2.1580921428571429</v>
      </c>
      <c r="P19" s="129">
        <f t="shared" si="7"/>
        <v>-4.1840657142857163</v>
      </c>
      <c r="Q19" s="129">
        <f t="shared" si="7"/>
        <v>-5.2288547122302118</v>
      </c>
      <c r="R19" s="129">
        <f t="shared" si="7"/>
        <v>0.61713633865248629</v>
      </c>
      <c r="S19" s="129">
        <f t="shared" si="7"/>
        <v>1.8485323630136932</v>
      </c>
      <c r="T19" s="129">
        <f t="shared" si="7"/>
        <v>3.3875120689655205</v>
      </c>
      <c r="U19" s="129">
        <f t="shared" si="7"/>
        <v>1.3241830902777747</v>
      </c>
      <c r="V19" s="347">
        <f t="shared" si="7"/>
        <v>1.4553919934640516</v>
      </c>
      <c r="W19" s="83">
        <f t="shared" si="7"/>
        <v>-2.1382450980393045E-3</v>
      </c>
      <c r="X19" s="83">
        <f t="shared" si="7"/>
        <v>-2.1255537418289876E-3</v>
      </c>
      <c r="Y19" s="83">
        <f t="shared" ref="Y19:Z19" si="8">Y16/Y18</f>
        <v>-2.1115528894590013E-3</v>
      </c>
      <c r="Z19" s="244">
        <f t="shared" si="8"/>
        <v>-2.0961949203403335E-3</v>
      </c>
      <c r="AN19" s="185"/>
    </row>
    <row r="20" spans="1:40" s="25" customFormat="1" x14ac:dyDescent="0.2">
      <c r="B20" s="8"/>
      <c r="C20" s="39"/>
      <c r="D20" s="39"/>
      <c r="E20" s="39"/>
      <c r="F20" s="39"/>
      <c r="G20" s="39"/>
      <c r="H20" s="39"/>
      <c r="I20" s="39"/>
      <c r="J20" s="39"/>
      <c r="K20" s="135"/>
      <c r="L20" s="135"/>
      <c r="M20" s="135"/>
      <c r="N20" s="135"/>
      <c r="O20" s="135"/>
      <c r="P20" s="135"/>
      <c r="Q20" s="135"/>
      <c r="R20" s="135"/>
      <c r="S20" s="135"/>
      <c r="T20" s="135"/>
      <c r="U20" s="135"/>
      <c r="V20" s="354"/>
      <c r="W20" s="90"/>
      <c r="X20" s="90"/>
      <c r="Y20" s="90"/>
      <c r="Z20" s="252"/>
      <c r="AN20" s="185"/>
    </row>
    <row r="21" spans="1:40" s="25" customFormat="1" ht="15" x14ac:dyDescent="0.35">
      <c r="A21" s="40" t="s">
        <v>263</v>
      </c>
      <c r="B21" s="8" t="s">
        <v>31</v>
      </c>
      <c r="C21" s="39">
        <f>SUM($C$16:C16)</f>
        <v>80.314374999999984</v>
      </c>
      <c r="D21" s="39">
        <f>SUM($C$16:D16)</f>
        <v>189.16749999999996</v>
      </c>
      <c r="E21" s="39">
        <f>SUM($C$16:E16)</f>
        <v>212.80374999999998</v>
      </c>
      <c r="F21" s="39">
        <f>SUM($C$16:F16)</f>
        <v>291.82749999999999</v>
      </c>
      <c r="G21" s="39">
        <f>SUM($C$16:G16)</f>
        <v>250.57749999999999</v>
      </c>
      <c r="H21" s="39">
        <f>SUM($C$16:H16)</f>
        <v>276.31899999999996</v>
      </c>
      <c r="I21" s="39">
        <f>SUM($C$16:I16)</f>
        <v>205.17179749999997</v>
      </c>
      <c r="J21" s="39">
        <f>SUM($C$16:J16)</f>
        <v>542.8445872499999</v>
      </c>
      <c r="K21" s="135">
        <f>SUM($C$16:K16)</f>
        <v>524.87023037499989</v>
      </c>
      <c r="L21" s="135">
        <f>SUM($C$16:L16)</f>
        <v>559.25104737499987</v>
      </c>
      <c r="M21" s="135">
        <f>SUM($C$16:M16)</f>
        <v>527.76802637499986</v>
      </c>
      <c r="N21" s="135">
        <f>SUM($C$16:N16)</f>
        <v>501.00473162499986</v>
      </c>
      <c r="O21" s="135">
        <f>SUM($C$16:O16)</f>
        <v>531.21802162499989</v>
      </c>
      <c r="P21" s="135">
        <f>SUM($C$16:P16)</f>
        <v>472.64110162499986</v>
      </c>
      <c r="Q21" s="135">
        <f>SUM($C$16:Q16)</f>
        <v>399.96002112499991</v>
      </c>
      <c r="R21" s="135">
        <f>SUM($C$16:R16)</f>
        <v>408.66164349999997</v>
      </c>
      <c r="S21" s="135">
        <f>SUM($C$16:S16)</f>
        <v>435.65021599999989</v>
      </c>
      <c r="T21" s="135">
        <f>SUM($C$16:T16)</f>
        <v>484.76914099999993</v>
      </c>
      <c r="U21" s="135">
        <f>SUM($C$16:U16)</f>
        <v>503.83737749999989</v>
      </c>
      <c r="V21" s="354">
        <f>SUM($C$16:V16)</f>
        <v>526.10487499999988</v>
      </c>
      <c r="W21" s="90">
        <f>SUM($C$16:W16)</f>
        <v>526.07215984999993</v>
      </c>
      <c r="X21" s="90">
        <f>SUM($C$16:X16)</f>
        <v>526.03963887774989</v>
      </c>
      <c r="Y21" s="90">
        <f>SUM($C$16:Y16)</f>
        <v>526.00733211854117</v>
      </c>
      <c r="Z21" s="252">
        <f>SUM($C$16:Z16)</f>
        <v>525.97526033625991</v>
      </c>
      <c r="AN21" s="185"/>
    </row>
    <row r="22" spans="1:40" x14ac:dyDescent="0.2">
      <c r="A22" t="s">
        <v>88</v>
      </c>
    </row>
    <row r="23" spans="1:40" x14ac:dyDescent="0.2">
      <c r="A23" s="28" t="s">
        <v>264</v>
      </c>
      <c r="AM23" t="s">
        <v>362</v>
      </c>
    </row>
    <row r="24" spans="1:40" x14ac:dyDescent="0.2">
      <c r="A24" t="s">
        <v>96</v>
      </c>
      <c r="B24" t="s">
        <v>66</v>
      </c>
      <c r="C24" s="22">
        <f>ROUND(+$C19,0)</f>
        <v>6</v>
      </c>
      <c r="D24" s="22">
        <f t="shared" ref="D24:L24" si="9">ROUND(+$C19,0)</f>
        <v>6</v>
      </c>
      <c r="E24" s="22">
        <f t="shared" si="9"/>
        <v>6</v>
      </c>
      <c r="F24" s="22">
        <f t="shared" si="9"/>
        <v>6</v>
      </c>
      <c r="G24" s="22">
        <f t="shared" si="9"/>
        <v>6</v>
      </c>
      <c r="H24" s="22">
        <f t="shared" si="9"/>
        <v>6</v>
      </c>
      <c r="I24" s="22">
        <f t="shared" si="9"/>
        <v>6</v>
      </c>
      <c r="J24" s="22">
        <f t="shared" si="9"/>
        <v>6</v>
      </c>
      <c r="K24" s="106">
        <f t="shared" si="9"/>
        <v>6</v>
      </c>
      <c r="L24" s="106">
        <f t="shared" si="9"/>
        <v>6</v>
      </c>
      <c r="M24" s="106">
        <f>ROUND(+$C19,0)-1</f>
        <v>5</v>
      </c>
      <c r="N24" s="106">
        <f>ROUND(+$C19,0)-1</f>
        <v>5</v>
      </c>
      <c r="O24" s="106">
        <f>ROUND(+$C19,0)-1</f>
        <v>5</v>
      </c>
      <c r="P24" s="106">
        <f>ROUND(+$C19,0)-1</f>
        <v>5</v>
      </c>
      <c r="AM24" s="22">
        <f>SUM(C24:AE24)</f>
        <v>80</v>
      </c>
      <c r="AN24" s="188">
        <f>ROUND(C$16,0)-ROUND($AM24,0)</f>
        <v>0</v>
      </c>
    </row>
    <row r="25" spans="1:40" x14ac:dyDescent="0.2">
      <c r="A25" t="s">
        <v>97</v>
      </c>
      <c r="B25" t="s">
        <v>66</v>
      </c>
      <c r="D25" s="22">
        <f>ROUND(+$D19,0)</f>
        <v>8</v>
      </c>
      <c r="E25" s="22">
        <f t="shared" ref="E25:J25" si="10">ROUND(+$D19,0)</f>
        <v>8</v>
      </c>
      <c r="F25" s="22">
        <f t="shared" si="10"/>
        <v>8</v>
      </c>
      <c r="G25" s="22">
        <f t="shared" si="10"/>
        <v>8</v>
      </c>
      <c r="H25" s="22">
        <f t="shared" si="10"/>
        <v>8</v>
      </c>
      <c r="I25" s="22">
        <f t="shared" si="10"/>
        <v>8</v>
      </c>
      <c r="J25" s="22">
        <f t="shared" si="10"/>
        <v>8</v>
      </c>
      <c r="K25" s="106">
        <f>ROUND(+$D19,0)</f>
        <v>8</v>
      </c>
      <c r="L25" s="106">
        <f>ROUND(+$D19,0)+1</f>
        <v>9</v>
      </c>
      <c r="M25" s="106">
        <f>ROUND(+$D19,0)+1</f>
        <v>9</v>
      </c>
      <c r="N25" s="106">
        <f>ROUND(+$D19,0)+1</f>
        <v>9</v>
      </c>
      <c r="O25" s="106">
        <f>ROUND(+$D19,0)+1</f>
        <v>9</v>
      </c>
      <c r="P25" s="106">
        <f>ROUND(+$D19,0)+1</f>
        <v>9</v>
      </c>
      <c r="AM25" s="22">
        <f t="shared" ref="AM25:AM38" si="11">SUM(C25:AE25)</f>
        <v>109</v>
      </c>
      <c r="AN25" s="188">
        <f>ROUND(D$16,0)-ROUND($AM25,0)</f>
        <v>0</v>
      </c>
    </row>
    <row r="26" spans="1:40" x14ac:dyDescent="0.2">
      <c r="A26" t="s">
        <v>98</v>
      </c>
      <c r="B26" t="s">
        <v>66</v>
      </c>
      <c r="E26" s="22">
        <f>ROUND(+$E19,0)</f>
        <v>2</v>
      </c>
      <c r="F26" s="22">
        <f t="shared" ref="F26:O26" si="12">ROUND(+$E19,0)</f>
        <v>2</v>
      </c>
      <c r="G26" s="22">
        <f t="shared" si="12"/>
        <v>2</v>
      </c>
      <c r="H26" s="22">
        <f t="shared" si="12"/>
        <v>2</v>
      </c>
      <c r="I26" s="22">
        <f t="shared" si="12"/>
        <v>2</v>
      </c>
      <c r="J26" s="22">
        <f t="shared" si="12"/>
        <v>2</v>
      </c>
      <c r="K26" s="106">
        <f t="shared" si="12"/>
        <v>2</v>
      </c>
      <c r="L26" s="106">
        <f t="shared" si="12"/>
        <v>2</v>
      </c>
      <c r="M26" s="106">
        <f t="shared" si="12"/>
        <v>2</v>
      </c>
      <c r="N26" s="106">
        <f t="shared" si="12"/>
        <v>2</v>
      </c>
      <c r="O26" s="106">
        <f t="shared" si="12"/>
        <v>2</v>
      </c>
      <c r="P26" s="106">
        <f>ROUND(+$E19,0)-1</f>
        <v>1</v>
      </c>
      <c r="Q26" s="106">
        <f>ROUND(+$E19,0)-1</f>
        <v>1</v>
      </c>
      <c r="AM26" s="22">
        <f t="shared" si="11"/>
        <v>24</v>
      </c>
      <c r="AN26" s="188">
        <f>ROUND(E$16,0)-ROUND($AM26,0)</f>
        <v>0</v>
      </c>
    </row>
    <row r="27" spans="1:40" x14ac:dyDescent="0.2">
      <c r="A27" t="s">
        <v>99</v>
      </c>
      <c r="B27" t="s">
        <v>66</v>
      </c>
      <c r="F27" s="22">
        <f>ROUND(+$F19,0)</f>
        <v>6</v>
      </c>
      <c r="G27" s="22">
        <f t="shared" ref="G27:N27" si="13">ROUND(+$F19,0)</f>
        <v>6</v>
      </c>
      <c r="H27" s="22">
        <f t="shared" si="13"/>
        <v>6</v>
      </c>
      <c r="I27" s="22">
        <f t="shared" si="13"/>
        <v>6</v>
      </c>
      <c r="J27" s="22">
        <f t="shared" si="13"/>
        <v>6</v>
      </c>
      <c r="K27" s="106">
        <f t="shared" si="13"/>
        <v>6</v>
      </c>
      <c r="L27" s="106">
        <f t="shared" si="13"/>
        <v>6</v>
      </c>
      <c r="M27" s="106">
        <f t="shared" si="13"/>
        <v>6</v>
      </c>
      <c r="N27" s="106">
        <f t="shared" si="13"/>
        <v>6</v>
      </c>
      <c r="O27" s="106">
        <f>ROUND(+$F19,0)-1</f>
        <v>5</v>
      </c>
      <c r="P27" s="106">
        <f>ROUND(+$F19,0)-1</f>
        <v>5</v>
      </c>
      <c r="Q27" s="106">
        <f>ROUND(+$F19,0)-1</f>
        <v>5</v>
      </c>
      <c r="R27" s="106">
        <f>ROUND(+$F19,0)-1</f>
        <v>5</v>
      </c>
      <c r="S27" s="106">
        <f>ROUND(+$F19,0)-1</f>
        <v>5</v>
      </c>
      <c r="T27" s="106"/>
      <c r="AM27" s="22">
        <f t="shared" si="11"/>
        <v>79</v>
      </c>
      <c r="AN27" s="188">
        <f>ROUND(F$16,0)-ROUND($AM27,0)</f>
        <v>0</v>
      </c>
    </row>
    <row r="28" spans="1:40" x14ac:dyDescent="0.2">
      <c r="A28" t="s">
        <v>100</v>
      </c>
      <c r="B28" t="s">
        <v>66</v>
      </c>
      <c r="G28" s="22">
        <f>ROUND(+$G19,0)</f>
        <v>-3</v>
      </c>
      <c r="H28" s="22">
        <f t="shared" ref="H28:N28" si="14">ROUND(+$G19,0)</f>
        <v>-3</v>
      </c>
      <c r="I28" s="22">
        <f t="shared" si="14"/>
        <v>-3</v>
      </c>
      <c r="J28" s="22">
        <f t="shared" si="14"/>
        <v>-3</v>
      </c>
      <c r="K28" s="106">
        <f t="shared" si="14"/>
        <v>-3</v>
      </c>
      <c r="L28" s="106">
        <f t="shared" si="14"/>
        <v>-3</v>
      </c>
      <c r="M28" s="106">
        <f t="shared" si="14"/>
        <v>-3</v>
      </c>
      <c r="N28" s="106">
        <f t="shared" si="14"/>
        <v>-3</v>
      </c>
      <c r="O28" s="106">
        <f>ROUND(+$G19,0)</f>
        <v>-3</v>
      </c>
      <c r="P28" s="106">
        <f>ROUND(+$G19,0)</f>
        <v>-3</v>
      </c>
      <c r="Q28" s="106">
        <f>ROUND(+$G19,0)</f>
        <v>-3</v>
      </c>
      <c r="R28" s="106">
        <f>ROUND(+$G19,0)</f>
        <v>-3</v>
      </c>
      <c r="S28" s="106">
        <f>ROUND(+$G19,0)</f>
        <v>-3</v>
      </c>
      <c r="T28" s="106">
        <f>ROUND(+$G19,0)+1</f>
        <v>-2</v>
      </c>
      <c r="AM28" s="22">
        <f t="shared" si="11"/>
        <v>-41</v>
      </c>
      <c r="AN28" s="188">
        <f>ROUND(G$16,0)-ROUND($AM28,0)</f>
        <v>0</v>
      </c>
    </row>
    <row r="29" spans="1:40" x14ac:dyDescent="0.2">
      <c r="A29" t="s">
        <v>101</v>
      </c>
      <c r="B29" t="s">
        <v>66</v>
      </c>
      <c r="H29" s="22">
        <f>ROUND(+$H19,0)</f>
        <v>2</v>
      </c>
      <c r="I29" s="22">
        <f t="shared" ref="I29:S29" si="15">ROUND(+$H19,0)</f>
        <v>2</v>
      </c>
      <c r="J29" s="22">
        <f t="shared" si="15"/>
        <v>2</v>
      </c>
      <c r="K29" s="106">
        <f t="shared" si="15"/>
        <v>2</v>
      </c>
      <c r="L29" s="106">
        <f t="shared" si="15"/>
        <v>2</v>
      </c>
      <c r="M29" s="106">
        <f t="shared" si="15"/>
        <v>2</v>
      </c>
      <c r="N29" s="106">
        <f t="shared" si="15"/>
        <v>2</v>
      </c>
      <c r="O29" s="106">
        <f t="shared" si="15"/>
        <v>2</v>
      </c>
      <c r="P29" s="106">
        <f t="shared" si="15"/>
        <v>2</v>
      </c>
      <c r="Q29" s="106">
        <f t="shared" si="15"/>
        <v>2</v>
      </c>
      <c r="R29" s="106">
        <f t="shared" si="15"/>
        <v>2</v>
      </c>
      <c r="S29" s="106">
        <f t="shared" si="15"/>
        <v>2</v>
      </c>
      <c r="T29" s="106">
        <f>ROUND(+$H19,0)</f>
        <v>2</v>
      </c>
      <c r="AM29" s="22">
        <f t="shared" si="11"/>
        <v>26</v>
      </c>
      <c r="AN29" s="188">
        <f>ROUND(H$16,0)-ROUND($AM29,0)</f>
        <v>0</v>
      </c>
    </row>
    <row r="30" spans="1:40" x14ac:dyDescent="0.2">
      <c r="A30" t="s">
        <v>102</v>
      </c>
      <c r="B30" t="s">
        <v>66</v>
      </c>
      <c r="I30" s="22">
        <f>ROUND(+$I19,0)-1</f>
        <v>-6</v>
      </c>
      <c r="J30" s="22">
        <f>ROUND(+$I19,0)-1</f>
        <v>-6</v>
      </c>
      <c r="K30" s="106">
        <f>ROUND(+$I19,0)-1</f>
        <v>-6</v>
      </c>
      <c r="L30" s="106">
        <f>ROUND(+$I19,0)-1</f>
        <v>-6</v>
      </c>
      <c r="M30" s="106">
        <f>ROUND(+$I19,0)-1</f>
        <v>-6</v>
      </c>
      <c r="N30" s="106">
        <f t="shared" ref="N30:T30" si="16">ROUND(+$I19,0)</f>
        <v>-5</v>
      </c>
      <c r="O30" s="106">
        <f t="shared" si="16"/>
        <v>-5</v>
      </c>
      <c r="P30" s="106">
        <f t="shared" si="16"/>
        <v>-5</v>
      </c>
      <c r="Q30" s="106">
        <f t="shared" si="16"/>
        <v>-5</v>
      </c>
      <c r="R30" s="106">
        <f t="shared" si="16"/>
        <v>-5</v>
      </c>
      <c r="S30" s="106">
        <f t="shared" si="16"/>
        <v>-5</v>
      </c>
      <c r="T30" s="106">
        <f t="shared" si="16"/>
        <v>-5</v>
      </c>
      <c r="U30" s="106">
        <f>ROUND(+$I19,0)-1</f>
        <v>-6</v>
      </c>
      <c r="V30" s="349"/>
      <c r="W30" s="85"/>
      <c r="X30" s="85"/>
      <c r="Y30" s="85"/>
      <c r="Z30" s="246"/>
      <c r="AA30" s="22"/>
      <c r="AB30" s="22"/>
      <c r="AC30" s="22"/>
      <c r="AD30" s="22"/>
      <c r="AE30" s="22"/>
      <c r="AM30" s="22">
        <f t="shared" si="11"/>
        <v>-71</v>
      </c>
      <c r="AN30" s="188">
        <f>ROUND(I$16,0)-ROUND($AM30,0)</f>
        <v>0</v>
      </c>
    </row>
    <row r="31" spans="1:40" x14ac:dyDescent="0.2">
      <c r="A31" t="s">
        <v>308</v>
      </c>
      <c r="B31" t="s">
        <v>66</v>
      </c>
      <c r="I31" s="22"/>
      <c r="J31" s="22">
        <f>ROUND(+$J19,0)</f>
        <v>26</v>
      </c>
      <c r="K31" s="106">
        <f t="shared" ref="K31:V31" si="17">ROUND(+$J19,0)</f>
        <v>26</v>
      </c>
      <c r="L31" s="106">
        <f t="shared" si="17"/>
        <v>26</v>
      </c>
      <c r="M31" s="106">
        <f t="shared" si="17"/>
        <v>26</v>
      </c>
      <c r="N31" s="106">
        <f t="shared" si="17"/>
        <v>26</v>
      </c>
      <c r="O31" s="106">
        <f t="shared" si="17"/>
        <v>26</v>
      </c>
      <c r="P31" s="106">
        <f t="shared" si="17"/>
        <v>26</v>
      </c>
      <c r="Q31" s="106">
        <f t="shared" si="17"/>
        <v>26</v>
      </c>
      <c r="R31" s="106">
        <f t="shared" si="17"/>
        <v>26</v>
      </c>
      <c r="S31" s="106">
        <f t="shared" si="17"/>
        <v>26</v>
      </c>
      <c r="T31" s="106">
        <f t="shared" si="17"/>
        <v>26</v>
      </c>
      <c r="U31" s="106">
        <f t="shared" si="17"/>
        <v>26</v>
      </c>
      <c r="V31" s="349">
        <f t="shared" si="17"/>
        <v>26</v>
      </c>
      <c r="W31" s="85"/>
      <c r="X31" s="85"/>
      <c r="Y31" s="85"/>
      <c r="Z31" s="246"/>
      <c r="AA31" s="22"/>
      <c r="AB31" s="22"/>
      <c r="AC31" s="22"/>
      <c r="AD31" s="22"/>
      <c r="AE31" s="22"/>
      <c r="AM31" s="22">
        <f t="shared" si="11"/>
        <v>338</v>
      </c>
      <c r="AN31" s="188">
        <f>ROUND(J$16,0)-ROUND($AM31,0)</f>
        <v>0</v>
      </c>
    </row>
    <row r="32" spans="1:40" x14ac:dyDescent="0.2">
      <c r="A32" t="s">
        <v>310</v>
      </c>
      <c r="B32" t="s">
        <v>66</v>
      </c>
      <c r="I32" s="22"/>
      <c r="J32" s="22"/>
      <c r="K32" s="106">
        <f>ROUND(+$K19,0)</f>
        <v>-1</v>
      </c>
      <c r="L32" s="106">
        <f t="shared" ref="L32:R32" si="18">ROUND(+$K19,0)</f>
        <v>-1</v>
      </c>
      <c r="M32" s="106">
        <f t="shared" si="18"/>
        <v>-1</v>
      </c>
      <c r="N32" s="106">
        <f t="shared" si="18"/>
        <v>-1</v>
      </c>
      <c r="O32" s="106">
        <f t="shared" si="18"/>
        <v>-1</v>
      </c>
      <c r="P32" s="106">
        <f t="shared" si="18"/>
        <v>-1</v>
      </c>
      <c r="Q32" s="106">
        <f t="shared" si="18"/>
        <v>-1</v>
      </c>
      <c r="R32" s="106">
        <f t="shared" si="18"/>
        <v>-1</v>
      </c>
      <c r="S32" s="106">
        <f>ROUND(+$K19,0)-1</f>
        <v>-2</v>
      </c>
      <c r="T32" s="106">
        <f>ROUND(+$K19,0)-1</f>
        <v>-2</v>
      </c>
      <c r="U32" s="106">
        <f>ROUND(+$K19,0)-1</f>
        <v>-2</v>
      </c>
      <c r="V32" s="349">
        <f>ROUND(+$K19,0)-1</f>
        <v>-2</v>
      </c>
      <c r="W32" s="85">
        <f>ROUND(+$K19,0)-1</f>
        <v>-2</v>
      </c>
      <c r="X32" s="85"/>
      <c r="Y32" s="85"/>
      <c r="Z32" s="246"/>
      <c r="AA32" s="106"/>
      <c r="AB32" s="106"/>
      <c r="AC32" s="106"/>
      <c r="AD32" s="22"/>
      <c r="AE32" s="22"/>
      <c r="AM32" s="22">
        <f t="shared" si="11"/>
        <v>-18</v>
      </c>
      <c r="AN32" s="188">
        <f>ROUND(K$16,0)-ROUND($AM32,0)</f>
        <v>0</v>
      </c>
    </row>
    <row r="33" spans="1:40" x14ac:dyDescent="0.2">
      <c r="A33" t="s">
        <v>311</v>
      </c>
      <c r="B33" t="s">
        <v>66</v>
      </c>
      <c r="I33" s="22"/>
      <c r="J33" s="22"/>
      <c r="K33" s="106"/>
      <c r="L33" s="106"/>
      <c r="M33" s="106">
        <f>ROUND(+$L19,0)</f>
        <v>3</v>
      </c>
      <c r="N33" s="106">
        <f t="shared" ref="N33:T33" si="19">ROUND(+$L19,0)</f>
        <v>3</v>
      </c>
      <c r="O33" s="106">
        <f t="shared" si="19"/>
        <v>3</v>
      </c>
      <c r="P33" s="106">
        <f t="shared" si="19"/>
        <v>3</v>
      </c>
      <c r="Q33" s="106">
        <f t="shared" si="19"/>
        <v>3</v>
      </c>
      <c r="R33" s="106">
        <f t="shared" si="19"/>
        <v>3</v>
      </c>
      <c r="S33" s="106">
        <f t="shared" si="19"/>
        <v>3</v>
      </c>
      <c r="T33" s="106">
        <f t="shared" si="19"/>
        <v>3</v>
      </c>
      <c r="U33" s="106">
        <f>ROUND(+$L19,0)-1</f>
        <v>2</v>
      </c>
      <c r="V33" s="349">
        <f>ROUND(+$L19,0)-1</f>
        <v>2</v>
      </c>
      <c r="W33" s="85">
        <f>ROUND(+$L19,0)-1</f>
        <v>2</v>
      </c>
      <c r="X33" s="85">
        <f>ROUND(+$L19,0)-1</f>
        <v>2</v>
      </c>
      <c r="Y33" s="85">
        <f>ROUND(+$L19,0)-1</f>
        <v>2</v>
      </c>
      <c r="Z33" s="246"/>
      <c r="AA33" s="106"/>
      <c r="AB33" s="106"/>
      <c r="AC33" s="106"/>
      <c r="AD33" s="22"/>
      <c r="AE33" s="22"/>
      <c r="AM33" s="22">
        <f t="shared" si="11"/>
        <v>34</v>
      </c>
      <c r="AN33" s="188">
        <f>ROUND(L$16,0)-ROUND($AM33,0)</f>
        <v>0</v>
      </c>
    </row>
    <row r="34" spans="1:40" s="115" customFormat="1" x14ac:dyDescent="0.2">
      <c r="A34" s="115" t="s">
        <v>312</v>
      </c>
      <c r="B34" s="115" t="s">
        <v>66</v>
      </c>
      <c r="I34" s="106"/>
      <c r="J34" s="106"/>
      <c r="K34" s="106"/>
      <c r="L34" s="106"/>
      <c r="M34" s="106"/>
      <c r="N34" s="106">
        <f>ROUND(+$M19,0)</f>
        <v>-2</v>
      </c>
      <c r="O34" s="106">
        <f t="shared" ref="O34:X34" si="20">ROUND(+$M19,0)</f>
        <v>-2</v>
      </c>
      <c r="P34" s="106">
        <f t="shared" si="20"/>
        <v>-2</v>
      </c>
      <c r="Q34" s="106">
        <f t="shared" si="20"/>
        <v>-2</v>
      </c>
      <c r="R34" s="106">
        <f t="shared" si="20"/>
        <v>-2</v>
      </c>
      <c r="S34" s="106">
        <f t="shared" si="20"/>
        <v>-2</v>
      </c>
      <c r="T34" s="106">
        <f t="shared" si="20"/>
        <v>-2</v>
      </c>
      <c r="U34" s="106">
        <f t="shared" si="20"/>
        <v>-2</v>
      </c>
      <c r="V34" s="349">
        <f t="shared" si="20"/>
        <v>-2</v>
      </c>
      <c r="W34" s="85">
        <f t="shared" si="20"/>
        <v>-2</v>
      </c>
      <c r="X34" s="85">
        <f t="shared" si="20"/>
        <v>-2</v>
      </c>
      <c r="Y34" s="85">
        <f>ROUND(+$M19,0)-1</f>
        <v>-3</v>
      </c>
      <c r="Z34" s="246">
        <f>ROUND(+$M19,0)-1</f>
        <v>-3</v>
      </c>
      <c r="AA34" s="106">
        <f>ROUND(+$M19,0)-1</f>
        <v>-3</v>
      </c>
      <c r="AB34" s="106"/>
      <c r="AC34" s="106"/>
      <c r="AD34" s="106"/>
      <c r="AE34" s="106"/>
      <c r="AM34" s="22">
        <f t="shared" si="11"/>
        <v>-31</v>
      </c>
      <c r="AN34" s="188">
        <f>ROUND(M$16,0)-ROUND($AM34,0)</f>
        <v>0</v>
      </c>
    </row>
    <row r="35" spans="1:40" s="115" customFormat="1" x14ac:dyDescent="0.2">
      <c r="A35" s="115" t="s">
        <v>313</v>
      </c>
      <c r="B35" s="115" t="s">
        <v>66</v>
      </c>
      <c r="I35" s="106"/>
      <c r="J35" s="106"/>
      <c r="K35" s="106"/>
      <c r="L35" s="106"/>
      <c r="M35" s="106"/>
      <c r="N35" s="106"/>
      <c r="O35" s="106">
        <f>ROUND(+$N19,0)</f>
        <v>-2</v>
      </c>
      <c r="P35" s="106">
        <f t="shared" ref="P35:AA35" si="21">ROUND(+$N19,0)</f>
        <v>-2</v>
      </c>
      <c r="Q35" s="106">
        <f t="shared" si="21"/>
        <v>-2</v>
      </c>
      <c r="R35" s="106">
        <f t="shared" si="21"/>
        <v>-2</v>
      </c>
      <c r="S35" s="106">
        <f t="shared" si="21"/>
        <v>-2</v>
      </c>
      <c r="T35" s="106">
        <f t="shared" si="21"/>
        <v>-2</v>
      </c>
      <c r="U35" s="106">
        <f t="shared" si="21"/>
        <v>-2</v>
      </c>
      <c r="V35" s="349">
        <f t="shared" si="21"/>
        <v>-2</v>
      </c>
      <c r="W35" s="85">
        <f t="shared" si="21"/>
        <v>-2</v>
      </c>
      <c r="X35" s="85">
        <f t="shared" si="21"/>
        <v>-2</v>
      </c>
      <c r="Y35" s="85">
        <f t="shared" si="21"/>
        <v>-2</v>
      </c>
      <c r="Z35" s="246">
        <f t="shared" si="21"/>
        <v>-2</v>
      </c>
      <c r="AA35" s="106">
        <f t="shared" si="21"/>
        <v>-2</v>
      </c>
      <c r="AB35" s="106">
        <f>ROUND(+$N19,0)+1</f>
        <v>-1</v>
      </c>
      <c r="AC35" s="106"/>
      <c r="AD35" s="106"/>
      <c r="AE35" s="106"/>
      <c r="AM35" s="22">
        <f t="shared" si="11"/>
        <v>-27</v>
      </c>
      <c r="AN35" s="188">
        <f>ROUND(N$16,0)-ROUND($AM35,0)</f>
        <v>0</v>
      </c>
    </row>
    <row r="36" spans="1:40" s="115" customFormat="1" x14ac:dyDescent="0.2">
      <c r="A36" s="115" t="s">
        <v>314</v>
      </c>
      <c r="B36" s="115" t="s">
        <v>66</v>
      </c>
      <c r="I36" s="106"/>
      <c r="J36" s="106"/>
      <c r="K36" s="106"/>
      <c r="L36" s="106"/>
      <c r="M36" s="106"/>
      <c r="N36" s="106"/>
      <c r="O36" s="106"/>
      <c r="P36" s="106">
        <f t="shared" ref="P36:AB36" si="22">ROUND(+$O19,0)</f>
        <v>2</v>
      </c>
      <c r="Q36" s="106">
        <f t="shared" si="22"/>
        <v>2</v>
      </c>
      <c r="R36" s="106">
        <f t="shared" si="22"/>
        <v>2</v>
      </c>
      <c r="S36" s="106">
        <f t="shared" si="22"/>
        <v>2</v>
      </c>
      <c r="T36" s="106">
        <f t="shared" si="22"/>
        <v>2</v>
      </c>
      <c r="U36" s="106">
        <f t="shared" si="22"/>
        <v>2</v>
      </c>
      <c r="V36" s="349">
        <f t="shared" si="22"/>
        <v>2</v>
      </c>
      <c r="W36" s="85">
        <f t="shared" si="22"/>
        <v>2</v>
      </c>
      <c r="X36" s="85">
        <f t="shared" si="22"/>
        <v>2</v>
      </c>
      <c r="Y36" s="85">
        <f t="shared" si="22"/>
        <v>2</v>
      </c>
      <c r="Z36" s="246">
        <f t="shared" si="22"/>
        <v>2</v>
      </c>
      <c r="AA36" s="106">
        <f t="shared" si="22"/>
        <v>2</v>
      </c>
      <c r="AB36" s="106">
        <f t="shared" si="22"/>
        <v>2</v>
      </c>
      <c r="AC36" s="106">
        <f>ROUND(+$O19,0)+2</f>
        <v>4</v>
      </c>
      <c r="AD36" s="106"/>
      <c r="AE36" s="106"/>
      <c r="AM36" s="22">
        <f t="shared" si="11"/>
        <v>30</v>
      </c>
      <c r="AN36" s="188">
        <f>ROUND(O$16,0)-ROUND($AM36,0)</f>
        <v>0</v>
      </c>
    </row>
    <row r="37" spans="1:40" s="115" customFormat="1" x14ac:dyDescent="0.2">
      <c r="A37" s="115" t="s">
        <v>329</v>
      </c>
      <c r="B37" s="115" t="s">
        <v>66</v>
      </c>
      <c r="I37" s="106"/>
      <c r="J37" s="106"/>
      <c r="K37" s="106"/>
      <c r="L37" s="106"/>
      <c r="M37" s="106"/>
      <c r="N37" s="106"/>
      <c r="O37" s="106"/>
      <c r="P37" s="106"/>
      <c r="Q37" s="106">
        <f>ROUND(+$P19,0)</f>
        <v>-4</v>
      </c>
      <c r="R37" s="106">
        <f t="shared" ref="R37:AC37" si="23">ROUND(+$P19,0)</f>
        <v>-4</v>
      </c>
      <c r="S37" s="106">
        <f t="shared" si="23"/>
        <v>-4</v>
      </c>
      <c r="T37" s="106">
        <f t="shared" si="23"/>
        <v>-4</v>
      </c>
      <c r="U37" s="106">
        <f t="shared" si="23"/>
        <v>-4</v>
      </c>
      <c r="V37" s="349">
        <f t="shared" si="23"/>
        <v>-4</v>
      </c>
      <c r="W37" s="85">
        <f t="shared" si="23"/>
        <v>-4</v>
      </c>
      <c r="X37" s="85">
        <f t="shared" si="23"/>
        <v>-4</v>
      </c>
      <c r="Y37" s="85">
        <f t="shared" si="23"/>
        <v>-4</v>
      </c>
      <c r="Z37" s="246">
        <f t="shared" si="23"/>
        <v>-4</v>
      </c>
      <c r="AA37" s="106">
        <f t="shared" si="23"/>
        <v>-4</v>
      </c>
      <c r="AB37" s="106">
        <f t="shared" si="23"/>
        <v>-4</v>
      </c>
      <c r="AC37" s="106">
        <f t="shared" si="23"/>
        <v>-4</v>
      </c>
      <c r="AD37" s="106">
        <f>ROUND(+$P19,0)-3</f>
        <v>-7</v>
      </c>
      <c r="AE37" s="106"/>
      <c r="AM37" s="22">
        <f t="shared" si="11"/>
        <v>-59</v>
      </c>
      <c r="AN37" s="188">
        <f>ROUND(P$16,0)-ROUND($AM37,0)</f>
        <v>0</v>
      </c>
    </row>
    <row r="38" spans="1:40" s="115" customFormat="1" x14ac:dyDescent="0.2">
      <c r="A38" s="195" t="s">
        <v>332</v>
      </c>
      <c r="B38" s="195" t="s">
        <v>66</v>
      </c>
      <c r="I38" s="106"/>
      <c r="J38" s="106"/>
      <c r="K38" s="106"/>
      <c r="L38" s="106"/>
      <c r="M38" s="106"/>
      <c r="N38" s="106"/>
      <c r="O38" s="106"/>
      <c r="P38" s="106"/>
      <c r="Q38" s="106"/>
      <c r="R38" s="106">
        <f>ROUND($Q19,0)</f>
        <v>-5</v>
      </c>
      <c r="S38" s="106">
        <f t="shared" ref="S38:AB38" si="24">ROUND($Q19,0)</f>
        <v>-5</v>
      </c>
      <c r="T38" s="106">
        <f t="shared" si="24"/>
        <v>-5</v>
      </c>
      <c r="U38" s="106">
        <f t="shared" si="24"/>
        <v>-5</v>
      </c>
      <c r="V38" s="349">
        <f t="shared" si="24"/>
        <v>-5</v>
      </c>
      <c r="W38" s="85">
        <f t="shared" si="24"/>
        <v>-5</v>
      </c>
      <c r="X38" s="85">
        <f t="shared" si="24"/>
        <v>-5</v>
      </c>
      <c r="Y38" s="85">
        <f t="shared" si="24"/>
        <v>-5</v>
      </c>
      <c r="Z38" s="246">
        <f t="shared" si="24"/>
        <v>-5</v>
      </c>
      <c r="AA38" s="106">
        <f t="shared" si="24"/>
        <v>-5</v>
      </c>
      <c r="AB38" s="106">
        <f t="shared" si="24"/>
        <v>-5</v>
      </c>
      <c r="AC38" s="313">
        <f>ROUND($Q19,0)-1</f>
        <v>-6</v>
      </c>
      <c r="AD38" s="313">
        <f>ROUND($Q19,0)-1</f>
        <v>-6</v>
      </c>
      <c r="AE38" s="313">
        <f>ROUND($Q19,0)-1</f>
        <v>-6</v>
      </c>
      <c r="AM38" s="22">
        <f t="shared" si="11"/>
        <v>-73</v>
      </c>
      <c r="AN38" s="188">
        <f>ROUND(Q$16,0)-ROUND($AM38,0)</f>
        <v>0</v>
      </c>
    </row>
    <row r="39" spans="1:40" s="115" customFormat="1" x14ac:dyDescent="0.2">
      <c r="A39" s="195" t="s">
        <v>336</v>
      </c>
      <c r="B39" s="195" t="s">
        <v>66</v>
      </c>
      <c r="I39" s="106"/>
      <c r="J39" s="106"/>
      <c r="K39" s="106"/>
      <c r="L39" s="106"/>
      <c r="M39" s="106"/>
      <c r="N39" s="106"/>
      <c r="O39" s="106"/>
      <c r="P39" s="106"/>
      <c r="Q39" s="106"/>
      <c r="R39" s="106"/>
      <c r="S39" s="106">
        <f>ROUND($R$19,0)</f>
        <v>1</v>
      </c>
      <c r="T39" s="106">
        <f t="shared" ref="T39:AA39" si="25">ROUND($R$19,0)</f>
        <v>1</v>
      </c>
      <c r="U39" s="106">
        <f t="shared" si="25"/>
        <v>1</v>
      </c>
      <c r="V39" s="349">
        <f t="shared" si="25"/>
        <v>1</v>
      </c>
      <c r="W39" s="85">
        <f t="shared" si="25"/>
        <v>1</v>
      </c>
      <c r="X39" s="85">
        <f t="shared" si="25"/>
        <v>1</v>
      </c>
      <c r="Y39" s="85">
        <f t="shared" si="25"/>
        <v>1</v>
      </c>
      <c r="Z39" s="246">
        <f t="shared" si="25"/>
        <v>1</v>
      </c>
      <c r="AA39" s="106">
        <f t="shared" si="25"/>
        <v>1</v>
      </c>
      <c r="AB39" s="313">
        <f>ROUND($R$19,0)-1</f>
        <v>0</v>
      </c>
      <c r="AC39" s="313">
        <f>ROUND($R$19,0)-1</f>
        <v>0</v>
      </c>
      <c r="AD39" s="313">
        <f>ROUND($R$19,0)-1</f>
        <v>0</v>
      </c>
      <c r="AE39" s="313">
        <f>ROUND($R$19,0)-1</f>
        <v>0</v>
      </c>
      <c r="AF39" s="313">
        <f>ROUND($R$19,0)-1</f>
        <v>0</v>
      </c>
      <c r="AG39" s="106"/>
      <c r="AH39" s="106"/>
      <c r="AI39" s="106"/>
      <c r="AJ39" s="106"/>
      <c r="AK39" s="106"/>
      <c r="AL39" s="106"/>
      <c r="AM39" s="106">
        <f>SUM(O39:AG39)</f>
        <v>9</v>
      </c>
      <c r="AN39" s="188">
        <f>ROUND($AM$39,0)-ROUND($R$16,0)</f>
        <v>0</v>
      </c>
    </row>
    <row r="40" spans="1:40" s="115" customFormat="1" x14ac:dyDescent="0.2">
      <c r="A40" s="303" t="s">
        <v>350</v>
      </c>
      <c r="B40" s="195" t="s">
        <v>66</v>
      </c>
      <c r="I40" s="106"/>
      <c r="J40" s="106"/>
      <c r="K40" s="106"/>
      <c r="L40" s="106"/>
      <c r="M40" s="106"/>
      <c r="N40" s="106"/>
      <c r="O40" s="106"/>
      <c r="P40" s="106"/>
      <c r="Q40" s="106"/>
      <c r="R40" s="106"/>
      <c r="S40" s="106"/>
      <c r="T40" s="106">
        <f>ROUND($S$19,0)</f>
        <v>2</v>
      </c>
      <c r="U40" s="106">
        <f t="shared" ref="U40:AF40" si="26">ROUND($S$19,0)</f>
        <v>2</v>
      </c>
      <c r="V40" s="349">
        <f t="shared" si="26"/>
        <v>2</v>
      </c>
      <c r="W40" s="85">
        <f t="shared" si="26"/>
        <v>2</v>
      </c>
      <c r="X40" s="85">
        <f t="shared" si="26"/>
        <v>2</v>
      </c>
      <c r="Y40" s="85">
        <f t="shared" si="26"/>
        <v>2</v>
      </c>
      <c r="Z40" s="246">
        <f t="shared" si="26"/>
        <v>2</v>
      </c>
      <c r="AA40" s="106">
        <f t="shared" si="26"/>
        <v>2</v>
      </c>
      <c r="AB40" s="106">
        <f t="shared" si="26"/>
        <v>2</v>
      </c>
      <c r="AC40" s="106">
        <f t="shared" si="26"/>
        <v>2</v>
      </c>
      <c r="AD40" s="106">
        <f t="shared" si="26"/>
        <v>2</v>
      </c>
      <c r="AE40" s="106">
        <f t="shared" si="26"/>
        <v>2</v>
      </c>
      <c r="AF40" s="106">
        <f t="shared" si="26"/>
        <v>2</v>
      </c>
      <c r="AG40" s="313">
        <f>ROUND($S$19,0)-1</f>
        <v>1</v>
      </c>
      <c r="AH40" s="106"/>
      <c r="AI40" s="106"/>
      <c r="AJ40" s="106"/>
      <c r="AK40" s="106"/>
      <c r="AL40" s="106"/>
      <c r="AM40" s="106">
        <f>SUM(O40:AG40)</f>
        <v>27</v>
      </c>
      <c r="AN40" s="188">
        <f>ROUND($AM40,0)-ROUND(S$16,0)</f>
        <v>0</v>
      </c>
    </row>
    <row r="41" spans="1:40" s="115" customFormat="1" x14ac:dyDescent="0.2">
      <c r="A41" s="195" t="s">
        <v>355</v>
      </c>
      <c r="B41" s="195" t="s">
        <v>66</v>
      </c>
      <c r="I41" s="106"/>
      <c r="J41" s="106"/>
      <c r="K41" s="106"/>
      <c r="L41" s="106"/>
      <c r="M41" s="106"/>
      <c r="N41" s="106"/>
      <c r="O41" s="106"/>
      <c r="P41" s="106"/>
      <c r="Q41" s="106"/>
      <c r="R41" s="106"/>
      <c r="S41" s="106"/>
      <c r="T41" s="106"/>
      <c r="U41" s="388">
        <f t="shared" ref="U41:AA41" si="27">ROUND($T$19,0)+1</f>
        <v>4</v>
      </c>
      <c r="V41" s="385">
        <f t="shared" si="27"/>
        <v>4</v>
      </c>
      <c r="W41" s="386">
        <f t="shared" si="27"/>
        <v>4</v>
      </c>
      <c r="X41" s="386">
        <f t="shared" si="27"/>
        <v>4</v>
      </c>
      <c r="Y41" s="386">
        <f t="shared" si="27"/>
        <v>4</v>
      </c>
      <c r="Z41" s="387">
        <f t="shared" si="27"/>
        <v>4</v>
      </c>
      <c r="AA41" s="388">
        <f t="shared" si="27"/>
        <v>4</v>
      </c>
      <c r="AB41" s="106">
        <f t="shared" ref="AB41:AH41" si="28">ROUND($T$19,0)</f>
        <v>3</v>
      </c>
      <c r="AC41" s="106">
        <f t="shared" si="28"/>
        <v>3</v>
      </c>
      <c r="AD41" s="106">
        <f t="shared" si="28"/>
        <v>3</v>
      </c>
      <c r="AE41" s="106">
        <f t="shared" si="28"/>
        <v>3</v>
      </c>
      <c r="AF41" s="106">
        <f t="shared" si="28"/>
        <v>3</v>
      </c>
      <c r="AG41" s="106">
        <f t="shared" si="28"/>
        <v>3</v>
      </c>
      <c r="AH41" s="106">
        <f t="shared" si="28"/>
        <v>3</v>
      </c>
      <c r="AI41" s="106"/>
      <c r="AJ41" s="106"/>
      <c r="AK41" s="106"/>
      <c r="AL41" s="106"/>
      <c r="AM41" s="106">
        <f>SUM(O41:AH41)</f>
        <v>49</v>
      </c>
      <c r="AN41" s="188">
        <f>ROUND($AM41,0)-ROUND(T$16,0)</f>
        <v>0</v>
      </c>
    </row>
    <row r="42" spans="1:40" s="115" customFormat="1" x14ac:dyDescent="0.2">
      <c r="A42" s="466" t="s">
        <v>358</v>
      </c>
      <c r="B42" s="195" t="s">
        <v>66</v>
      </c>
      <c r="I42" s="106"/>
      <c r="J42" s="106"/>
      <c r="K42" s="106"/>
      <c r="L42" s="106"/>
      <c r="M42" s="106"/>
      <c r="N42" s="106"/>
      <c r="O42" s="106"/>
      <c r="P42" s="106"/>
      <c r="Q42" s="106"/>
      <c r="R42" s="106"/>
      <c r="S42" s="106"/>
      <c r="T42" s="106"/>
      <c r="U42" s="106"/>
      <c r="V42" s="349">
        <f>ROUND($U$19,0)+1</f>
        <v>2</v>
      </c>
      <c r="W42" s="407">
        <f t="shared" ref="W42:AA42" si="29">ROUND($U$19,0)+1</f>
        <v>2</v>
      </c>
      <c r="X42" s="407">
        <f t="shared" si="29"/>
        <v>2</v>
      </c>
      <c r="Y42" s="407">
        <f t="shared" si="29"/>
        <v>2</v>
      </c>
      <c r="Z42" s="408">
        <f t="shared" si="29"/>
        <v>2</v>
      </c>
      <c r="AA42" s="409">
        <f t="shared" si="29"/>
        <v>2</v>
      </c>
      <c r="AB42" s="106">
        <f t="shared" ref="AB42:AG42" si="30">ROUND($U$19,0)</f>
        <v>1</v>
      </c>
      <c r="AC42" s="106">
        <f t="shared" si="30"/>
        <v>1</v>
      </c>
      <c r="AD42" s="106">
        <f t="shared" si="30"/>
        <v>1</v>
      </c>
      <c r="AE42" s="106">
        <f t="shared" si="30"/>
        <v>1</v>
      </c>
      <c r="AF42" s="106">
        <f t="shared" si="30"/>
        <v>1</v>
      </c>
      <c r="AG42" s="106">
        <f t="shared" si="30"/>
        <v>1</v>
      </c>
      <c r="AH42" s="106">
        <f>ROUND($U$19,0)</f>
        <v>1</v>
      </c>
      <c r="AI42" s="106">
        <f>ROUND($U$19,0)</f>
        <v>1</v>
      </c>
      <c r="AJ42" s="106"/>
      <c r="AK42" s="106"/>
      <c r="AL42" s="106"/>
      <c r="AM42" s="106">
        <f>SUM(O42:AH42)</f>
        <v>19</v>
      </c>
      <c r="AN42" s="188">
        <f>ROUND($AM42,0)-ROUND(U$16,0)</f>
        <v>0</v>
      </c>
    </row>
    <row r="43" spans="1:40" s="115" customFormat="1" x14ac:dyDescent="0.2">
      <c r="A43" s="295" t="s">
        <v>363</v>
      </c>
      <c r="B43" s="195"/>
      <c r="I43" s="106"/>
      <c r="J43" s="106"/>
      <c r="K43" s="106"/>
      <c r="L43" s="106"/>
      <c r="M43" s="106"/>
      <c r="N43" s="106"/>
      <c r="O43" s="106"/>
      <c r="P43" s="106"/>
      <c r="Q43" s="106"/>
      <c r="R43" s="106"/>
      <c r="S43" s="106"/>
      <c r="T43" s="106"/>
      <c r="U43" s="106"/>
      <c r="V43" s="349"/>
      <c r="W43" s="407">
        <f t="shared" ref="W43:AC43" si="31">ROUND($V$19,0)+1</f>
        <v>2</v>
      </c>
      <c r="X43" s="407">
        <f t="shared" si="31"/>
        <v>2</v>
      </c>
      <c r="Y43" s="407">
        <f t="shared" si="31"/>
        <v>2</v>
      </c>
      <c r="Z43" s="408">
        <f t="shared" si="31"/>
        <v>2</v>
      </c>
      <c r="AA43" s="409">
        <f t="shared" si="31"/>
        <v>2</v>
      </c>
      <c r="AB43" s="106">
        <f t="shared" si="31"/>
        <v>2</v>
      </c>
      <c r="AC43" s="106">
        <f t="shared" si="31"/>
        <v>2</v>
      </c>
      <c r="AD43" s="106">
        <f t="shared" ref="AD43:AK43" si="32">ROUND($V$19,0)</f>
        <v>1</v>
      </c>
      <c r="AE43" s="106">
        <f t="shared" si="32"/>
        <v>1</v>
      </c>
      <c r="AF43" s="106">
        <f t="shared" si="32"/>
        <v>1</v>
      </c>
      <c r="AG43" s="106">
        <f t="shared" si="32"/>
        <v>1</v>
      </c>
      <c r="AH43" s="106">
        <f t="shared" si="32"/>
        <v>1</v>
      </c>
      <c r="AI43" s="106">
        <f t="shared" si="32"/>
        <v>1</v>
      </c>
      <c r="AJ43" s="106">
        <f t="shared" si="32"/>
        <v>1</v>
      </c>
      <c r="AK43" s="106">
        <f t="shared" si="32"/>
        <v>1</v>
      </c>
      <c r="AL43" s="106">
        <f>ROUND($V$19,0)*0.3</f>
        <v>0.3</v>
      </c>
      <c r="AM43" s="106">
        <f>SUM(O43:AL43)</f>
        <v>22.3</v>
      </c>
      <c r="AN43" s="188">
        <f>ROUND($AM43,0)-ROUND(V$16,0)</f>
        <v>0</v>
      </c>
    </row>
    <row r="44" spans="1:40" s="31" customFormat="1" x14ac:dyDescent="0.2">
      <c r="A44" s="31" t="s">
        <v>90</v>
      </c>
      <c r="B44" s="31" t="s">
        <v>31</v>
      </c>
      <c r="C44" s="37">
        <f>SUM(C24:C41)</f>
        <v>6</v>
      </c>
      <c r="D44" s="37">
        <f t="shared" ref="D44:T44" si="33">SUM(D24:D41)</f>
        <v>14</v>
      </c>
      <c r="E44" s="37">
        <f t="shared" si="33"/>
        <v>16</v>
      </c>
      <c r="F44" s="37">
        <f t="shared" si="33"/>
        <v>22</v>
      </c>
      <c r="G44" s="37">
        <f t="shared" si="33"/>
        <v>19</v>
      </c>
      <c r="H44" s="37">
        <f t="shared" si="33"/>
        <v>21</v>
      </c>
      <c r="I44" s="37">
        <f t="shared" si="33"/>
        <v>15</v>
      </c>
      <c r="J44" s="37">
        <f t="shared" si="33"/>
        <v>41</v>
      </c>
      <c r="K44" s="37">
        <f t="shared" si="33"/>
        <v>40</v>
      </c>
      <c r="L44" s="37">
        <f t="shared" si="33"/>
        <v>41</v>
      </c>
      <c r="M44" s="37">
        <f t="shared" si="33"/>
        <v>43</v>
      </c>
      <c r="N44" s="37">
        <f t="shared" si="33"/>
        <v>42</v>
      </c>
      <c r="O44" s="37">
        <f t="shared" si="33"/>
        <v>39</v>
      </c>
      <c r="P44" s="37">
        <f t="shared" si="33"/>
        <v>40</v>
      </c>
      <c r="Q44" s="37">
        <f t="shared" si="33"/>
        <v>22</v>
      </c>
      <c r="R44" s="136">
        <f t="shared" si="33"/>
        <v>16</v>
      </c>
      <c r="S44" s="136">
        <f t="shared" si="33"/>
        <v>16</v>
      </c>
      <c r="T44" s="136">
        <f t="shared" si="33"/>
        <v>14</v>
      </c>
      <c r="U44" s="136">
        <f>SUM(U24:U42)</f>
        <v>16</v>
      </c>
      <c r="V44" s="355">
        <f t="shared" ref="V44" si="34">SUM(V24:V42)</f>
        <v>24</v>
      </c>
      <c r="W44" s="91">
        <f>SUM(W24:W43)</f>
        <v>0</v>
      </c>
      <c r="X44" s="91">
        <f t="shared" ref="X44:AI44" si="35">SUM(X24:X43)</f>
        <v>2</v>
      </c>
      <c r="Y44" s="91">
        <f t="shared" si="35"/>
        <v>1</v>
      </c>
      <c r="Z44" s="253">
        <f t="shared" si="35"/>
        <v>-1</v>
      </c>
      <c r="AA44" s="37">
        <f t="shared" si="35"/>
        <v>-1</v>
      </c>
      <c r="AB44" s="37">
        <f t="shared" si="35"/>
        <v>0</v>
      </c>
      <c r="AC44" s="37">
        <f t="shared" si="35"/>
        <v>2</v>
      </c>
      <c r="AD44" s="37">
        <f t="shared" si="35"/>
        <v>-6</v>
      </c>
      <c r="AE44" s="37">
        <f t="shared" si="35"/>
        <v>1</v>
      </c>
      <c r="AF44" s="37">
        <f t="shared" si="35"/>
        <v>7</v>
      </c>
      <c r="AG44" s="37">
        <f t="shared" si="35"/>
        <v>6</v>
      </c>
      <c r="AH44" s="37">
        <f t="shared" si="35"/>
        <v>5</v>
      </c>
      <c r="AI44" s="37">
        <f t="shared" si="35"/>
        <v>2</v>
      </c>
      <c r="AJ44" s="37">
        <f>SUM(AJ24:AJ43)</f>
        <v>1</v>
      </c>
      <c r="AK44" s="37">
        <f>SUM(AK24:AK43)</f>
        <v>1</v>
      </c>
      <c r="AL44" s="37">
        <f>SUM(AL24:AL43)</f>
        <v>0.3</v>
      </c>
      <c r="AM44" s="37">
        <f t="shared" ref="AM44" si="36">SUM(AM24:AM42)</f>
        <v>504</v>
      </c>
      <c r="AN44" s="37">
        <f t="shared" ref="AN44" si="37">SUM(AN24:AN42)</f>
        <v>0</v>
      </c>
    </row>
    <row r="46" spans="1:40" s="3" customFormat="1" ht="15" x14ac:dyDescent="0.35">
      <c r="A46" s="41" t="s">
        <v>268</v>
      </c>
      <c r="C46" s="3">
        <f>'RCA data'!D14</f>
        <v>0</v>
      </c>
      <c r="D46" s="3">
        <f>'RCA data'!E14</f>
        <v>0</v>
      </c>
      <c r="E46" s="3">
        <f>'RCA data'!F14</f>
        <v>0</v>
      </c>
      <c r="F46" s="3">
        <f>'RCA data'!G14</f>
        <v>0</v>
      </c>
      <c r="G46" s="3">
        <f>'RCA data'!H14</f>
        <v>0</v>
      </c>
      <c r="H46" s="3">
        <f>'RCA data'!I14</f>
        <v>39</v>
      </c>
      <c r="I46" s="3">
        <f>'RCA data'!J14</f>
        <v>0</v>
      </c>
      <c r="J46" s="3">
        <f>'RCA data'!K14</f>
        <v>0</v>
      </c>
      <c r="K46" s="3">
        <f>'RCA data'!L14</f>
        <v>0</v>
      </c>
      <c r="L46" s="3">
        <f>'RCA data'!M14</f>
        <v>0</v>
      </c>
      <c r="M46" s="121">
        <f>'RCA data'!N14</f>
        <v>0</v>
      </c>
      <c r="N46" s="121">
        <f>'RCA data'!O14</f>
        <v>0</v>
      </c>
      <c r="O46" s="121">
        <f>'RCA data'!P14</f>
        <v>0</v>
      </c>
      <c r="P46" s="121">
        <f>'RCA data'!Q14</f>
        <v>0</v>
      </c>
      <c r="Q46" s="121">
        <f>'RCA data'!R14</f>
        <v>0</v>
      </c>
      <c r="R46" s="121">
        <f>'RCA data'!S14</f>
        <v>0</v>
      </c>
      <c r="S46" s="121">
        <f>'RCA data'!T14</f>
        <v>0</v>
      </c>
      <c r="T46" s="121">
        <f>'RCA data'!U14</f>
        <v>0</v>
      </c>
      <c r="U46" s="121"/>
      <c r="V46" s="345"/>
      <c r="W46" s="79"/>
      <c r="X46" s="79"/>
      <c r="Y46" s="79"/>
      <c r="Z46" s="240"/>
      <c r="AN46" s="178"/>
    </row>
    <row r="48" spans="1:40" x14ac:dyDescent="0.2">
      <c r="A48" s="28" t="s">
        <v>269</v>
      </c>
    </row>
    <row r="49" spans="1:40" s="3" customFormat="1" x14ac:dyDescent="0.2">
      <c r="A49" s="3" t="s">
        <v>134</v>
      </c>
      <c r="B49" s="3" t="s">
        <v>267</v>
      </c>
      <c r="H49" s="3">
        <f>'RCA amend'!C16</f>
        <v>-5</v>
      </c>
      <c r="I49" s="3">
        <f>'RCA amend'!D16</f>
        <v>-5</v>
      </c>
      <c r="J49" s="3">
        <f>'RCA amend'!E16</f>
        <v>-5</v>
      </c>
      <c r="K49" s="121">
        <f>'RCA amend'!F16</f>
        <v>-4</v>
      </c>
      <c r="L49" s="121">
        <f>'RCA amend'!G16</f>
        <v>-4</v>
      </c>
      <c r="M49" s="121">
        <f>'RCA amend'!H16</f>
        <v>-4</v>
      </c>
      <c r="N49" s="121">
        <f>'RCA amend'!I16</f>
        <v>-4</v>
      </c>
      <c r="O49" s="121">
        <f>'RCA amend'!J16</f>
        <v>-4</v>
      </c>
      <c r="P49" s="121">
        <f>'RCA amend'!K16</f>
        <v>-4</v>
      </c>
      <c r="Q49" s="121"/>
      <c r="R49" s="121"/>
      <c r="S49" s="121"/>
      <c r="T49" s="121"/>
      <c r="U49" s="121"/>
      <c r="V49" s="345"/>
      <c r="W49" s="79"/>
      <c r="X49" s="79"/>
      <c r="Y49" s="79"/>
      <c r="Z49" s="240"/>
      <c r="AN49" s="178"/>
    </row>
    <row r="50" spans="1:40" s="3" customFormat="1" x14ac:dyDescent="0.2">
      <c r="C50" s="6"/>
      <c r="D50" s="6"/>
      <c r="E50" s="6"/>
      <c r="F50" s="6"/>
      <c r="G50" s="6"/>
      <c r="H50" s="6"/>
      <c r="I50" s="6"/>
      <c r="J50" s="6"/>
      <c r="K50" s="125"/>
      <c r="L50" s="125"/>
      <c r="M50" s="125"/>
      <c r="N50" s="125"/>
      <c r="O50" s="125"/>
      <c r="P50" s="125"/>
      <c r="Q50" s="125"/>
      <c r="R50" s="125"/>
      <c r="S50" s="125"/>
      <c r="T50" s="125"/>
      <c r="U50" s="121"/>
      <c r="V50" s="345"/>
      <c r="W50" s="79"/>
      <c r="X50" s="79"/>
      <c r="Y50" s="79"/>
      <c r="Z50" s="240"/>
      <c r="AN50" s="178"/>
    </row>
    <row r="51" spans="1:40" s="25" customFormat="1" x14ac:dyDescent="0.2">
      <c r="A51" s="25" t="s">
        <v>270</v>
      </c>
      <c r="B51" s="25" t="s">
        <v>31</v>
      </c>
      <c r="C51" s="26">
        <f t="shared" ref="C51:U51" si="38">SUM(C49:C50)</f>
        <v>0</v>
      </c>
      <c r="D51" s="26">
        <f t="shared" si="38"/>
        <v>0</v>
      </c>
      <c r="E51" s="26">
        <f t="shared" si="38"/>
        <v>0</v>
      </c>
      <c r="F51" s="26">
        <f t="shared" si="38"/>
        <v>0</v>
      </c>
      <c r="G51" s="26">
        <f t="shared" si="38"/>
        <v>0</v>
      </c>
      <c r="H51" s="26">
        <f t="shared" si="38"/>
        <v>-5</v>
      </c>
      <c r="I51" s="26">
        <f t="shared" si="38"/>
        <v>-5</v>
      </c>
      <c r="J51" s="26">
        <f t="shared" si="38"/>
        <v>-5</v>
      </c>
      <c r="K51" s="129">
        <f t="shared" si="38"/>
        <v>-4</v>
      </c>
      <c r="L51" s="129">
        <f t="shared" si="38"/>
        <v>-4</v>
      </c>
      <c r="M51" s="129">
        <f t="shared" si="38"/>
        <v>-4</v>
      </c>
      <c r="N51" s="129">
        <f t="shared" si="38"/>
        <v>-4</v>
      </c>
      <c r="O51" s="129">
        <f t="shared" si="38"/>
        <v>-4</v>
      </c>
      <c r="P51" s="129">
        <f t="shared" si="38"/>
        <v>-4</v>
      </c>
      <c r="Q51" s="129">
        <f t="shared" si="38"/>
        <v>0</v>
      </c>
      <c r="R51" s="129">
        <f t="shared" si="38"/>
        <v>0</v>
      </c>
      <c r="S51" s="129">
        <f t="shared" si="38"/>
        <v>0</v>
      </c>
      <c r="T51" s="129">
        <f t="shared" si="38"/>
        <v>0</v>
      </c>
      <c r="U51" s="129">
        <f t="shared" si="38"/>
        <v>0</v>
      </c>
      <c r="V51" s="347">
        <f t="shared" ref="V51:AH51" si="39">SUM(V49:V50)</f>
        <v>0</v>
      </c>
      <c r="W51" s="83">
        <f t="shared" si="39"/>
        <v>0</v>
      </c>
      <c r="X51" s="83">
        <f t="shared" si="39"/>
        <v>0</v>
      </c>
      <c r="Y51" s="83">
        <f t="shared" si="39"/>
        <v>0</v>
      </c>
      <c r="Z51" s="244">
        <f t="shared" si="39"/>
        <v>0</v>
      </c>
      <c r="AA51" s="26">
        <f t="shared" si="39"/>
        <v>0</v>
      </c>
      <c r="AB51" s="26">
        <f t="shared" si="39"/>
        <v>0</v>
      </c>
      <c r="AC51" s="26">
        <f t="shared" si="39"/>
        <v>0</v>
      </c>
      <c r="AD51" s="26">
        <f t="shared" si="39"/>
        <v>0</v>
      </c>
      <c r="AE51" s="26">
        <f t="shared" si="39"/>
        <v>0</v>
      </c>
      <c r="AF51" s="26">
        <f t="shared" si="39"/>
        <v>0</v>
      </c>
      <c r="AG51" s="26">
        <f t="shared" si="39"/>
        <v>0</v>
      </c>
      <c r="AH51" s="26">
        <f t="shared" si="39"/>
        <v>0</v>
      </c>
      <c r="AN51" s="185"/>
    </row>
    <row r="53" spans="1:40" x14ac:dyDescent="0.2">
      <c r="A53" s="28" t="s">
        <v>271</v>
      </c>
    </row>
    <row r="54" spans="1:40" x14ac:dyDescent="0.2">
      <c r="A54" t="s">
        <v>272</v>
      </c>
      <c r="B54" t="s">
        <v>66</v>
      </c>
      <c r="C54" s="22">
        <f t="shared" ref="C54:T54" si="40">+C44</f>
        <v>6</v>
      </c>
      <c r="D54" s="22">
        <f t="shared" si="40"/>
        <v>14</v>
      </c>
      <c r="E54" s="22">
        <f t="shared" si="40"/>
        <v>16</v>
      </c>
      <c r="F54" s="22">
        <f t="shared" si="40"/>
        <v>22</v>
      </c>
      <c r="G54" s="22">
        <f t="shared" si="40"/>
        <v>19</v>
      </c>
      <c r="H54" s="22">
        <f t="shared" si="40"/>
        <v>21</v>
      </c>
      <c r="I54" s="22">
        <f t="shared" si="40"/>
        <v>15</v>
      </c>
      <c r="J54" s="22">
        <f t="shared" si="40"/>
        <v>41</v>
      </c>
      <c r="K54" s="106">
        <f t="shared" si="40"/>
        <v>40</v>
      </c>
      <c r="L54" s="106">
        <f t="shared" si="40"/>
        <v>41</v>
      </c>
      <c r="M54" s="106">
        <f t="shared" si="40"/>
        <v>43</v>
      </c>
      <c r="N54" s="106">
        <f t="shared" si="40"/>
        <v>42</v>
      </c>
      <c r="O54" s="106">
        <f t="shared" si="40"/>
        <v>39</v>
      </c>
      <c r="P54" s="106">
        <f t="shared" si="40"/>
        <v>40</v>
      </c>
      <c r="Q54" s="106">
        <f t="shared" si="40"/>
        <v>22</v>
      </c>
      <c r="R54" s="106">
        <f t="shared" si="40"/>
        <v>16</v>
      </c>
      <c r="S54" s="106">
        <f t="shared" si="40"/>
        <v>16</v>
      </c>
      <c r="T54" s="106">
        <f t="shared" si="40"/>
        <v>14</v>
      </c>
      <c r="U54" s="106">
        <f t="shared" ref="U54:AA54" si="41">+U44</f>
        <v>16</v>
      </c>
      <c r="V54" s="349">
        <f t="shared" si="41"/>
        <v>24</v>
      </c>
      <c r="W54" s="85">
        <f t="shared" si="41"/>
        <v>0</v>
      </c>
      <c r="X54" s="85">
        <f t="shared" si="41"/>
        <v>2</v>
      </c>
      <c r="Y54" s="85">
        <f t="shared" si="41"/>
        <v>1</v>
      </c>
      <c r="Z54" s="246">
        <f t="shared" si="41"/>
        <v>-1</v>
      </c>
      <c r="AA54" s="22">
        <f t="shared" si="41"/>
        <v>-1</v>
      </c>
      <c r="AB54" s="22">
        <f>+AB44</f>
        <v>0</v>
      </c>
      <c r="AC54" s="22">
        <f>+AC44</f>
        <v>2</v>
      </c>
      <c r="AD54" s="22">
        <f>+AD44</f>
        <v>-6</v>
      </c>
      <c r="AE54" s="22">
        <f t="shared" ref="AE54:AH54" si="42">+AE44</f>
        <v>1</v>
      </c>
      <c r="AF54" s="22">
        <f t="shared" si="42"/>
        <v>7</v>
      </c>
      <c r="AG54" s="22">
        <f t="shared" si="42"/>
        <v>6</v>
      </c>
      <c r="AH54" s="22">
        <f t="shared" si="42"/>
        <v>5</v>
      </c>
    </row>
    <row r="55" spans="1:40" x14ac:dyDescent="0.2">
      <c r="A55" t="s">
        <v>273</v>
      </c>
      <c r="B55" t="s">
        <v>66</v>
      </c>
      <c r="C55" s="38">
        <f t="shared" ref="C55:T55" si="43">+C51</f>
        <v>0</v>
      </c>
      <c r="D55" s="38">
        <f t="shared" si="43"/>
        <v>0</v>
      </c>
      <c r="E55" s="38">
        <f t="shared" si="43"/>
        <v>0</v>
      </c>
      <c r="F55" s="38">
        <f t="shared" si="43"/>
        <v>0</v>
      </c>
      <c r="G55" s="38">
        <f t="shared" si="43"/>
        <v>0</v>
      </c>
      <c r="H55" s="38">
        <f t="shared" si="43"/>
        <v>-5</v>
      </c>
      <c r="I55" s="38">
        <f t="shared" si="43"/>
        <v>-5</v>
      </c>
      <c r="J55" s="38">
        <f t="shared" si="43"/>
        <v>-5</v>
      </c>
      <c r="K55" s="137">
        <f t="shared" si="43"/>
        <v>-4</v>
      </c>
      <c r="L55" s="137">
        <f t="shared" si="43"/>
        <v>-4</v>
      </c>
      <c r="M55" s="137">
        <f t="shared" si="43"/>
        <v>-4</v>
      </c>
      <c r="N55" s="137">
        <f t="shared" si="43"/>
        <v>-4</v>
      </c>
      <c r="O55" s="137">
        <f t="shared" si="43"/>
        <v>-4</v>
      </c>
      <c r="P55" s="137">
        <f t="shared" si="43"/>
        <v>-4</v>
      </c>
      <c r="Q55" s="137">
        <f t="shared" si="43"/>
        <v>0</v>
      </c>
      <c r="R55" s="137">
        <f t="shared" si="43"/>
        <v>0</v>
      </c>
      <c r="S55" s="137">
        <f t="shared" si="43"/>
        <v>0</v>
      </c>
      <c r="T55" s="137">
        <f t="shared" si="43"/>
        <v>0</v>
      </c>
      <c r="U55" s="137">
        <f t="shared" ref="U55:AA55" si="44">+U51</f>
        <v>0</v>
      </c>
      <c r="V55" s="356">
        <f t="shared" si="44"/>
        <v>0</v>
      </c>
      <c r="W55" s="92">
        <f t="shared" si="44"/>
        <v>0</v>
      </c>
      <c r="X55" s="92">
        <f t="shared" si="44"/>
        <v>0</v>
      </c>
      <c r="Y55" s="92">
        <f t="shared" si="44"/>
        <v>0</v>
      </c>
      <c r="Z55" s="254">
        <f t="shared" si="44"/>
        <v>0</v>
      </c>
      <c r="AA55" s="38">
        <f t="shared" si="44"/>
        <v>0</v>
      </c>
      <c r="AB55" s="38">
        <f>+AB51</f>
        <v>0</v>
      </c>
      <c r="AC55" s="38">
        <f>+AC51</f>
        <v>0</v>
      </c>
      <c r="AD55" s="38">
        <f>+AD51</f>
        <v>0</v>
      </c>
      <c r="AE55" s="38">
        <f t="shared" ref="AE55:AH55" si="45">+AE51</f>
        <v>0</v>
      </c>
      <c r="AF55" s="38">
        <f t="shared" si="45"/>
        <v>0</v>
      </c>
      <c r="AG55" s="38">
        <f t="shared" si="45"/>
        <v>0</v>
      </c>
      <c r="AH55" s="38">
        <f t="shared" si="45"/>
        <v>0</v>
      </c>
    </row>
    <row r="56" spans="1:40" s="18" customFormat="1" ht="16.5" thickBot="1" x14ac:dyDescent="0.3">
      <c r="A56" s="18" t="s">
        <v>136</v>
      </c>
      <c r="C56" s="27">
        <f t="shared" ref="C56:U56" si="46">SUM(C54:C55)</f>
        <v>6</v>
      </c>
      <c r="D56" s="27">
        <f t="shared" si="46"/>
        <v>14</v>
      </c>
      <c r="E56" s="27">
        <f t="shared" si="46"/>
        <v>16</v>
      </c>
      <c r="F56" s="27">
        <f t="shared" si="46"/>
        <v>22</v>
      </c>
      <c r="G56" s="27">
        <f t="shared" si="46"/>
        <v>19</v>
      </c>
      <c r="H56" s="27">
        <f t="shared" si="46"/>
        <v>16</v>
      </c>
      <c r="I56" s="27">
        <f t="shared" si="46"/>
        <v>10</v>
      </c>
      <c r="J56" s="27">
        <f t="shared" si="46"/>
        <v>36</v>
      </c>
      <c r="K56" s="138">
        <f t="shared" si="46"/>
        <v>36</v>
      </c>
      <c r="L56" s="138">
        <f t="shared" si="46"/>
        <v>37</v>
      </c>
      <c r="M56" s="138">
        <f t="shared" si="46"/>
        <v>39</v>
      </c>
      <c r="N56" s="138">
        <f t="shared" si="46"/>
        <v>38</v>
      </c>
      <c r="O56" s="138">
        <f t="shared" si="46"/>
        <v>35</v>
      </c>
      <c r="P56" s="138">
        <f t="shared" si="46"/>
        <v>36</v>
      </c>
      <c r="Q56" s="138">
        <f t="shared" si="46"/>
        <v>22</v>
      </c>
      <c r="R56" s="138">
        <f t="shared" si="46"/>
        <v>16</v>
      </c>
      <c r="S56" s="138">
        <f t="shared" si="46"/>
        <v>16</v>
      </c>
      <c r="T56" s="138">
        <f t="shared" si="46"/>
        <v>14</v>
      </c>
      <c r="U56" s="138">
        <f t="shared" si="46"/>
        <v>16</v>
      </c>
      <c r="V56" s="357">
        <f t="shared" ref="V56:AH56" si="47">SUM(V54:V55)</f>
        <v>24</v>
      </c>
      <c r="W56" s="93">
        <f t="shared" si="47"/>
        <v>0</v>
      </c>
      <c r="X56" s="93">
        <f t="shared" si="47"/>
        <v>2</v>
      </c>
      <c r="Y56" s="93">
        <f t="shared" si="47"/>
        <v>1</v>
      </c>
      <c r="Z56" s="255">
        <f t="shared" si="47"/>
        <v>-1</v>
      </c>
      <c r="AA56" s="27">
        <f t="shared" si="47"/>
        <v>-1</v>
      </c>
      <c r="AB56" s="27">
        <f t="shared" si="47"/>
        <v>0</v>
      </c>
      <c r="AC56" s="27">
        <f t="shared" si="47"/>
        <v>2</v>
      </c>
      <c r="AD56" s="27">
        <f t="shared" si="47"/>
        <v>-6</v>
      </c>
      <c r="AE56" s="27">
        <f t="shared" si="47"/>
        <v>1</v>
      </c>
      <c r="AF56" s="27">
        <f t="shared" si="47"/>
        <v>7</v>
      </c>
      <c r="AG56" s="27">
        <f t="shared" si="47"/>
        <v>6</v>
      </c>
      <c r="AH56" s="27">
        <f t="shared" si="47"/>
        <v>5</v>
      </c>
      <c r="AN56" s="177"/>
    </row>
    <row r="57" spans="1:40" ht="13.5" thickTop="1" x14ac:dyDescent="0.2"/>
    <row r="59" spans="1:40" x14ac:dyDescent="0.2">
      <c r="A59" s="28" t="s">
        <v>274</v>
      </c>
    </row>
    <row r="60" spans="1:40" x14ac:dyDescent="0.2">
      <c r="A60" t="s">
        <v>275</v>
      </c>
      <c r="C60" s="22">
        <f t="shared" ref="C60:H60" si="48">+C21</f>
        <v>80.314374999999984</v>
      </c>
      <c r="D60" s="22">
        <f t="shared" si="48"/>
        <v>189.16749999999996</v>
      </c>
      <c r="E60" s="22">
        <f t="shared" si="48"/>
        <v>212.80374999999998</v>
      </c>
      <c r="F60" s="22">
        <f t="shared" si="48"/>
        <v>291.82749999999999</v>
      </c>
      <c r="G60" s="22">
        <f t="shared" si="48"/>
        <v>250.57749999999999</v>
      </c>
      <c r="H60" s="22">
        <f t="shared" si="48"/>
        <v>276.31899999999996</v>
      </c>
      <c r="I60" s="22">
        <f t="shared" ref="I60:N60" si="49">+I21</f>
        <v>205.17179749999997</v>
      </c>
      <c r="J60" s="22">
        <f t="shared" si="49"/>
        <v>542.8445872499999</v>
      </c>
      <c r="K60" s="106">
        <f t="shared" si="49"/>
        <v>524.87023037499989</v>
      </c>
      <c r="L60" s="106">
        <f t="shared" si="49"/>
        <v>559.25104737499987</v>
      </c>
      <c r="M60" s="106">
        <f t="shared" si="49"/>
        <v>527.76802637499986</v>
      </c>
      <c r="N60" s="106">
        <f t="shared" si="49"/>
        <v>501.00473162499986</v>
      </c>
      <c r="O60" s="106">
        <f t="shared" ref="O60:T60" si="50">+O21</f>
        <v>531.21802162499989</v>
      </c>
      <c r="P60" s="106">
        <f t="shared" si="50"/>
        <v>472.64110162499986</v>
      </c>
      <c r="Q60" s="106">
        <f t="shared" si="50"/>
        <v>399.96002112499991</v>
      </c>
      <c r="R60" s="106">
        <f t="shared" si="50"/>
        <v>408.66164349999997</v>
      </c>
      <c r="S60" s="106">
        <f t="shared" si="50"/>
        <v>435.65021599999989</v>
      </c>
      <c r="T60" s="106">
        <f t="shared" si="50"/>
        <v>484.76914099999993</v>
      </c>
      <c r="U60" s="106">
        <f t="shared" ref="U60:Z60" si="51">+U21</f>
        <v>503.83737749999989</v>
      </c>
      <c r="V60" s="349">
        <f t="shared" si="51"/>
        <v>526.10487499999988</v>
      </c>
      <c r="W60" s="85">
        <f t="shared" si="51"/>
        <v>526.07215984999993</v>
      </c>
      <c r="X60" s="85">
        <f t="shared" si="51"/>
        <v>526.03963887774989</v>
      </c>
      <c r="Y60" s="85">
        <f t="shared" si="51"/>
        <v>526.00733211854117</v>
      </c>
      <c r="Z60" s="246">
        <f t="shared" si="51"/>
        <v>525.97526033625991</v>
      </c>
    </row>
    <row r="61" spans="1:40" x14ac:dyDescent="0.2">
      <c r="A61" t="s">
        <v>149</v>
      </c>
      <c r="C61" s="22">
        <f>-SUM($C$44:C44)</f>
        <v>-6</v>
      </c>
      <c r="D61" s="22">
        <f>-SUM($C$44:D44)</f>
        <v>-20</v>
      </c>
      <c r="E61" s="22">
        <f>-SUM($C$44:E44)</f>
        <v>-36</v>
      </c>
      <c r="F61" s="22">
        <f>-SUM($C$44:F44)</f>
        <v>-58</v>
      </c>
      <c r="G61" s="22">
        <f>-SUM($C$44:G44)+1</f>
        <v>-76</v>
      </c>
      <c r="H61" s="22">
        <f>-SUM($C$44:H44)+2</f>
        <v>-96</v>
      </c>
      <c r="I61" s="22">
        <f>-SUM($C$44:I44)+1</f>
        <v>-112</v>
      </c>
      <c r="J61" s="22">
        <f>-SUM($C$44:J44)+1</f>
        <v>-153</v>
      </c>
      <c r="K61" s="106">
        <f>-SUM($C$44:K44)+1</f>
        <v>-193</v>
      </c>
      <c r="L61" s="106">
        <f>-SUM($C$44:L44)+1</f>
        <v>-234</v>
      </c>
      <c r="M61" s="106">
        <f>-SUM($C$44:M44)+1</f>
        <v>-277</v>
      </c>
      <c r="N61" s="106">
        <f>-SUM($C$44:N44)+1</f>
        <v>-319</v>
      </c>
      <c r="O61" s="106">
        <f>-SUM($C$44:O44)+1</f>
        <v>-358</v>
      </c>
      <c r="P61" s="106">
        <f>-SUM($C$44:P44)+1</f>
        <v>-398</v>
      </c>
      <c r="Q61" s="106">
        <f>-SUM($C$44:Q44)+1</f>
        <v>-420</v>
      </c>
      <c r="R61" s="106">
        <f>-SUM($C$44:R44)+1</f>
        <v>-436</v>
      </c>
      <c r="S61" s="106">
        <f>-SUM($C$44:S44)+1</f>
        <v>-452</v>
      </c>
      <c r="T61" s="106">
        <f>-SUM($C$44:T44)+1</f>
        <v>-466</v>
      </c>
      <c r="U61" s="106">
        <f>-SUM($C$44:U44)+1</f>
        <v>-482</v>
      </c>
      <c r="V61" s="349">
        <f>-SUM($C$44:V44)+1</f>
        <v>-506</v>
      </c>
      <c r="W61" s="85">
        <f>-SUM($C$44:W44)+1</f>
        <v>-506</v>
      </c>
      <c r="X61" s="85">
        <f>-SUM($C$44:X44)+1</f>
        <v>-508</v>
      </c>
      <c r="Y61" s="85">
        <f>-SUM($C$44:Y44)+1</f>
        <v>-509</v>
      </c>
      <c r="Z61" s="246">
        <f>-SUM($C$44:Z44)+1</f>
        <v>-508</v>
      </c>
    </row>
    <row r="62" spans="1:40" x14ac:dyDescent="0.2">
      <c r="A62" t="s">
        <v>150</v>
      </c>
      <c r="C62" s="22">
        <f>-SUM($C$46:C46)</f>
        <v>0</v>
      </c>
      <c r="D62" s="22">
        <f>-SUM($C$46:D46)</f>
        <v>0</v>
      </c>
      <c r="E62" s="22">
        <f>-SUM($C$46:E46)</f>
        <v>0</v>
      </c>
      <c r="F62" s="22">
        <f>-SUM($C$46:F46)</f>
        <v>0</v>
      </c>
      <c r="G62" s="22">
        <f>-SUM($C$46:G46)</f>
        <v>0</v>
      </c>
      <c r="H62" s="22">
        <f>-SUM($C$46:H46)</f>
        <v>-39</v>
      </c>
      <c r="I62" s="22">
        <f>-SUM($C$46:I46)+1</f>
        <v>-38</v>
      </c>
      <c r="J62" s="22">
        <f>-SUM($C$46:J46)+1</f>
        <v>-38</v>
      </c>
      <c r="K62" s="106">
        <f>-SUM($C$46:K46)+1</f>
        <v>-38</v>
      </c>
      <c r="L62" s="106">
        <f>-SUM($C$46:L46)+1</f>
        <v>-38</v>
      </c>
      <c r="M62" s="106">
        <f>-SUM($C$46:M46)+1</f>
        <v>-38</v>
      </c>
      <c r="N62" s="106">
        <f>-SUM($C$46:N46)+1</f>
        <v>-38</v>
      </c>
      <c r="O62" s="106">
        <f>-SUM($C$46:O46)+1</f>
        <v>-38</v>
      </c>
      <c r="P62" s="106">
        <f>-SUM($C$46:P46)+1</f>
        <v>-38</v>
      </c>
      <c r="Q62" s="106">
        <f>-SUM($C$46:Q46)+1</f>
        <v>-38</v>
      </c>
      <c r="R62" s="106">
        <f>-SUM($C$46:R46)+1</f>
        <v>-38</v>
      </c>
      <c r="S62" s="106">
        <f>-SUM($C$46:S46)+1</f>
        <v>-38</v>
      </c>
      <c r="T62" s="106">
        <f>-SUM($C$46:T46)+1</f>
        <v>-38</v>
      </c>
      <c r="U62" s="106">
        <f>-SUM($C$46:U46)+1</f>
        <v>-38</v>
      </c>
      <c r="V62" s="349">
        <f>-SUM($C$46:V46)+1</f>
        <v>-38</v>
      </c>
      <c r="W62" s="85">
        <f>-SUM($C$46:W46)+1</f>
        <v>-38</v>
      </c>
      <c r="X62" s="85">
        <f>-SUM($C$46:X46)+1</f>
        <v>-38</v>
      </c>
      <c r="Y62" s="85">
        <f>-SUM($C$46:Y46)+1</f>
        <v>-38</v>
      </c>
      <c r="Z62" s="246">
        <f>-SUM($C$46:Z46)+1</f>
        <v>-38</v>
      </c>
    </row>
    <row r="63" spans="1:40" x14ac:dyDescent="0.2">
      <c r="A63" t="s">
        <v>151</v>
      </c>
      <c r="C63" s="38">
        <f>-SUM($C$51:C51)</f>
        <v>0</v>
      </c>
      <c r="D63" s="38">
        <f>-SUM($C$51:D51)</f>
        <v>0</v>
      </c>
      <c r="E63" s="38">
        <f>-SUM($C$51:E51)</f>
        <v>0</v>
      </c>
      <c r="F63" s="38">
        <f>-SUM($C$51:F51)</f>
        <v>0</v>
      </c>
      <c r="G63" s="38">
        <f>-SUM($C$51:G51)</f>
        <v>0</v>
      </c>
      <c r="H63" s="38">
        <f>-SUM($C$51:H51)</f>
        <v>5</v>
      </c>
      <c r="I63" s="38">
        <f>-SUM($C$51:I51)</f>
        <v>10</v>
      </c>
      <c r="J63" s="38">
        <f>-SUM($C$51:J51)</f>
        <v>15</v>
      </c>
      <c r="K63" s="137">
        <f>-SUM($C$51:K51)</f>
        <v>19</v>
      </c>
      <c r="L63" s="137">
        <f>-SUM($C$51:L51)</f>
        <v>23</v>
      </c>
      <c r="M63" s="137">
        <f>-SUM($C$51:M51)</f>
        <v>27</v>
      </c>
      <c r="N63" s="137">
        <f>-SUM($C$51:N51)</f>
        <v>31</v>
      </c>
      <c r="O63" s="137">
        <f>-SUM($C$51:O51)</f>
        <v>35</v>
      </c>
      <c r="P63" s="137">
        <f>-SUM($C$51:P51)</f>
        <v>39</v>
      </c>
      <c r="Q63" s="137">
        <f>-SUM($C$51:Q51)</f>
        <v>39</v>
      </c>
      <c r="R63" s="137">
        <f>-SUM($C$51:R51)</f>
        <v>39</v>
      </c>
      <c r="S63" s="137">
        <f>-SUM($C$51:S51)</f>
        <v>39</v>
      </c>
      <c r="T63" s="137">
        <f>-SUM($C$51:T51)</f>
        <v>39</v>
      </c>
      <c r="U63" s="137">
        <f>-SUM($C$51:U51)</f>
        <v>39</v>
      </c>
      <c r="V63" s="356">
        <f>-SUM($C$51:V51)</f>
        <v>39</v>
      </c>
      <c r="W63" s="92">
        <f>-SUM($C$51:W51)</f>
        <v>39</v>
      </c>
      <c r="X63" s="92">
        <f>-SUM($C$51:X51)</f>
        <v>39</v>
      </c>
      <c r="Y63" s="92">
        <f>-SUM($C$51:Y51)</f>
        <v>39</v>
      </c>
      <c r="Z63" s="254">
        <f>-SUM($C$51:Z51)</f>
        <v>39</v>
      </c>
    </row>
    <row r="64" spans="1:40" s="18" customFormat="1" ht="16.5" thickBot="1" x14ac:dyDescent="0.3">
      <c r="A64" s="18" t="s">
        <v>148</v>
      </c>
      <c r="C64" s="27">
        <f t="shared" ref="C64:J64" si="52">SUM(C60:C63)</f>
        <v>74.314374999999984</v>
      </c>
      <c r="D64" s="27">
        <f t="shared" si="52"/>
        <v>169.16749999999996</v>
      </c>
      <c r="E64" s="27">
        <f t="shared" si="52"/>
        <v>176.80374999999998</v>
      </c>
      <c r="F64" s="27">
        <f t="shared" si="52"/>
        <v>233.82749999999999</v>
      </c>
      <c r="G64" s="27">
        <f t="shared" si="52"/>
        <v>174.57749999999999</v>
      </c>
      <c r="H64" s="27">
        <f t="shared" si="52"/>
        <v>146.31899999999996</v>
      </c>
      <c r="I64" s="27">
        <f t="shared" si="52"/>
        <v>65.171797499999968</v>
      </c>
      <c r="J64" s="27">
        <f t="shared" si="52"/>
        <v>366.8445872499999</v>
      </c>
      <c r="K64" s="138">
        <f t="shared" ref="K64:X64" si="53">SUM(K60:K63)</f>
        <v>312.87023037499989</v>
      </c>
      <c r="L64" s="138">
        <f t="shared" si="53"/>
        <v>310.25104737499987</v>
      </c>
      <c r="M64" s="138">
        <f t="shared" si="53"/>
        <v>239.76802637499986</v>
      </c>
      <c r="N64" s="138">
        <f t="shared" si="53"/>
        <v>175.00473162499986</v>
      </c>
      <c r="O64" s="138">
        <f t="shared" si="53"/>
        <v>170.21802162499989</v>
      </c>
      <c r="P64" s="138">
        <f t="shared" si="53"/>
        <v>75.641101624999862</v>
      </c>
      <c r="Q64" s="138">
        <f t="shared" si="53"/>
        <v>-19.039978875000088</v>
      </c>
      <c r="R64" s="138">
        <f t="shared" si="53"/>
        <v>-26.338356500000032</v>
      </c>
      <c r="S64" s="138">
        <f t="shared" si="53"/>
        <v>-15.349784000000113</v>
      </c>
      <c r="T64" s="138">
        <f t="shared" si="53"/>
        <v>19.769140999999934</v>
      </c>
      <c r="U64" s="138">
        <f t="shared" si="53"/>
        <v>22.837377499999889</v>
      </c>
      <c r="V64" s="357">
        <f t="shared" si="53"/>
        <v>21.104874999999879</v>
      </c>
      <c r="W64" s="93">
        <f t="shared" si="53"/>
        <v>21.072159849999935</v>
      </c>
      <c r="X64" s="93">
        <f t="shared" si="53"/>
        <v>19.039638877749894</v>
      </c>
      <c r="Y64" s="93">
        <f t="shared" ref="Y64:Z64" si="54">SUM(Y60:Y63)</f>
        <v>18.007332118541171</v>
      </c>
      <c r="Z64" s="255">
        <f t="shared" si="54"/>
        <v>18.975260336259907</v>
      </c>
      <c r="AN64" s="177"/>
    </row>
    <row r="65" spans="1:26" ht="13.5" thickTop="1" x14ac:dyDescent="0.2"/>
    <row r="66" spans="1:26" x14ac:dyDescent="0.2">
      <c r="A66" s="2" t="s">
        <v>298</v>
      </c>
    </row>
    <row r="67" spans="1:26" x14ac:dyDescent="0.2">
      <c r="A67" t="s">
        <v>299</v>
      </c>
      <c r="C67" s="22">
        <f t="shared" ref="C67:J67" si="55">B64</f>
        <v>0</v>
      </c>
      <c r="D67" s="22">
        <f t="shared" si="55"/>
        <v>74.314374999999984</v>
      </c>
      <c r="E67" s="22">
        <f t="shared" si="55"/>
        <v>169.16749999999996</v>
      </c>
      <c r="F67" s="22">
        <f t="shared" si="55"/>
        <v>176.80374999999998</v>
      </c>
      <c r="G67" s="22">
        <f t="shared" si="55"/>
        <v>233.82749999999999</v>
      </c>
      <c r="H67" s="22">
        <f t="shared" si="55"/>
        <v>174.57749999999999</v>
      </c>
      <c r="I67" s="22">
        <f t="shared" si="55"/>
        <v>146.31899999999996</v>
      </c>
      <c r="J67" s="22">
        <f t="shared" si="55"/>
        <v>65.171797499999968</v>
      </c>
      <c r="K67" s="106">
        <f t="shared" ref="K67:Z67" si="56">J64</f>
        <v>366.8445872499999</v>
      </c>
      <c r="L67" s="106">
        <f t="shared" si="56"/>
        <v>312.87023037499989</v>
      </c>
      <c r="M67" s="106">
        <f t="shared" si="56"/>
        <v>310.25104737499987</v>
      </c>
      <c r="N67" s="106">
        <f t="shared" si="56"/>
        <v>239.76802637499986</v>
      </c>
      <c r="O67" s="106">
        <f t="shared" si="56"/>
        <v>175.00473162499986</v>
      </c>
      <c r="P67" s="106">
        <f t="shared" si="56"/>
        <v>170.21802162499989</v>
      </c>
      <c r="Q67" s="106">
        <f t="shared" si="56"/>
        <v>75.641101624999862</v>
      </c>
      <c r="R67" s="106">
        <f t="shared" si="56"/>
        <v>-19.039978875000088</v>
      </c>
      <c r="S67" s="106">
        <f t="shared" si="56"/>
        <v>-26.338356500000032</v>
      </c>
      <c r="T67" s="106">
        <f t="shared" si="56"/>
        <v>-15.349784000000113</v>
      </c>
      <c r="U67" s="106">
        <f t="shared" si="56"/>
        <v>19.769140999999934</v>
      </c>
      <c r="V67" s="349">
        <f t="shared" si="56"/>
        <v>22.837377499999889</v>
      </c>
      <c r="W67" s="85">
        <f t="shared" si="56"/>
        <v>21.104874999999879</v>
      </c>
      <c r="X67" s="85">
        <f t="shared" si="56"/>
        <v>21.072159849999935</v>
      </c>
      <c r="Y67" s="85">
        <f t="shared" si="56"/>
        <v>19.039638877749894</v>
      </c>
      <c r="Z67" s="246">
        <f t="shared" si="56"/>
        <v>18.007332118541171</v>
      </c>
    </row>
    <row r="68" spans="1:26" x14ac:dyDescent="0.2">
      <c r="A68" t="s">
        <v>300</v>
      </c>
      <c r="C68" s="22">
        <f t="shared" ref="C68:I68" si="57">-C56</f>
        <v>-6</v>
      </c>
      <c r="D68" s="22">
        <f t="shared" si="57"/>
        <v>-14</v>
      </c>
      <c r="E68" s="22">
        <f t="shared" si="57"/>
        <v>-16</v>
      </c>
      <c r="F68" s="22">
        <f t="shared" si="57"/>
        <v>-22</v>
      </c>
      <c r="G68" s="22">
        <f t="shared" si="57"/>
        <v>-19</v>
      </c>
      <c r="H68" s="22">
        <f t="shared" si="57"/>
        <v>-16</v>
      </c>
      <c r="I68" s="22">
        <f t="shared" si="57"/>
        <v>-10</v>
      </c>
      <c r="J68" s="22">
        <f t="shared" ref="J68:P68" si="58">-J56</f>
        <v>-36</v>
      </c>
      <c r="K68" s="106">
        <f t="shared" si="58"/>
        <v>-36</v>
      </c>
      <c r="L68" s="106">
        <f t="shared" si="58"/>
        <v>-37</v>
      </c>
      <c r="M68" s="106">
        <f t="shared" si="58"/>
        <v>-39</v>
      </c>
      <c r="N68" s="106">
        <f t="shared" si="58"/>
        <v>-38</v>
      </c>
      <c r="O68" s="106">
        <f t="shared" si="58"/>
        <v>-35</v>
      </c>
      <c r="P68" s="106">
        <f t="shared" si="58"/>
        <v>-36</v>
      </c>
      <c r="Q68" s="106">
        <f t="shared" ref="Q68:V68" si="59">-Q56</f>
        <v>-22</v>
      </c>
      <c r="R68" s="106">
        <f t="shared" si="59"/>
        <v>-16</v>
      </c>
      <c r="S68" s="106">
        <f t="shared" si="59"/>
        <v>-16</v>
      </c>
      <c r="T68" s="106">
        <f t="shared" si="59"/>
        <v>-14</v>
      </c>
      <c r="U68" s="106">
        <f t="shared" si="59"/>
        <v>-16</v>
      </c>
      <c r="V68" s="349">
        <f t="shared" si="59"/>
        <v>-24</v>
      </c>
      <c r="W68" s="85">
        <f>-W56</f>
        <v>0</v>
      </c>
      <c r="X68" s="85">
        <f>-X56</f>
        <v>-2</v>
      </c>
      <c r="Y68" s="85">
        <f>-Y56</f>
        <v>-1</v>
      </c>
      <c r="Z68" s="246">
        <f>-Z56</f>
        <v>1</v>
      </c>
    </row>
    <row r="69" spans="1:26" x14ac:dyDescent="0.2">
      <c r="A69" t="s">
        <v>301</v>
      </c>
      <c r="C69" s="22">
        <f t="shared" ref="C69:I69" si="60">C16</f>
        <v>80.314374999999984</v>
      </c>
      <c r="D69" s="22">
        <f t="shared" si="60"/>
        <v>108.85312499999998</v>
      </c>
      <c r="E69" s="22">
        <f t="shared" si="60"/>
        <v>23.636250000000018</v>
      </c>
      <c r="F69" s="22">
        <f t="shared" si="60"/>
        <v>79.023750000000007</v>
      </c>
      <c r="G69" s="22">
        <f t="shared" si="60"/>
        <v>-41.25</v>
      </c>
      <c r="H69" s="22">
        <f t="shared" si="60"/>
        <v>25.741499999999974</v>
      </c>
      <c r="I69" s="22">
        <f t="shared" si="60"/>
        <v>-71.147202499999992</v>
      </c>
      <c r="J69" s="22">
        <f t="shared" ref="J69:P69" si="61">J16</f>
        <v>337.67278974999999</v>
      </c>
      <c r="K69" s="106">
        <f t="shared" si="61"/>
        <v>-17.974356875000041</v>
      </c>
      <c r="L69" s="106">
        <f t="shared" si="61"/>
        <v>34.380817000000036</v>
      </c>
      <c r="M69" s="106">
        <f t="shared" si="61"/>
        <v>-31.483021000000008</v>
      </c>
      <c r="N69" s="106">
        <f t="shared" si="61"/>
        <v>-26.76329475</v>
      </c>
      <c r="O69" s="106">
        <f t="shared" si="61"/>
        <v>30.213290000000001</v>
      </c>
      <c r="P69" s="106">
        <f t="shared" si="61"/>
        <v>-58.57692000000003</v>
      </c>
      <c r="Q69" s="106">
        <f t="shared" ref="Q69:V69" si="62">Q16</f>
        <v>-72.68108049999995</v>
      </c>
      <c r="R69" s="106">
        <f t="shared" si="62"/>
        <v>8.7016223750000563</v>
      </c>
      <c r="S69" s="106">
        <f t="shared" si="62"/>
        <v>26.988572499999918</v>
      </c>
      <c r="T69" s="106">
        <f t="shared" si="62"/>
        <v>49.118925000000047</v>
      </c>
      <c r="U69" s="106">
        <f t="shared" si="62"/>
        <v>19.068236499999955</v>
      </c>
      <c r="V69" s="349">
        <f t="shared" si="62"/>
        <v>22.26749749999999</v>
      </c>
      <c r="W69" s="85">
        <f>W16</f>
        <v>-3.2715150000001358E-2</v>
      </c>
      <c r="X69" s="85">
        <f>X16</f>
        <v>-3.2520972249983515E-2</v>
      </c>
      <c r="Y69" s="85">
        <f>Y16</f>
        <v>-3.2306759208722724E-2</v>
      </c>
      <c r="Z69" s="246">
        <f>Z16</f>
        <v>-3.2071782281207106E-2</v>
      </c>
    </row>
    <row r="70" spans="1:26" x14ac:dyDescent="0.2">
      <c r="A70" t="s">
        <v>302</v>
      </c>
      <c r="C70" s="22">
        <f t="shared" ref="C70:I70" si="63">-C46</f>
        <v>0</v>
      </c>
      <c r="D70" s="22">
        <f t="shared" si="63"/>
        <v>0</v>
      </c>
      <c r="E70" s="22">
        <f t="shared" si="63"/>
        <v>0</v>
      </c>
      <c r="F70" s="22">
        <f t="shared" si="63"/>
        <v>0</v>
      </c>
      <c r="G70" s="22">
        <f t="shared" si="63"/>
        <v>0</v>
      </c>
      <c r="H70" s="22">
        <f t="shared" si="63"/>
        <v>-39</v>
      </c>
      <c r="I70" s="22">
        <f t="shared" si="63"/>
        <v>0</v>
      </c>
      <c r="J70" s="22">
        <f t="shared" ref="J70:P70" si="64">-J46</f>
        <v>0</v>
      </c>
      <c r="K70" s="106">
        <f t="shared" si="64"/>
        <v>0</v>
      </c>
      <c r="L70" s="106">
        <f t="shared" si="64"/>
        <v>0</v>
      </c>
      <c r="M70" s="106">
        <f t="shared" si="64"/>
        <v>0</v>
      </c>
      <c r="N70" s="106">
        <f t="shared" si="64"/>
        <v>0</v>
      </c>
      <c r="O70" s="106">
        <f t="shared" si="64"/>
        <v>0</v>
      </c>
      <c r="P70" s="106">
        <f t="shared" si="64"/>
        <v>0</v>
      </c>
      <c r="Q70" s="106">
        <f t="shared" ref="Q70:V70" si="65">-Q46</f>
        <v>0</v>
      </c>
      <c r="R70" s="106">
        <f t="shared" si="65"/>
        <v>0</v>
      </c>
      <c r="S70" s="106">
        <f t="shared" si="65"/>
        <v>0</v>
      </c>
      <c r="T70" s="106">
        <f t="shared" si="65"/>
        <v>0</v>
      </c>
      <c r="U70" s="106">
        <f t="shared" si="65"/>
        <v>0</v>
      </c>
      <c r="V70" s="349">
        <f t="shared" si="65"/>
        <v>0</v>
      </c>
      <c r="W70" s="85">
        <f>-W46</f>
        <v>0</v>
      </c>
      <c r="X70" s="85">
        <f>-X46</f>
        <v>0</v>
      </c>
      <c r="Y70" s="85">
        <f>-Y46</f>
        <v>0</v>
      </c>
      <c r="Z70" s="246">
        <f>-Z46</f>
        <v>0</v>
      </c>
    </row>
    <row r="71" spans="1:26" ht="13.5" thickBot="1" x14ac:dyDescent="0.25">
      <c r="A71" t="s">
        <v>303</v>
      </c>
      <c r="C71" s="67">
        <f t="shared" ref="C71:J71" si="66">SUM(C67:C70)</f>
        <v>74.314374999999984</v>
      </c>
      <c r="D71" s="67">
        <f t="shared" si="66"/>
        <v>169.16749999999996</v>
      </c>
      <c r="E71" s="67">
        <f t="shared" si="66"/>
        <v>176.80374999999998</v>
      </c>
      <c r="F71" s="67">
        <f t="shared" si="66"/>
        <v>233.82749999999999</v>
      </c>
      <c r="G71" s="67">
        <f t="shared" si="66"/>
        <v>173.57749999999999</v>
      </c>
      <c r="H71" s="67">
        <f t="shared" si="66"/>
        <v>145.31899999999996</v>
      </c>
      <c r="I71" s="67">
        <f t="shared" si="66"/>
        <v>65.171797499999968</v>
      </c>
      <c r="J71" s="67">
        <f t="shared" si="66"/>
        <v>366.84458724999996</v>
      </c>
      <c r="K71" s="149">
        <f t="shared" ref="K71:X71" si="67">SUM(K67:K70)</f>
        <v>312.87023037499989</v>
      </c>
      <c r="L71" s="149">
        <f t="shared" si="67"/>
        <v>310.25104737499993</v>
      </c>
      <c r="M71" s="149">
        <f t="shared" si="67"/>
        <v>239.76802637499986</v>
      </c>
      <c r="N71" s="149">
        <f t="shared" si="67"/>
        <v>175.00473162499986</v>
      </c>
      <c r="O71" s="149">
        <f t="shared" si="67"/>
        <v>170.21802162499986</v>
      </c>
      <c r="P71" s="149">
        <f t="shared" si="67"/>
        <v>75.641101624999862</v>
      </c>
      <c r="Q71" s="149">
        <f t="shared" si="67"/>
        <v>-19.039978875000088</v>
      </c>
      <c r="R71" s="149">
        <f t="shared" si="67"/>
        <v>-26.338356500000032</v>
      </c>
      <c r="S71" s="149">
        <f t="shared" si="67"/>
        <v>-15.349784000000113</v>
      </c>
      <c r="T71" s="149">
        <f t="shared" si="67"/>
        <v>19.769140999999934</v>
      </c>
      <c r="U71" s="149">
        <f t="shared" si="67"/>
        <v>22.837377499999889</v>
      </c>
      <c r="V71" s="359">
        <f t="shared" si="67"/>
        <v>21.104874999999879</v>
      </c>
      <c r="W71" s="113">
        <f t="shared" si="67"/>
        <v>21.072159849999878</v>
      </c>
      <c r="X71" s="113">
        <f t="shared" si="67"/>
        <v>19.039638877749951</v>
      </c>
      <c r="Y71" s="113">
        <f t="shared" ref="Y71:Z71" si="68">SUM(Y67:Y70)</f>
        <v>18.007332118541171</v>
      </c>
      <c r="Z71" s="260">
        <f t="shared" si="68"/>
        <v>18.975260336259964</v>
      </c>
    </row>
    <row r="72" spans="1:26" ht="13.5" thickTop="1" x14ac:dyDescent="0.2"/>
    <row r="73" spans="1:26" x14ac:dyDescent="0.2">
      <c r="G73" s="22">
        <f t="shared" ref="G73:N73" si="69">G64-G71</f>
        <v>1</v>
      </c>
      <c r="H73" s="22">
        <f t="shared" si="69"/>
        <v>1</v>
      </c>
      <c r="I73" s="22">
        <f t="shared" si="69"/>
        <v>0</v>
      </c>
      <c r="J73" s="22">
        <f t="shared" si="69"/>
        <v>0</v>
      </c>
      <c r="K73" s="106">
        <f t="shared" si="69"/>
        <v>0</v>
      </c>
      <c r="L73" s="106">
        <f t="shared" si="69"/>
        <v>0</v>
      </c>
      <c r="M73" s="106">
        <f t="shared" si="69"/>
        <v>0</v>
      </c>
      <c r="N73" s="106">
        <f t="shared" si="69"/>
        <v>0</v>
      </c>
      <c r="O73" s="106">
        <f t="shared" ref="O73:U73" si="70">O64-O71</f>
        <v>0</v>
      </c>
      <c r="P73" s="106">
        <f t="shared" si="70"/>
        <v>0</v>
      </c>
      <c r="Q73" s="106">
        <f t="shared" si="70"/>
        <v>0</v>
      </c>
      <c r="R73" s="106">
        <f t="shared" si="70"/>
        <v>0</v>
      </c>
      <c r="S73" s="106">
        <f t="shared" si="70"/>
        <v>0</v>
      </c>
      <c r="T73" s="106">
        <f t="shared" si="70"/>
        <v>0</v>
      </c>
      <c r="U73" s="106">
        <f t="shared" si="70"/>
        <v>0</v>
      </c>
      <c r="V73" s="349">
        <f>V64-V71</f>
        <v>0</v>
      </c>
      <c r="W73" s="85">
        <f>W64-W71</f>
        <v>5.6843418860808015E-14</v>
      </c>
      <c r="X73" s="85">
        <f>X64-X71</f>
        <v>-5.6843418860808015E-14</v>
      </c>
      <c r="Y73" s="85">
        <f>Y64-Y71</f>
        <v>0</v>
      </c>
      <c r="Z73" s="246">
        <f>Z64-Z71</f>
        <v>-5.6843418860808015E-14</v>
      </c>
    </row>
    <row r="74" spans="1:26" x14ac:dyDescent="0.2">
      <c r="H74" s="22"/>
    </row>
  </sheetData>
  <phoneticPr fontId="0" type="noConversion"/>
  <pageMargins left="0.5" right="0.5" top="0.32" bottom="0.53" header="0.27" footer="0.26"/>
  <pageSetup paperSize="5" scale="40" orientation="landscape" r:id="rId1"/>
  <headerFooter alignWithMargins="0">
    <oddFooter>&amp;L&amp;"Arial,Bold"&amp;F&amp;C&amp;A&amp;R&amp;D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15"/>
  <sheetViews>
    <sheetView workbookViewId="0">
      <pane xSplit="1" ySplit="4" topLeftCell="AB54" activePane="bottomRight" state="frozen"/>
      <selection activeCell="V17" sqref="V17"/>
      <selection pane="topRight" activeCell="V17" sqref="V17"/>
      <selection pane="bottomLeft" activeCell="V17" sqref="V17"/>
      <selection pane="bottomRight" activeCell="V17" sqref="V17"/>
    </sheetView>
  </sheetViews>
  <sheetFormatPr defaultRowHeight="12.75" x14ac:dyDescent="0.2"/>
  <cols>
    <col min="1" max="1" width="53.28515625" customWidth="1"/>
    <col min="2" max="2" width="22" customWidth="1"/>
    <col min="36" max="38" width="8.85546875" customWidth="1"/>
    <col min="39" max="39" width="2.85546875" customWidth="1"/>
    <col min="40" max="40" width="11.5703125" customWidth="1"/>
    <col min="41" max="41" width="9.28515625" bestFit="1" customWidth="1"/>
  </cols>
  <sheetData>
    <row r="1" spans="1:41" ht="15.75" x14ac:dyDescent="0.25">
      <c r="A1" s="18" t="s">
        <v>67</v>
      </c>
    </row>
    <row r="2" spans="1:41" x14ac:dyDescent="0.2">
      <c r="A2" s="2" t="s">
        <v>250</v>
      </c>
    </row>
    <row r="3" spans="1:41" x14ac:dyDescent="0.2">
      <c r="AN3" s="16" t="s">
        <v>106</v>
      </c>
      <c r="AO3">
        <f>'Data Input'!J16+500</f>
        <v>758</v>
      </c>
    </row>
    <row r="4" spans="1:41" s="2" customFormat="1" ht="13.5" thickBot="1" x14ac:dyDescent="0.25">
      <c r="A4" s="19" t="s">
        <v>1</v>
      </c>
      <c r="B4" s="20" t="s">
        <v>26</v>
      </c>
      <c r="C4" s="20">
        <v>1996</v>
      </c>
      <c r="D4" s="20">
        <v>1997</v>
      </c>
      <c r="E4" s="20">
        <v>1998</v>
      </c>
      <c r="F4" s="20">
        <v>1999</v>
      </c>
      <c r="G4" s="20">
        <v>2000</v>
      </c>
      <c r="H4" s="20">
        <v>2001</v>
      </c>
      <c r="I4" s="20">
        <v>2002</v>
      </c>
      <c r="J4" s="20">
        <v>2003</v>
      </c>
      <c r="K4" s="20">
        <v>2004</v>
      </c>
      <c r="L4" s="20">
        <v>2005</v>
      </c>
      <c r="M4" s="20">
        <v>2006</v>
      </c>
      <c r="N4" s="20">
        <v>2007</v>
      </c>
      <c r="O4" s="20">
        <v>2008</v>
      </c>
      <c r="P4" s="20">
        <v>2009</v>
      </c>
      <c r="Q4" s="20">
        <v>2010</v>
      </c>
      <c r="R4" s="20">
        <v>2011</v>
      </c>
      <c r="S4" s="20">
        <v>2012</v>
      </c>
      <c r="T4" s="20">
        <v>2013</v>
      </c>
      <c r="U4" s="20">
        <v>2014</v>
      </c>
      <c r="V4" s="20">
        <v>2015</v>
      </c>
      <c r="W4" s="20">
        <v>2016</v>
      </c>
      <c r="X4" s="73">
        <v>2017</v>
      </c>
      <c r="Y4" s="73">
        <v>2018</v>
      </c>
      <c r="Z4" s="73">
        <v>2019</v>
      </c>
      <c r="AA4" s="73">
        <v>2020</v>
      </c>
      <c r="AB4" s="73">
        <v>2021</v>
      </c>
      <c r="AC4" s="73">
        <v>2022</v>
      </c>
      <c r="AD4" s="73">
        <v>2023</v>
      </c>
      <c r="AE4" s="73">
        <v>2024</v>
      </c>
      <c r="AF4" s="73">
        <v>2025</v>
      </c>
      <c r="AG4" s="73">
        <v>2026</v>
      </c>
      <c r="AH4" s="73">
        <v>2027</v>
      </c>
      <c r="AI4" s="73">
        <v>2028</v>
      </c>
      <c r="AJ4" s="73">
        <v>2029</v>
      </c>
      <c r="AK4" s="73">
        <v>2030</v>
      </c>
      <c r="AL4" s="73"/>
      <c r="AN4" s="17" t="s">
        <v>107</v>
      </c>
      <c r="AO4" s="17" t="s">
        <v>109</v>
      </c>
    </row>
    <row r="7" spans="1:41" x14ac:dyDescent="0.2">
      <c r="A7" s="28" t="s">
        <v>113</v>
      </c>
    </row>
    <row r="8" spans="1:41" s="3" customFormat="1" x14ac:dyDescent="0.2">
      <c r="A8" s="3" t="s">
        <v>91</v>
      </c>
      <c r="B8" s="3" t="s">
        <v>108</v>
      </c>
      <c r="C8" s="3">
        <f>'experience g(l)'!H40</f>
        <v>111</v>
      </c>
      <c r="D8" s="3">
        <f>'experience g(l)'!I40</f>
        <v>111</v>
      </c>
      <c r="E8" s="3">
        <f>'experience g(l)'!J40</f>
        <v>111</v>
      </c>
      <c r="F8" s="3">
        <f>'experience g(l)'!K40</f>
        <v>111</v>
      </c>
      <c r="G8" s="3">
        <f>'experience g(l)'!L40</f>
        <v>111</v>
      </c>
      <c r="H8" s="3">
        <f>'experience g(l)'!M40</f>
        <v>111</v>
      </c>
      <c r="I8" s="3">
        <f>'experience g(l)'!N40</f>
        <v>111</v>
      </c>
      <c r="J8" s="3">
        <f>'experience g(l)'!O40</f>
        <v>111</v>
      </c>
      <c r="K8" s="3">
        <f>'experience g(l)'!P40</f>
        <v>111</v>
      </c>
      <c r="L8" s="3">
        <f>'experience g(l)'!Q40</f>
        <v>0</v>
      </c>
      <c r="M8" s="3">
        <f>'experience g(l)'!R40</f>
        <v>0</v>
      </c>
      <c r="N8" s="3">
        <f>'experience g(l)'!S40</f>
        <v>0</v>
      </c>
      <c r="O8" s="3">
        <f>'experience g(l)'!T40</f>
        <v>0</v>
      </c>
      <c r="AN8" s="3">
        <f>SUM(C8:AM8)</f>
        <v>999</v>
      </c>
      <c r="AO8" s="3">
        <v>758</v>
      </c>
    </row>
    <row r="9" spans="1:41" s="3" customFormat="1" x14ac:dyDescent="0.2">
      <c r="A9" s="3" t="s">
        <v>92</v>
      </c>
      <c r="B9" s="3" t="s">
        <v>108</v>
      </c>
      <c r="C9" s="3">
        <f>'experience g(l)'!H41</f>
        <v>-50</v>
      </c>
      <c r="D9" s="3">
        <f>'experience g(l)'!I41</f>
        <v>-50</v>
      </c>
      <c r="E9" s="3">
        <f>'experience g(l)'!J41</f>
        <v>-50</v>
      </c>
      <c r="F9" s="3">
        <f>'experience g(l)'!K41</f>
        <v>-50</v>
      </c>
      <c r="G9" s="3">
        <f>'experience g(l)'!L41</f>
        <v>-50</v>
      </c>
      <c r="H9" s="3">
        <f>'experience g(l)'!M41</f>
        <v>-50</v>
      </c>
      <c r="I9" s="3">
        <f>'experience g(l)'!N41</f>
        <v>-49</v>
      </c>
      <c r="J9" s="3">
        <f>'experience g(l)'!O41</f>
        <v>-49</v>
      </c>
      <c r="K9" s="3">
        <f>'experience g(l)'!P41</f>
        <v>-49</v>
      </c>
      <c r="L9" s="3">
        <f>'experience g(l)'!Q41</f>
        <v>-49</v>
      </c>
      <c r="M9" s="3">
        <f>'experience g(l)'!R41</f>
        <v>0</v>
      </c>
      <c r="N9" s="3">
        <f>'experience g(l)'!S41</f>
        <v>0</v>
      </c>
      <c r="O9" s="3">
        <f>'experience g(l)'!T41</f>
        <v>0</v>
      </c>
      <c r="AN9" s="3">
        <f>SUM(C9:AM9)</f>
        <v>-496</v>
      </c>
    </row>
    <row r="10" spans="1:41" s="3" customFormat="1" x14ac:dyDescent="0.2">
      <c r="A10" s="3" t="s">
        <v>93</v>
      </c>
      <c r="B10" s="3" t="s">
        <v>108</v>
      </c>
      <c r="C10" s="3">
        <f>'experience g(l)'!H42</f>
        <v>196</v>
      </c>
      <c r="D10" s="3">
        <f>'experience g(l)'!I42</f>
        <v>196</v>
      </c>
      <c r="E10" s="3">
        <f>'experience g(l)'!J42</f>
        <v>196</v>
      </c>
      <c r="F10" s="3">
        <f>'experience g(l)'!K42</f>
        <v>196</v>
      </c>
      <c r="G10" s="3">
        <f>'experience g(l)'!L42</f>
        <v>196</v>
      </c>
      <c r="H10" s="3">
        <f>'experience g(l)'!M42</f>
        <v>196</v>
      </c>
      <c r="I10" s="3">
        <f>'experience g(l)'!N42</f>
        <v>196</v>
      </c>
      <c r="J10" s="3">
        <f>'experience g(l)'!O42</f>
        <v>196</v>
      </c>
      <c r="K10" s="3">
        <f>'experience g(l)'!P42</f>
        <v>196</v>
      </c>
      <c r="L10" s="3">
        <f>'experience g(l)'!Q42</f>
        <v>196</v>
      </c>
      <c r="M10" s="3">
        <f>'experience g(l)'!R42</f>
        <v>195</v>
      </c>
      <c r="N10" s="3">
        <f>'experience g(l)'!S42</f>
        <v>0</v>
      </c>
      <c r="O10" s="3">
        <f>'experience g(l)'!T42</f>
        <v>0</v>
      </c>
      <c r="AN10" s="3">
        <f>SUM(C10:AM10)</f>
        <v>2155</v>
      </c>
    </row>
    <row r="11" spans="1:41" s="3" customFormat="1" x14ac:dyDescent="0.2">
      <c r="A11" s="3" t="s">
        <v>94</v>
      </c>
      <c r="B11" s="3" t="s">
        <v>108</v>
      </c>
      <c r="C11" s="3">
        <f>'experience g(l)'!H43</f>
        <v>-109</v>
      </c>
      <c r="D11" s="3">
        <f>'experience g(l)'!I43</f>
        <v>-109</v>
      </c>
      <c r="E11" s="3">
        <f>'experience g(l)'!J43</f>
        <v>-109</v>
      </c>
      <c r="F11" s="3">
        <f>'experience g(l)'!K43</f>
        <v>-109</v>
      </c>
      <c r="G11" s="3">
        <f>'experience g(l)'!L43</f>
        <v>-109</v>
      </c>
      <c r="H11" s="3">
        <f>'experience g(l)'!M43</f>
        <v>-109</v>
      </c>
      <c r="I11" s="3">
        <f>'experience g(l)'!N43</f>
        <v>-109</v>
      </c>
      <c r="J11" s="3">
        <f>'experience g(l)'!O43</f>
        <v>-110</v>
      </c>
      <c r="K11" s="3">
        <f>'experience g(l)'!P43</f>
        <v>-110</v>
      </c>
      <c r="L11" s="3">
        <f>'experience g(l)'!Q43</f>
        <v>-110</v>
      </c>
      <c r="M11" s="3">
        <f>'experience g(l)'!R43</f>
        <v>-110</v>
      </c>
      <c r="N11" s="3">
        <f>'experience g(l)'!S43</f>
        <v>-110</v>
      </c>
      <c r="O11" s="3">
        <f>'experience g(l)'!T43</f>
        <v>0</v>
      </c>
      <c r="AN11" s="3">
        <f>SUM(C11:AM11)</f>
        <v>-1313</v>
      </c>
    </row>
    <row r="12" spans="1:41" s="3" customFormat="1" x14ac:dyDescent="0.2">
      <c r="A12" s="3" t="s">
        <v>95</v>
      </c>
      <c r="B12" s="3" t="s">
        <v>108</v>
      </c>
      <c r="C12" s="6">
        <f>'experience g(l)'!H44</f>
        <v>145</v>
      </c>
      <c r="D12" s="6">
        <f>'experience g(l)'!I44</f>
        <v>145</v>
      </c>
      <c r="E12" s="6">
        <f>'experience g(l)'!J44</f>
        <v>145</v>
      </c>
      <c r="F12" s="6">
        <f>'experience g(l)'!K44</f>
        <v>145</v>
      </c>
      <c r="G12" s="6">
        <f>'experience g(l)'!L44</f>
        <v>145</v>
      </c>
      <c r="H12" s="6">
        <f>'experience g(l)'!M44</f>
        <v>145</v>
      </c>
      <c r="I12" s="6">
        <f>'experience g(l)'!N44</f>
        <v>145</v>
      </c>
      <c r="J12" s="6">
        <f>'experience g(l)'!O44</f>
        <v>146</v>
      </c>
      <c r="K12" s="6">
        <f>'experience g(l)'!P44</f>
        <v>146</v>
      </c>
      <c r="L12" s="6">
        <f>'experience g(l)'!Q44</f>
        <v>146</v>
      </c>
      <c r="M12" s="6">
        <f>'experience g(l)'!R44</f>
        <v>146</v>
      </c>
      <c r="N12" s="6">
        <f>'experience g(l)'!S44</f>
        <v>146</v>
      </c>
      <c r="O12" s="6">
        <f>'experience g(l)'!T44</f>
        <v>146</v>
      </c>
      <c r="P12" s="6"/>
      <c r="Q12" s="6"/>
      <c r="R12" s="6"/>
      <c r="S12" s="6"/>
      <c r="T12" s="6"/>
      <c r="U12" s="45"/>
      <c r="V12" s="45"/>
      <c r="W12" s="45"/>
      <c r="X12" s="45"/>
      <c r="Y12" s="45"/>
      <c r="Z12" s="45"/>
      <c r="AA12" s="45"/>
      <c r="AB12" s="45"/>
      <c r="AC12" s="45"/>
      <c r="AD12" s="45"/>
      <c r="AE12" s="45"/>
      <c r="AF12" s="45"/>
      <c r="AG12" s="45"/>
      <c r="AH12" s="45"/>
      <c r="AI12" s="45"/>
      <c r="AJ12" s="45"/>
      <c r="AK12" s="45"/>
      <c r="AL12" s="45"/>
      <c r="AN12" s="6">
        <f>SUM(C12:AM12)</f>
        <v>1891</v>
      </c>
      <c r="AO12" s="6"/>
    </row>
    <row r="13" spans="1:41" x14ac:dyDescent="0.2">
      <c r="A13" s="31" t="s">
        <v>110</v>
      </c>
      <c r="AN13" s="33">
        <f>SUM(AN8:AN12)</f>
        <v>3236</v>
      </c>
      <c r="AO13" s="34">
        <f>SUM(AO8:AO12)</f>
        <v>758</v>
      </c>
    </row>
    <row r="15" spans="1:41" x14ac:dyDescent="0.2">
      <c r="A15" s="28" t="s">
        <v>114</v>
      </c>
    </row>
    <row r="16" spans="1:41" s="25" customFormat="1" ht="12" customHeight="1" x14ac:dyDescent="0.2">
      <c r="A16" s="25" t="s">
        <v>91</v>
      </c>
      <c r="B16" s="8" t="s">
        <v>131</v>
      </c>
      <c r="C16" s="36">
        <v>-85</v>
      </c>
      <c r="D16" s="36">
        <v>-85</v>
      </c>
      <c r="E16" s="36">
        <v>-84</v>
      </c>
      <c r="F16" s="36">
        <v>-84</v>
      </c>
      <c r="G16" s="36">
        <v>-84</v>
      </c>
      <c r="H16" s="36">
        <v>-84</v>
      </c>
      <c r="I16" s="36">
        <v>-84</v>
      </c>
      <c r="J16" s="36">
        <v>-84</v>
      </c>
      <c r="K16" s="36">
        <v>-84</v>
      </c>
      <c r="L16" s="36"/>
      <c r="M16" s="36"/>
      <c r="N16" s="36"/>
      <c r="O16" s="36"/>
      <c r="P16" s="36"/>
      <c r="Q16" s="36"/>
      <c r="R16" s="36"/>
      <c r="S16" s="36"/>
      <c r="T16" s="36"/>
      <c r="U16" s="39"/>
      <c r="V16" s="39"/>
      <c r="W16" s="39"/>
      <c r="X16" s="39"/>
      <c r="Y16" s="39"/>
      <c r="Z16" s="39"/>
      <c r="AA16" s="39"/>
      <c r="AB16" s="39"/>
      <c r="AC16" s="39"/>
      <c r="AD16" s="39"/>
      <c r="AE16" s="39"/>
      <c r="AF16" s="39"/>
      <c r="AG16" s="39"/>
      <c r="AH16" s="39"/>
      <c r="AI16" s="39"/>
      <c r="AJ16" s="39"/>
      <c r="AK16" s="39"/>
      <c r="AL16" s="39"/>
      <c r="AN16" s="25">
        <f>SUM(C16:AM16)</f>
        <v>-758</v>
      </c>
    </row>
    <row r="18" spans="1:41" x14ac:dyDescent="0.2">
      <c r="AN18" s="16" t="s">
        <v>106</v>
      </c>
      <c r="AO18" s="3">
        <f>'Data Input'!K16-500</f>
        <v>1513</v>
      </c>
    </row>
    <row r="19" spans="1:41" x14ac:dyDescent="0.2">
      <c r="A19" s="28" t="s">
        <v>115</v>
      </c>
      <c r="AN19" s="17" t="s">
        <v>116</v>
      </c>
      <c r="AO19" s="17" t="s">
        <v>117</v>
      </c>
    </row>
    <row r="20" spans="1:41" s="3" customFormat="1" x14ac:dyDescent="0.2">
      <c r="A20" s="3" t="s">
        <v>91</v>
      </c>
      <c r="B20" s="3" t="s">
        <v>31</v>
      </c>
      <c r="C20" s="3">
        <f>C8+C16</f>
        <v>26</v>
      </c>
      <c r="D20" s="3">
        <f t="shared" ref="D20:P20" si="0">D8+D16</f>
        <v>26</v>
      </c>
      <c r="E20" s="3">
        <f t="shared" si="0"/>
        <v>27</v>
      </c>
      <c r="F20" s="3">
        <f t="shared" si="0"/>
        <v>27</v>
      </c>
      <c r="G20" s="3">
        <f t="shared" si="0"/>
        <v>27</v>
      </c>
      <c r="H20" s="3">
        <f t="shared" si="0"/>
        <v>27</v>
      </c>
      <c r="I20" s="3">
        <f t="shared" si="0"/>
        <v>27</v>
      </c>
      <c r="J20" s="3">
        <f t="shared" si="0"/>
        <v>27</v>
      </c>
      <c r="K20" s="3">
        <f t="shared" si="0"/>
        <v>27</v>
      </c>
      <c r="L20" s="3">
        <f t="shared" si="0"/>
        <v>0</v>
      </c>
      <c r="M20" s="3">
        <f t="shared" si="0"/>
        <v>0</v>
      </c>
      <c r="N20" s="3">
        <f t="shared" si="0"/>
        <v>0</v>
      </c>
      <c r="O20" s="3">
        <f t="shared" si="0"/>
        <v>0</v>
      </c>
      <c r="P20" s="3">
        <f t="shared" si="0"/>
        <v>0</v>
      </c>
      <c r="AN20" s="3">
        <f t="shared" ref="AN20:AN25" si="1">SUM(D20:AM20)</f>
        <v>215</v>
      </c>
      <c r="AO20" s="3">
        <v>215</v>
      </c>
    </row>
    <row r="21" spans="1:41" s="3" customFormat="1" x14ac:dyDescent="0.2">
      <c r="A21" s="3" t="s">
        <v>92</v>
      </c>
      <c r="B21" s="3" t="s">
        <v>108</v>
      </c>
      <c r="C21" s="3">
        <f>'experience g(l)'!H41</f>
        <v>-50</v>
      </c>
      <c r="D21" s="3">
        <f>'experience g(l)'!I41</f>
        <v>-50</v>
      </c>
      <c r="E21" s="3">
        <f>'experience g(l)'!J41</f>
        <v>-50</v>
      </c>
      <c r="F21" s="3">
        <f>'experience g(l)'!K41</f>
        <v>-50</v>
      </c>
      <c r="G21" s="3">
        <f>'experience g(l)'!L41</f>
        <v>-50</v>
      </c>
      <c r="H21" s="3">
        <f>'experience g(l)'!M41</f>
        <v>-50</v>
      </c>
      <c r="I21" s="3">
        <f>'experience g(l)'!N41</f>
        <v>-49</v>
      </c>
      <c r="J21" s="3">
        <f>'experience g(l)'!O41</f>
        <v>-49</v>
      </c>
      <c r="K21" s="3">
        <f>'experience g(l)'!P41</f>
        <v>-49</v>
      </c>
      <c r="L21" s="3">
        <f>'experience g(l)'!Q41</f>
        <v>-49</v>
      </c>
      <c r="M21" s="3">
        <f>'experience g(l)'!R41</f>
        <v>0</v>
      </c>
      <c r="N21" s="3">
        <f>'experience g(l)'!S41</f>
        <v>0</v>
      </c>
      <c r="O21" s="3">
        <f>'experience g(l)'!T41</f>
        <v>0</v>
      </c>
      <c r="P21" s="3">
        <f>'experience g(l)'!U41</f>
        <v>0</v>
      </c>
      <c r="AN21" s="3">
        <f t="shared" si="1"/>
        <v>-446</v>
      </c>
    </row>
    <row r="22" spans="1:41" s="3" customFormat="1" x14ac:dyDescent="0.2">
      <c r="A22" s="3" t="s">
        <v>93</v>
      </c>
      <c r="B22" s="3" t="s">
        <v>108</v>
      </c>
      <c r="C22" s="3">
        <f>'experience g(l)'!H42</f>
        <v>196</v>
      </c>
      <c r="D22" s="3">
        <f>'experience g(l)'!I42</f>
        <v>196</v>
      </c>
      <c r="E22" s="3">
        <f>'experience g(l)'!J42</f>
        <v>196</v>
      </c>
      <c r="F22" s="3">
        <f>'experience g(l)'!K42</f>
        <v>196</v>
      </c>
      <c r="G22" s="3">
        <f>'experience g(l)'!L42</f>
        <v>196</v>
      </c>
      <c r="H22" s="3">
        <f>'experience g(l)'!M42</f>
        <v>196</v>
      </c>
      <c r="I22" s="3">
        <f>'experience g(l)'!N42</f>
        <v>196</v>
      </c>
      <c r="J22" s="3">
        <f>'experience g(l)'!O42</f>
        <v>196</v>
      </c>
      <c r="K22" s="3">
        <f>'experience g(l)'!P42</f>
        <v>196</v>
      </c>
      <c r="L22" s="3">
        <f>'experience g(l)'!Q42</f>
        <v>196</v>
      </c>
      <c r="M22" s="3">
        <f>'experience g(l)'!R42</f>
        <v>195</v>
      </c>
      <c r="N22" s="3">
        <f>'experience g(l)'!S42</f>
        <v>0</v>
      </c>
      <c r="O22" s="3">
        <f>'experience g(l)'!T42</f>
        <v>0</v>
      </c>
      <c r="P22" s="3">
        <f>'experience g(l)'!U42</f>
        <v>0</v>
      </c>
      <c r="AN22" s="3">
        <f t="shared" si="1"/>
        <v>1959</v>
      </c>
      <c r="AO22" s="3">
        <v>1298</v>
      </c>
    </row>
    <row r="23" spans="1:41" s="3" customFormat="1" x14ac:dyDescent="0.2">
      <c r="A23" s="3" t="s">
        <v>94</v>
      </c>
      <c r="B23" s="3" t="s">
        <v>108</v>
      </c>
      <c r="C23" s="3">
        <f>'experience g(l)'!H43</f>
        <v>-109</v>
      </c>
      <c r="D23" s="3">
        <f>'experience g(l)'!I43</f>
        <v>-109</v>
      </c>
      <c r="E23" s="3">
        <f>'experience g(l)'!J43</f>
        <v>-109</v>
      </c>
      <c r="F23" s="3">
        <f>'experience g(l)'!K43</f>
        <v>-109</v>
      </c>
      <c r="G23" s="3">
        <f>'experience g(l)'!L43</f>
        <v>-109</v>
      </c>
      <c r="H23" s="3">
        <f>'experience g(l)'!M43</f>
        <v>-109</v>
      </c>
      <c r="I23" s="3">
        <f>'experience g(l)'!N43</f>
        <v>-109</v>
      </c>
      <c r="J23" s="3">
        <f>'experience g(l)'!O43</f>
        <v>-110</v>
      </c>
      <c r="K23" s="3">
        <f>'experience g(l)'!P43</f>
        <v>-110</v>
      </c>
      <c r="L23" s="3">
        <f>'experience g(l)'!Q43</f>
        <v>-110</v>
      </c>
      <c r="M23" s="3">
        <f>'experience g(l)'!R43</f>
        <v>-110</v>
      </c>
      <c r="N23" s="3">
        <f>'experience g(l)'!S43</f>
        <v>-110</v>
      </c>
      <c r="O23" s="3">
        <f>'experience g(l)'!T43</f>
        <v>0</v>
      </c>
      <c r="P23" s="3">
        <f>'experience g(l)'!U43</f>
        <v>0</v>
      </c>
      <c r="AN23" s="3">
        <f t="shared" si="1"/>
        <v>-1204</v>
      </c>
    </row>
    <row r="24" spans="1:41" s="3" customFormat="1" x14ac:dyDescent="0.2">
      <c r="A24" s="3" t="s">
        <v>95</v>
      </c>
      <c r="B24" s="3" t="s">
        <v>108</v>
      </c>
      <c r="C24" s="3">
        <f>'experience g(l)'!H44</f>
        <v>145</v>
      </c>
      <c r="D24" s="3">
        <f>'experience g(l)'!I44</f>
        <v>145</v>
      </c>
      <c r="E24" s="3">
        <f>'experience g(l)'!J44</f>
        <v>145</v>
      </c>
      <c r="F24" s="3">
        <f>'experience g(l)'!K44</f>
        <v>145</v>
      </c>
      <c r="G24" s="3">
        <f>'experience g(l)'!L44</f>
        <v>145</v>
      </c>
      <c r="H24" s="3">
        <f>'experience g(l)'!M44</f>
        <v>145</v>
      </c>
      <c r="I24" s="3">
        <f>'experience g(l)'!N44</f>
        <v>145</v>
      </c>
      <c r="J24" s="3">
        <f>'experience g(l)'!O44</f>
        <v>146</v>
      </c>
      <c r="K24" s="3">
        <f>'experience g(l)'!P44</f>
        <v>146</v>
      </c>
      <c r="L24" s="3">
        <f>'experience g(l)'!Q44</f>
        <v>146</v>
      </c>
      <c r="M24" s="3">
        <f>'experience g(l)'!R44</f>
        <v>146</v>
      </c>
      <c r="N24" s="3">
        <f>'experience g(l)'!S44</f>
        <v>146</v>
      </c>
      <c r="O24" s="3">
        <f>'experience g(l)'!T44</f>
        <v>146</v>
      </c>
      <c r="P24" s="3">
        <f>'experience g(l)'!U44</f>
        <v>0</v>
      </c>
      <c r="AN24" s="3">
        <f t="shared" si="1"/>
        <v>1746</v>
      </c>
    </row>
    <row r="25" spans="1:41" s="3" customFormat="1" x14ac:dyDescent="0.2">
      <c r="A25" s="3" t="s">
        <v>96</v>
      </c>
      <c r="B25" s="3" t="s">
        <v>108</v>
      </c>
      <c r="C25" s="6">
        <f>'experience g(l)'!H45</f>
        <v>172</v>
      </c>
      <c r="D25" s="6">
        <f>'experience g(l)'!I45</f>
        <v>172</v>
      </c>
      <c r="E25" s="6">
        <f>'experience g(l)'!J45</f>
        <v>172</v>
      </c>
      <c r="F25" s="6">
        <f>'experience g(l)'!K45</f>
        <v>172</v>
      </c>
      <c r="G25" s="6">
        <f>'experience g(l)'!L45</f>
        <v>172</v>
      </c>
      <c r="H25" s="6">
        <f>'experience g(l)'!M45</f>
        <v>172</v>
      </c>
      <c r="I25" s="6">
        <f>'experience g(l)'!N45</f>
        <v>172</v>
      </c>
      <c r="J25" s="6">
        <f>'experience g(l)'!O45</f>
        <v>172</v>
      </c>
      <c r="K25" s="6">
        <f>'experience g(l)'!P45</f>
        <v>172</v>
      </c>
      <c r="L25" s="6">
        <f>'experience g(l)'!Q45</f>
        <v>172</v>
      </c>
      <c r="M25" s="6">
        <f>'experience g(l)'!R45</f>
        <v>172</v>
      </c>
      <c r="N25" s="6">
        <f>'experience g(l)'!S45</f>
        <v>172</v>
      </c>
      <c r="O25" s="6">
        <f>'experience g(l)'!T45</f>
        <v>171</v>
      </c>
      <c r="P25" s="6">
        <f>'experience g(l)'!U45</f>
        <v>171</v>
      </c>
      <c r="Q25" s="6"/>
      <c r="R25" s="6"/>
      <c r="S25" s="6"/>
      <c r="T25" s="6"/>
      <c r="U25" s="45"/>
      <c r="V25" s="45"/>
      <c r="W25" s="45"/>
      <c r="X25" s="45"/>
      <c r="Y25" s="45"/>
      <c r="Z25" s="45"/>
      <c r="AA25" s="45"/>
      <c r="AB25" s="45"/>
      <c r="AC25" s="45"/>
      <c r="AD25" s="45"/>
      <c r="AE25" s="45"/>
      <c r="AF25" s="45"/>
      <c r="AG25" s="45"/>
      <c r="AH25" s="45"/>
      <c r="AI25" s="45"/>
      <c r="AJ25" s="45"/>
      <c r="AK25" s="45"/>
      <c r="AL25" s="45"/>
      <c r="AN25" s="6">
        <f t="shared" si="1"/>
        <v>2234</v>
      </c>
      <c r="AO25" s="6"/>
    </row>
    <row r="26" spans="1:41" s="25" customFormat="1" x14ac:dyDescent="0.2">
      <c r="A26" s="25" t="s">
        <v>111</v>
      </c>
      <c r="C26" s="26">
        <f>SUM(C20:C25)</f>
        <v>380</v>
      </c>
      <c r="D26" s="26">
        <f t="shared" ref="D26:T26" si="2">SUM(D20:D25)</f>
        <v>380</v>
      </c>
      <c r="E26" s="26">
        <f t="shared" si="2"/>
        <v>381</v>
      </c>
      <c r="F26" s="26">
        <f t="shared" si="2"/>
        <v>381</v>
      </c>
      <c r="G26" s="26">
        <f t="shared" si="2"/>
        <v>381</v>
      </c>
      <c r="H26" s="26">
        <f t="shared" si="2"/>
        <v>381</v>
      </c>
      <c r="I26" s="26">
        <f t="shared" si="2"/>
        <v>382</v>
      </c>
      <c r="J26" s="26">
        <f t="shared" si="2"/>
        <v>382</v>
      </c>
      <c r="K26" s="26">
        <f t="shared" si="2"/>
        <v>382</v>
      </c>
      <c r="L26" s="26">
        <f t="shared" si="2"/>
        <v>355</v>
      </c>
      <c r="M26" s="26">
        <f t="shared" si="2"/>
        <v>403</v>
      </c>
      <c r="N26" s="26">
        <f t="shared" si="2"/>
        <v>208</v>
      </c>
      <c r="O26" s="26">
        <f t="shared" si="2"/>
        <v>317</v>
      </c>
      <c r="P26" s="26">
        <f t="shared" si="2"/>
        <v>171</v>
      </c>
      <c r="Q26" s="26">
        <f t="shared" si="2"/>
        <v>0</v>
      </c>
      <c r="R26" s="26">
        <f t="shared" si="2"/>
        <v>0</v>
      </c>
      <c r="S26" s="26">
        <f t="shared" si="2"/>
        <v>0</v>
      </c>
      <c r="T26" s="26">
        <f t="shared" si="2"/>
        <v>0</v>
      </c>
      <c r="U26" s="39"/>
      <c r="V26" s="39"/>
      <c r="W26" s="39"/>
      <c r="X26" s="39"/>
      <c r="Y26" s="39"/>
      <c r="Z26" s="39"/>
      <c r="AA26" s="39"/>
      <c r="AB26" s="39"/>
      <c r="AC26" s="39"/>
      <c r="AD26" s="39"/>
      <c r="AE26" s="39"/>
      <c r="AF26" s="39"/>
      <c r="AG26" s="39"/>
      <c r="AH26" s="39"/>
      <c r="AI26" s="39"/>
      <c r="AJ26" s="39"/>
      <c r="AK26" s="39"/>
      <c r="AL26" s="39"/>
      <c r="AN26" s="35">
        <f>SUM(AN20:AN25)</f>
        <v>4504</v>
      </c>
      <c r="AO26" s="36">
        <f>SUM(AO20:AO25)</f>
        <v>1513</v>
      </c>
    </row>
    <row r="27" spans="1:41" s="3" customFormat="1" x14ac:dyDescent="0.2"/>
    <row r="28" spans="1:41" x14ac:dyDescent="0.2">
      <c r="A28" s="28" t="s">
        <v>118</v>
      </c>
    </row>
    <row r="29" spans="1:41" s="3" customFormat="1" x14ac:dyDescent="0.2">
      <c r="A29" s="3" t="s">
        <v>91</v>
      </c>
      <c r="B29" s="3" t="s">
        <v>31</v>
      </c>
      <c r="D29" s="3">
        <f>-D20</f>
        <v>-26</v>
      </c>
      <c r="E29" s="3">
        <f t="shared" ref="E29:M29" si="3">-E20</f>
        <v>-27</v>
      </c>
      <c r="F29" s="3">
        <f t="shared" si="3"/>
        <v>-27</v>
      </c>
      <c r="G29" s="3">
        <f t="shared" si="3"/>
        <v>-27</v>
      </c>
      <c r="H29" s="3">
        <f t="shared" si="3"/>
        <v>-27</v>
      </c>
      <c r="I29" s="3">
        <f t="shared" si="3"/>
        <v>-27</v>
      </c>
      <c r="J29" s="3">
        <f t="shared" si="3"/>
        <v>-27</v>
      </c>
      <c r="K29" s="3">
        <f t="shared" si="3"/>
        <v>-27</v>
      </c>
      <c r="L29" s="3">
        <f t="shared" si="3"/>
        <v>0</v>
      </c>
      <c r="M29" s="3">
        <f t="shared" si="3"/>
        <v>0</v>
      </c>
    </row>
    <row r="30" spans="1:41" s="3" customFormat="1" x14ac:dyDescent="0.2">
      <c r="A30" s="3" t="s">
        <v>93</v>
      </c>
      <c r="B30" s="9" t="s">
        <v>131</v>
      </c>
      <c r="D30" s="6">
        <v>-130</v>
      </c>
      <c r="E30" s="6">
        <v>-130</v>
      </c>
      <c r="F30" s="6">
        <v>-130</v>
      </c>
      <c r="G30" s="6">
        <v>-130</v>
      </c>
      <c r="H30" s="6">
        <v>-130</v>
      </c>
      <c r="I30" s="6">
        <v>-130</v>
      </c>
      <c r="J30" s="6">
        <v>-130</v>
      </c>
      <c r="K30" s="6">
        <v>-130</v>
      </c>
      <c r="L30" s="6">
        <v>-129</v>
      </c>
      <c r="M30" s="6">
        <v>-129</v>
      </c>
      <c r="N30" s="6"/>
      <c r="O30" s="6"/>
      <c r="P30" s="6"/>
      <c r="Q30" s="6"/>
      <c r="R30" s="6"/>
      <c r="S30" s="6"/>
      <c r="T30" s="6"/>
      <c r="U30" s="45"/>
      <c r="V30" s="45"/>
      <c r="W30" s="45"/>
      <c r="X30" s="45"/>
      <c r="Y30" s="45"/>
      <c r="Z30" s="45"/>
      <c r="AA30" s="45"/>
      <c r="AB30" s="45"/>
      <c r="AC30" s="45"/>
      <c r="AD30" s="45"/>
      <c r="AE30" s="45"/>
      <c r="AF30" s="45"/>
      <c r="AG30" s="45"/>
      <c r="AH30" s="45"/>
      <c r="AI30" s="45"/>
      <c r="AJ30" s="45"/>
      <c r="AK30" s="45"/>
      <c r="AL30" s="45"/>
    </row>
    <row r="31" spans="1:41" s="25" customFormat="1" x14ac:dyDescent="0.2">
      <c r="A31" s="25" t="s">
        <v>119</v>
      </c>
      <c r="B31" s="8" t="s">
        <v>31</v>
      </c>
      <c r="D31" s="26">
        <f>SUM(D29:D30)</f>
        <v>-156</v>
      </c>
      <c r="E31" s="26">
        <f t="shared" ref="E31:M31" si="4">SUM(E29:E30)</f>
        <v>-157</v>
      </c>
      <c r="F31" s="26">
        <f t="shared" si="4"/>
        <v>-157</v>
      </c>
      <c r="G31" s="26">
        <f t="shared" si="4"/>
        <v>-157</v>
      </c>
      <c r="H31" s="26">
        <f t="shared" si="4"/>
        <v>-157</v>
      </c>
      <c r="I31" s="26">
        <f t="shared" si="4"/>
        <v>-157</v>
      </c>
      <c r="J31" s="26">
        <f t="shared" si="4"/>
        <v>-157</v>
      </c>
      <c r="K31" s="26">
        <f t="shared" si="4"/>
        <v>-157</v>
      </c>
      <c r="L31" s="26">
        <f t="shared" si="4"/>
        <v>-129</v>
      </c>
      <c r="M31" s="26">
        <f t="shared" si="4"/>
        <v>-129</v>
      </c>
      <c r="N31" s="26"/>
      <c r="O31" s="26"/>
      <c r="P31" s="26"/>
      <c r="Q31" s="26"/>
      <c r="R31" s="26"/>
      <c r="S31" s="26"/>
      <c r="T31" s="26"/>
      <c r="U31" s="39"/>
      <c r="V31" s="39"/>
      <c r="W31" s="39"/>
      <c r="X31" s="39"/>
      <c r="Y31" s="39"/>
      <c r="Z31" s="39"/>
      <c r="AA31" s="39"/>
      <c r="AB31" s="39"/>
      <c r="AC31" s="39"/>
      <c r="AD31" s="39"/>
      <c r="AE31" s="39"/>
      <c r="AF31" s="39"/>
      <c r="AG31" s="39"/>
      <c r="AH31" s="39"/>
      <c r="AI31" s="39"/>
      <c r="AJ31" s="39"/>
      <c r="AK31" s="39"/>
      <c r="AL31" s="39"/>
      <c r="AN31" s="25">
        <f>SUM(C31:AM31)</f>
        <v>-1513</v>
      </c>
    </row>
    <row r="32" spans="1:41" s="3" customFormat="1" x14ac:dyDescent="0.2"/>
    <row r="33" spans="1:41" x14ac:dyDescent="0.2">
      <c r="AN33" s="16" t="s">
        <v>106</v>
      </c>
      <c r="AO33" s="3">
        <f>'Data Input'!$O$16</f>
        <v>4519</v>
      </c>
    </row>
    <row r="34" spans="1:41" x14ac:dyDescent="0.2">
      <c r="A34" s="28" t="s">
        <v>123</v>
      </c>
      <c r="AN34" s="17" t="s">
        <v>125</v>
      </c>
      <c r="AO34" s="17" t="s">
        <v>126</v>
      </c>
    </row>
    <row r="35" spans="1:41" s="3" customFormat="1" x14ac:dyDescent="0.2">
      <c r="A35" s="3" t="s">
        <v>91</v>
      </c>
      <c r="B35" s="3" t="s">
        <v>31</v>
      </c>
      <c r="D35" s="3">
        <f>D20+D29</f>
        <v>0</v>
      </c>
      <c r="E35" s="3">
        <f t="shared" ref="E35:T35" si="5">E20+E29</f>
        <v>0</v>
      </c>
      <c r="F35" s="3">
        <f t="shared" si="5"/>
        <v>0</v>
      </c>
      <c r="G35" s="3">
        <f t="shared" si="5"/>
        <v>0</v>
      </c>
      <c r="H35" s="3">
        <f t="shared" si="5"/>
        <v>0</v>
      </c>
      <c r="I35" s="3">
        <f t="shared" si="5"/>
        <v>0</v>
      </c>
      <c r="J35" s="3">
        <f t="shared" si="5"/>
        <v>0</v>
      </c>
      <c r="K35" s="3">
        <f t="shared" si="5"/>
        <v>0</v>
      </c>
      <c r="L35" s="3">
        <f t="shared" si="5"/>
        <v>0</v>
      </c>
      <c r="M35" s="3">
        <f t="shared" si="5"/>
        <v>0</v>
      </c>
      <c r="N35" s="3">
        <f t="shared" si="5"/>
        <v>0</v>
      </c>
      <c r="O35" s="3">
        <f t="shared" si="5"/>
        <v>0</v>
      </c>
      <c r="P35" s="3">
        <f t="shared" si="5"/>
        <v>0</v>
      </c>
      <c r="Q35" s="3">
        <f t="shared" si="5"/>
        <v>0</v>
      </c>
      <c r="R35" s="3">
        <f t="shared" si="5"/>
        <v>0</v>
      </c>
      <c r="S35" s="3">
        <f t="shared" si="5"/>
        <v>0</v>
      </c>
      <c r="T35" s="3">
        <f t="shared" si="5"/>
        <v>0</v>
      </c>
      <c r="AN35" s="3">
        <f>SUM(H35:AM35)</f>
        <v>0</v>
      </c>
    </row>
    <row r="36" spans="1:41" s="3" customFormat="1" x14ac:dyDescent="0.2">
      <c r="A36" s="3" t="s">
        <v>92</v>
      </c>
      <c r="B36" s="3" t="s">
        <v>108</v>
      </c>
      <c r="D36" s="3">
        <f>'experience g(l)'!I41</f>
        <v>-50</v>
      </c>
      <c r="E36" s="3">
        <f>'experience g(l)'!J41</f>
        <v>-50</v>
      </c>
      <c r="F36" s="3">
        <f>'experience g(l)'!K41</f>
        <v>-50</v>
      </c>
      <c r="G36" s="3">
        <f>'experience g(l)'!L41</f>
        <v>-50</v>
      </c>
      <c r="H36" s="3">
        <f>'experience g(l)'!M41</f>
        <v>-50</v>
      </c>
      <c r="I36" s="3">
        <f>'experience g(l)'!N41</f>
        <v>-49</v>
      </c>
      <c r="J36" s="3">
        <f>'experience g(l)'!O41</f>
        <v>-49</v>
      </c>
      <c r="K36" s="3">
        <f>'experience g(l)'!P41</f>
        <v>-49</v>
      </c>
      <c r="L36" s="3">
        <f>'experience g(l)'!Q41</f>
        <v>-49</v>
      </c>
      <c r="M36" s="3">
        <f>'experience g(l)'!R41</f>
        <v>0</v>
      </c>
      <c r="N36" s="3">
        <f>'experience g(l)'!S41</f>
        <v>0</v>
      </c>
      <c r="O36" s="3">
        <f>'experience g(l)'!T41</f>
        <v>0</v>
      </c>
      <c r="P36" s="3">
        <f>'experience g(l)'!U41</f>
        <v>0</v>
      </c>
      <c r="Q36" s="3">
        <f>'experience g(l)'!V41</f>
        <v>0</v>
      </c>
      <c r="R36" s="3">
        <f>'experience g(l)'!W41</f>
        <v>0</v>
      </c>
      <c r="S36" s="3">
        <f>'experience g(l)'!X41</f>
        <v>0</v>
      </c>
      <c r="T36" s="3">
        <f>'experience g(l)'!Y41</f>
        <v>0</v>
      </c>
      <c r="AN36" s="3">
        <f t="shared" ref="AN36:AN44" si="6">SUM(H36:AM36)</f>
        <v>-246</v>
      </c>
    </row>
    <row r="37" spans="1:41" s="3" customFormat="1" x14ac:dyDescent="0.2">
      <c r="A37" s="3" t="s">
        <v>93</v>
      </c>
      <c r="B37" s="3" t="s">
        <v>31</v>
      </c>
      <c r="D37" s="3">
        <f>D22+D30</f>
        <v>66</v>
      </c>
      <c r="E37" s="3">
        <f t="shared" ref="E37:T37" si="7">E22+E30</f>
        <v>66</v>
      </c>
      <c r="F37" s="3">
        <f t="shared" si="7"/>
        <v>66</v>
      </c>
      <c r="G37" s="3">
        <f t="shared" si="7"/>
        <v>66</v>
      </c>
      <c r="H37" s="3">
        <f t="shared" si="7"/>
        <v>66</v>
      </c>
      <c r="I37" s="3">
        <f t="shared" si="7"/>
        <v>66</v>
      </c>
      <c r="J37" s="3">
        <f t="shared" si="7"/>
        <v>66</v>
      </c>
      <c r="K37" s="3">
        <f t="shared" si="7"/>
        <v>66</v>
      </c>
      <c r="L37" s="3">
        <f t="shared" si="7"/>
        <v>67</v>
      </c>
      <c r="M37" s="3">
        <f t="shared" si="7"/>
        <v>66</v>
      </c>
      <c r="N37" s="3">
        <f t="shared" si="7"/>
        <v>0</v>
      </c>
      <c r="O37" s="3">
        <f t="shared" si="7"/>
        <v>0</v>
      </c>
      <c r="P37" s="3">
        <f t="shared" si="7"/>
        <v>0</v>
      </c>
      <c r="Q37" s="3">
        <f t="shared" si="7"/>
        <v>0</v>
      </c>
      <c r="R37" s="3">
        <f t="shared" si="7"/>
        <v>0</v>
      </c>
      <c r="S37" s="3">
        <f t="shared" si="7"/>
        <v>0</v>
      </c>
      <c r="T37" s="3">
        <f t="shared" si="7"/>
        <v>0</v>
      </c>
      <c r="AN37" s="3">
        <f t="shared" si="6"/>
        <v>397</v>
      </c>
      <c r="AO37" s="3">
        <v>397</v>
      </c>
    </row>
    <row r="38" spans="1:41" s="3" customFormat="1" x14ac:dyDescent="0.2">
      <c r="A38" s="3" t="s">
        <v>94</v>
      </c>
      <c r="B38" s="3" t="s">
        <v>108</v>
      </c>
      <c r="D38" s="3">
        <f>'experience g(l)'!I43</f>
        <v>-109</v>
      </c>
      <c r="E38" s="3">
        <f>'experience g(l)'!J43</f>
        <v>-109</v>
      </c>
      <c r="F38" s="3">
        <f>'experience g(l)'!K43</f>
        <v>-109</v>
      </c>
      <c r="G38" s="3">
        <f>'experience g(l)'!L43</f>
        <v>-109</v>
      </c>
      <c r="H38" s="3">
        <f>'experience g(l)'!M43</f>
        <v>-109</v>
      </c>
      <c r="I38" s="3">
        <f>'experience g(l)'!N43</f>
        <v>-109</v>
      </c>
      <c r="J38" s="3">
        <f>'experience g(l)'!O43</f>
        <v>-110</v>
      </c>
      <c r="K38" s="3">
        <f>'experience g(l)'!P43</f>
        <v>-110</v>
      </c>
      <c r="L38" s="3">
        <f>'experience g(l)'!Q43</f>
        <v>-110</v>
      </c>
      <c r="M38" s="3">
        <f>'experience g(l)'!R43</f>
        <v>-110</v>
      </c>
      <c r="N38" s="3">
        <f>'experience g(l)'!S43</f>
        <v>-110</v>
      </c>
      <c r="O38" s="3">
        <f>'experience g(l)'!T43</f>
        <v>0</v>
      </c>
      <c r="P38" s="3">
        <f>'experience g(l)'!U43</f>
        <v>0</v>
      </c>
      <c r="Q38" s="3">
        <f>'experience g(l)'!V43</f>
        <v>0</v>
      </c>
      <c r="R38" s="3">
        <f>'experience g(l)'!W43</f>
        <v>0</v>
      </c>
      <c r="S38" s="3">
        <f>'experience g(l)'!X43</f>
        <v>0</v>
      </c>
      <c r="T38" s="3">
        <f>'experience g(l)'!Y43</f>
        <v>0</v>
      </c>
      <c r="AN38" s="3">
        <f t="shared" si="6"/>
        <v>-768</v>
      </c>
    </row>
    <row r="39" spans="1:41" s="3" customFormat="1" x14ac:dyDescent="0.2">
      <c r="A39" s="3" t="s">
        <v>95</v>
      </c>
      <c r="B39" s="3" t="s">
        <v>108</v>
      </c>
      <c r="D39" s="3">
        <f>'experience g(l)'!I44</f>
        <v>145</v>
      </c>
      <c r="E39" s="3">
        <f>'experience g(l)'!J44</f>
        <v>145</v>
      </c>
      <c r="F39" s="3">
        <f>'experience g(l)'!K44</f>
        <v>145</v>
      </c>
      <c r="G39" s="3">
        <f>'experience g(l)'!L44</f>
        <v>145</v>
      </c>
      <c r="H39" s="3">
        <f>'experience g(l)'!M44</f>
        <v>145</v>
      </c>
      <c r="I39" s="3">
        <f>'experience g(l)'!N44</f>
        <v>145</v>
      </c>
      <c r="J39" s="3">
        <f>'experience g(l)'!O44</f>
        <v>146</v>
      </c>
      <c r="K39" s="3">
        <f>'experience g(l)'!P44</f>
        <v>146</v>
      </c>
      <c r="L39" s="3">
        <f>'experience g(l)'!Q44</f>
        <v>146</v>
      </c>
      <c r="M39" s="3">
        <f>'experience g(l)'!R44</f>
        <v>146</v>
      </c>
      <c r="N39" s="3">
        <f>'experience g(l)'!S44</f>
        <v>146</v>
      </c>
      <c r="O39" s="3">
        <f>'experience g(l)'!T44</f>
        <v>146</v>
      </c>
      <c r="P39" s="3">
        <f>'experience g(l)'!U44</f>
        <v>0</v>
      </c>
      <c r="Q39" s="3">
        <f>'experience g(l)'!V44</f>
        <v>0</v>
      </c>
      <c r="R39" s="3">
        <f>'experience g(l)'!W44</f>
        <v>0</v>
      </c>
      <c r="S39" s="3">
        <f>'experience g(l)'!X44</f>
        <v>0</v>
      </c>
      <c r="T39" s="3">
        <f>'experience g(l)'!Y44</f>
        <v>0</v>
      </c>
      <c r="AN39" s="3">
        <f t="shared" si="6"/>
        <v>1166</v>
      </c>
      <c r="AO39" s="3">
        <v>1166</v>
      </c>
    </row>
    <row r="40" spans="1:41" s="3" customFormat="1" x14ac:dyDescent="0.2">
      <c r="A40" s="3" t="s">
        <v>96</v>
      </c>
      <c r="B40" s="3" t="s">
        <v>108</v>
      </c>
      <c r="D40" s="3">
        <f>'experience g(l)'!I45</f>
        <v>172</v>
      </c>
      <c r="E40" s="3">
        <f>'experience g(l)'!J45</f>
        <v>172</v>
      </c>
      <c r="F40" s="3">
        <f>'experience g(l)'!K45</f>
        <v>172</v>
      </c>
      <c r="G40" s="3">
        <f>'experience g(l)'!L45</f>
        <v>172</v>
      </c>
      <c r="H40" s="3">
        <f>'experience g(l)'!M45</f>
        <v>172</v>
      </c>
      <c r="I40" s="3">
        <f>'experience g(l)'!N45</f>
        <v>172</v>
      </c>
      <c r="J40" s="3">
        <f>'experience g(l)'!O45</f>
        <v>172</v>
      </c>
      <c r="K40" s="3">
        <f>'experience g(l)'!P45</f>
        <v>172</v>
      </c>
      <c r="L40" s="3">
        <f>'experience g(l)'!Q45</f>
        <v>172</v>
      </c>
      <c r="M40" s="3">
        <f>'experience g(l)'!R45</f>
        <v>172</v>
      </c>
      <c r="N40" s="3">
        <f>'experience g(l)'!S45</f>
        <v>172</v>
      </c>
      <c r="O40" s="3">
        <f>'experience g(l)'!T45</f>
        <v>171</v>
      </c>
      <c r="P40" s="3">
        <f>'experience g(l)'!U45</f>
        <v>171</v>
      </c>
      <c r="Q40" s="3">
        <f>'experience g(l)'!V45</f>
        <v>0</v>
      </c>
      <c r="R40" s="3">
        <f>'experience g(l)'!W45</f>
        <v>0</v>
      </c>
      <c r="S40" s="3">
        <f>'experience g(l)'!X45</f>
        <v>0</v>
      </c>
      <c r="T40" s="3">
        <f>'experience g(l)'!Y45</f>
        <v>0</v>
      </c>
      <c r="AN40" s="3">
        <f t="shared" si="6"/>
        <v>1546</v>
      </c>
      <c r="AO40" s="3">
        <v>1546</v>
      </c>
    </row>
    <row r="41" spans="1:41" s="3" customFormat="1" x14ac:dyDescent="0.2">
      <c r="A41" s="3" t="s">
        <v>97</v>
      </c>
      <c r="B41" s="3" t="s">
        <v>108</v>
      </c>
      <c r="D41" s="3">
        <f>'experience g(l)'!I46</f>
        <v>215</v>
      </c>
      <c r="E41" s="3">
        <f>'experience g(l)'!J46</f>
        <v>215</v>
      </c>
      <c r="F41" s="3">
        <f>'experience g(l)'!K46</f>
        <v>215</v>
      </c>
      <c r="G41" s="3">
        <f>'experience g(l)'!L46</f>
        <v>215</v>
      </c>
      <c r="H41" s="3">
        <f>'experience g(l)'!M46</f>
        <v>215</v>
      </c>
      <c r="I41" s="3">
        <f>'experience g(l)'!N46</f>
        <v>215</v>
      </c>
      <c r="J41" s="3">
        <f>'experience g(l)'!O46</f>
        <v>215</v>
      </c>
      <c r="K41" s="3">
        <f>'experience g(l)'!P46</f>
        <v>215</v>
      </c>
      <c r="L41" s="3">
        <f>'experience g(l)'!Q46</f>
        <v>216</v>
      </c>
      <c r="M41" s="3">
        <f>'experience g(l)'!R46</f>
        <v>216</v>
      </c>
      <c r="N41" s="3">
        <f>'experience g(l)'!S46</f>
        <v>216</v>
      </c>
      <c r="O41" s="3">
        <f>'experience g(l)'!T46</f>
        <v>216</v>
      </c>
      <c r="P41" s="3">
        <f>'experience g(l)'!U46</f>
        <v>216</v>
      </c>
      <c r="Q41" s="3">
        <f>'experience g(l)'!V46</f>
        <v>0</v>
      </c>
      <c r="R41" s="3">
        <f>'experience g(l)'!W46</f>
        <v>0</v>
      </c>
      <c r="S41" s="3">
        <f>'experience g(l)'!X46</f>
        <v>0</v>
      </c>
      <c r="T41" s="3">
        <f>'experience g(l)'!Y46</f>
        <v>0</v>
      </c>
      <c r="AN41" s="3">
        <f t="shared" si="6"/>
        <v>1940</v>
      </c>
      <c r="AO41" s="3">
        <v>1410</v>
      </c>
    </row>
    <row r="42" spans="1:41" s="3" customFormat="1" x14ac:dyDescent="0.2">
      <c r="A42" s="3" t="s">
        <v>98</v>
      </c>
      <c r="B42" s="3" t="s">
        <v>108</v>
      </c>
      <c r="E42" s="3">
        <f>'experience g(l)'!J47</f>
        <v>212</v>
      </c>
      <c r="F42" s="3">
        <f>'experience g(l)'!K47</f>
        <v>212</v>
      </c>
      <c r="G42" s="3">
        <f>'experience g(l)'!L47</f>
        <v>212</v>
      </c>
      <c r="H42" s="3">
        <f>'experience g(l)'!M47</f>
        <v>212</v>
      </c>
      <c r="I42" s="3">
        <f>'experience g(l)'!N47</f>
        <v>212</v>
      </c>
      <c r="J42" s="3">
        <f>'experience g(l)'!O47</f>
        <v>212</v>
      </c>
      <c r="K42" s="3">
        <f>'experience g(l)'!P47</f>
        <v>212</v>
      </c>
      <c r="L42" s="3">
        <f>'experience g(l)'!Q47</f>
        <v>212</v>
      </c>
      <c r="M42" s="3">
        <f>'experience g(l)'!R47</f>
        <v>212</v>
      </c>
      <c r="N42" s="3">
        <f>'experience g(l)'!S47</f>
        <v>212</v>
      </c>
      <c r="O42" s="3">
        <f>'experience g(l)'!T47</f>
        <v>211</v>
      </c>
      <c r="P42" s="3">
        <f>'experience g(l)'!U47</f>
        <v>211</v>
      </c>
      <c r="Q42" s="3">
        <f>'experience g(l)'!V47</f>
        <v>211</v>
      </c>
      <c r="R42" s="3">
        <f>'experience g(l)'!W47</f>
        <v>0</v>
      </c>
      <c r="S42" s="3">
        <f>'experience g(l)'!X47</f>
        <v>0</v>
      </c>
      <c r="T42" s="3">
        <f>'experience g(l)'!Y47</f>
        <v>0</v>
      </c>
      <c r="AN42" s="3">
        <f t="shared" si="6"/>
        <v>2117</v>
      </c>
    </row>
    <row r="43" spans="1:41" s="3" customFormat="1" x14ac:dyDescent="0.2">
      <c r="A43" s="3" t="s">
        <v>99</v>
      </c>
      <c r="B43" s="3" t="s">
        <v>108</v>
      </c>
      <c r="E43" s="3">
        <f>'experience g(l)'!J48</f>
        <v>0</v>
      </c>
      <c r="F43" s="3">
        <f>'experience g(l)'!K48</f>
        <v>319</v>
      </c>
      <c r="G43" s="3">
        <f>'experience g(l)'!L48</f>
        <v>319</v>
      </c>
      <c r="H43" s="3">
        <f>'experience g(l)'!M48</f>
        <v>319</v>
      </c>
      <c r="I43" s="3">
        <f>'experience g(l)'!N48</f>
        <v>319</v>
      </c>
      <c r="J43" s="3">
        <f>'experience g(l)'!O48</f>
        <v>319</v>
      </c>
      <c r="K43" s="3">
        <f>'experience g(l)'!P48</f>
        <v>319</v>
      </c>
      <c r="L43" s="3">
        <f>'experience g(l)'!Q48</f>
        <v>319</v>
      </c>
      <c r="M43" s="3">
        <f>'experience g(l)'!R48</f>
        <v>319</v>
      </c>
      <c r="N43" s="3">
        <f>'experience g(l)'!S48</f>
        <v>319</v>
      </c>
      <c r="O43" s="3">
        <f>'experience g(l)'!T48</f>
        <v>319</v>
      </c>
      <c r="P43" s="3">
        <f>'experience g(l)'!U48</f>
        <v>319</v>
      </c>
      <c r="Q43" s="3">
        <f>'experience g(l)'!V48</f>
        <v>319</v>
      </c>
      <c r="R43" s="3">
        <f>'experience g(l)'!W48</f>
        <v>319</v>
      </c>
      <c r="S43" s="3">
        <f>'experience g(l)'!X48</f>
        <v>319</v>
      </c>
      <c r="T43" s="3">
        <f>'experience g(l)'!Y48</f>
        <v>0</v>
      </c>
      <c r="AN43" s="3">
        <f t="shared" si="6"/>
        <v>3828</v>
      </c>
    </row>
    <row r="44" spans="1:41" s="3" customFormat="1" x14ac:dyDescent="0.2">
      <c r="A44" s="3" t="s">
        <v>100</v>
      </c>
      <c r="B44" s="3" t="s">
        <v>108</v>
      </c>
      <c r="D44" s="6"/>
      <c r="E44" s="6">
        <f>'experience g(l)'!J49</f>
        <v>0</v>
      </c>
      <c r="F44" s="6">
        <f>'experience g(l)'!K49</f>
        <v>0</v>
      </c>
      <c r="G44" s="6">
        <f>'experience g(l)'!L49</f>
        <v>165</v>
      </c>
      <c r="H44" s="6">
        <f>'experience g(l)'!M49</f>
        <v>165</v>
      </c>
      <c r="I44" s="6">
        <f>'experience g(l)'!N49</f>
        <v>165</v>
      </c>
      <c r="J44" s="6">
        <f>'experience g(l)'!O49</f>
        <v>165</v>
      </c>
      <c r="K44" s="6">
        <f>'experience g(l)'!P49</f>
        <v>165</v>
      </c>
      <c r="L44" s="6">
        <f>'experience g(l)'!Q49</f>
        <v>165</v>
      </c>
      <c r="M44" s="6">
        <f>'experience g(l)'!R49</f>
        <v>165</v>
      </c>
      <c r="N44" s="6">
        <f>'experience g(l)'!S49</f>
        <v>165</v>
      </c>
      <c r="O44" s="6">
        <f>'experience g(l)'!T49</f>
        <v>165</v>
      </c>
      <c r="P44" s="6">
        <f>'experience g(l)'!U49</f>
        <v>166</v>
      </c>
      <c r="Q44" s="6">
        <f>'experience g(l)'!V49</f>
        <v>166</v>
      </c>
      <c r="R44" s="6">
        <f>'experience g(l)'!W49</f>
        <v>166</v>
      </c>
      <c r="S44" s="6">
        <f>'experience g(l)'!X49</f>
        <v>166</v>
      </c>
      <c r="T44" s="6">
        <f>'experience g(l)'!Y49</f>
        <v>166</v>
      </c>
      <c r="U44" s="45"/>
      <c r="V44" s="45"/>
      <c r="W44" s="45"/>
      <c r="X44" s="45"/>
      <c r="Y44" s="45"/>
      <c r="Z44" s="45"/>
      <c r="AA44" s="45"/>
      <c r="AB44" s="45"/>
      <c r="AC44" s="45"/>
      <c r="AD44" s="45"/>
      <c r="AE44" s="45"/>
      <c r="AF44" s="45"/>
      <c r="AG44" s="45"/>
      <c r="AH44" s="45"/>
      <c r="AI44" s="45"/>
      <c r="AJ44" s="45"/>
      <c r="AK44" s="45"/>
      <c r="AL44" s="45"/>
      <c r="AN44" s="3">
        <f t="shared" si="6"/>
        <v>2150</v>
      </c>
    </row>
    <row r="45" spans="1:41" s="25" customFormat="1" x14ac:dyDescent="0.2">
      <c r="A45" s="25" t="s">
        <v>124</v>
      </c>
      <c r="D45" s="26">
        <f>SUM(D35:D44)</f>
        <v>439</v>
      </c>
      <c r="E45" s="26">
        <f t="shared" ref="E45:AO45" si="8">SUM(E35:E44)</f>
        <v>651</v>
      </c>
      <c r="F45" s="26">
        <f t="shared" si="8"/>
        <v>970</v>
      </c>
      <c r="G45" s="26">
        <f t="shared" si="8"/>
        <v>1135</v>
      </c>
      <c r="H45" s="26">
        <f t="shared" si="8"/>
        <v>1135</v>
      </c>
      <c r="I45" s="26">
        <f t="shared" si="8"/>
        <v>1136</v>
      </c>
      <c r="J45" s="26">
        <f t="shared" si="8"/>
        <v>1136</v>
      </c>
      <c r="K45" s="26">
        <f t="shared" si="8"/>
        <v>1136</v>
      </c>
      <c r="L45" s="26">
        <f t="shared" si="8"/>
        <v>1138</v>
      </c>
      <c r="M45" s="26">
        <f t="shared" si="8"/>
        <v>1186</v>
      </c>
      <c r="N45" s="26">
        <f t="shared" si="8"/>
        <v>1120</v>
      </c>
      <c r="O45" s="26">
        <f t="shared" si="8"/>
        <v>1228</v>
      </c>
      <c r="P45" s="26">
        <f t="shared" si="8"/>
        <v>1083</v>
      </c>
      <c r="Q45" s="26">
        <f t="shared" si="8"/>
        <v>696</v>
      </c>
      <c r="R45" s="26">
        <f t="shared" si="8"/>
        <v>485</v>
      </c>
      <c r="S45" s="26">
        <f t="shared" si="8"/>
        <v>485</v>
      </c>
      <c r="T45" s="26">
        <f t="shared" si="8"/>
        <v>166</v>
      </c>
      <c r="U45" s="39"/>
      <c r="V45" s="39"/>
      <c r="W45" s="39"/>
      <c r="X45" s="39"/>
      <c r="Y45" s="39"/>
      <c r="Z45" s="39"/>
      <c r="AA45" s="39"/>
      <c r="AB45" s="39"/>
      <c r="AC45" s="39"/>
      <c r="AD45" s="39"/>
      <c r="AE45" s="39"/>
      <c r="AF45" s="39"/>
      <c r="AG45" s="39"/>
      <c r="AH45" s="39"/>
      <c r="AI45" s="39"/>
      <c r="AJ45" s="39"/>
      <c r="AK45" s="39"/>
      <c r="AL45" s="39"/>
      <c r="AN45" s="26">
        <f t="shared" si="8"/>
        <v>12130</v>
      </c>
      <c r="AO45" s="26">
        <f t="shared" si="8"/>
        <v>4519</v>
      </c>
    </row>
    <row r="46" spans="1:41" s="3" customFormat="1" x14ac:dyDescent="0.2"/>
    <row r="47" spans="1:41" s="3" customFormat="1" x14ac:dyDescent="0.2">
      <c r="A47" s="28" t="s">
        <v>127</v>
      </c>
    </row>
    <row r="48" spans="1:41" s="3" customFormat="1" x14ac:dyDescent="0.2">
      <c r="A48" s="3" t="s">
        <v>93</v>
      </c>
      <c r="B48" s="3" t="s">
        <v>31</v>
      </c>
      <c r="H48" s="3">
        <f>-H37</f>
        <v>-66</v>
      </c>
      <c r="I48" s="3">
        <f t="shared" ref="I48:O48" si="9">-I37</f>
        <v>-66</v>
      </c>
      <c r="J48" s="3">
        <f t="shared" si="9"/>
        <v>-66</v>
      </c>
      <c r="K48" s="3">
        <f t="shared" si="9"/>
        <v>-66</v>
      </c>
      <c r="L48" s="3">
        <f t="shared" si="9"/>
        <v>-67</v>
      </c>
      <c r="M48" s="3">
        <f t="shared" si="9"/>
        <v>-66</v>
      </c>
      <c r="N48" s="3">
        <f t="shared" si="9"/>
        <v>0</v>
      </c>
      <c r="O48" s="3">
        <f t="shared" si="9"/>
        <v>0</v>
      </c>
      <c r="P48" s="3">
        <f>-P37</f>
        <v>0</v>
      </c>
      <c r="AN48" s="3">
        <f>SUM(H48:AM48)</f>
        <v>-397</v>
      </c>
    </row>
    <row r="49" spans="1:40" s="3" customFormat="1" x14ac:dyDescent="0.2">
      <c r="A49" s="3" t="s">
        <v>95</v>
      </c>
      <c r="B49" s="3" t="s">
        <v>31</v>
      </c>
      <c r="H49" s="3">
        <f>-H39</f>
        <v>-145</v>
      </c>
      <c r="I49" s="3">
        <f t="shared" ref="I49:O49" si="10">-I39</f>
        <v>-145</v>
      </c>
      <c r="J49" s="3">
        <f t="shared" si="10"/>
        <v>-146</v>
      </c>
      <c r="K49" s="3">
        <f t="shared" si="10"/>
        <v>-146</v>
      </c>
      <c r="L49" s="3">
        <f t="shared" si="10"/>
        <v>-146</v>
      </c>
      <c r="M49" s="3">
        <f t="shared" si="10"/>
        <v>-146</v>
      </c>
      <c r="N49" s="3">
        <f t="shared" si="10"/>
        <v>-146</v>
      </c>
      <c r="O49" s="3">
        <f t="shared" si="10"/>
        <v>-146</v>
      </c>
      <c r="P49" s="3">
        <f>-P39</f>
        <v>0</v>
      </c>
      <c r="AN49" s="3">
        <f>SUM(H49:AM49)</f>
        <v>-1166</v>
      </c>
    </row>
    <row r="50" spans="1:40" s="3" customFormat="1" x14ac:dyDescent="0.2">
      <c r="A50" s="3" t="s">
        <v>96</v>
      </c>
      <c r="B50" s="3" t="s">
        <v>31</v>
      </c>
      <c r="H50" s="3">
        <f>-H40</f>
        <v>-172</v>
      </c>
      <c r="I50" s="3">
        <f t="shared" ref="I50:O50" si="11">-I40</f>
        <v>-172</v>
      </c>
      <c r="J50" s="3">
        <f t="shared" si="11"/>
        <v>-172</v>
      </c>
      <c r="K50" s="3">
        <f t="shared" si="11"/>
        <v>-172</v>
      </c>
      <c r="L50" s="3">
        <f t="shared" si="11"/>
        <v>-172</v>
      </c>
      <c r="M50" s="3">
        <f t="shared" si="11"/>
        <v>-172</v>
      </c>
      <c r="N50" s="3">
        <f t="shared" si="11"/>
        <v>-172</v>
      </c>
      <c r="O50" s="3">
        <f t="shared" si="11"/>
        <v>-171</v>
      </c>
      <c r="P50" s="3">
        <f>-P40</f>
        <v>-171</v>
      </c>
      <c r="AN50" s="3">
        <f>SUM(H50:AM50)</f>
        <v>-1546</v>
      </c>
    </row>
    <row r="51" spans="1:40" s="3" customFormat="1" x14ac:dyDescent="0.2">
      <c r="A51" s="3" t="s">
        <v>97</v>
      </c>
      <c r="B51" s="9" t="s">
        <v>131</v>
      </c>
      <c r="H51" s="6">
        <v>-156</v>
      </c>
      <c r="I51" s="6">
        <v>-156</v>
      </c>
      <c r="J51" s="6">
        <v>-156</v>
      </c>
      <c r="K51" s="6">
        <v>-157</v>
      </c>
      <c r="L51" s="6">
        <v>-157</v>
      </c>
      <c r="M51" s="6">
        <v>-157</v>
      </c>
      <c r="N51" s="6">
        <v>-157</v>
      </c>
      <c r="O51" s="6">
        <v>-157</v>
      </c>
      <c r="P51" s="6">
        <v>-157</v>
      </c>
      <c r="Q51" s="6"/>
      <c r="R51" s="6"/>
      <c r="S51" s="6"/>
      <c r="T51" s="6"/>
      <c r="U51" s="45"/>
      <c r="V51" s="45"/>
      <c r="W51" s="45"/>
      <c r="X51" s="45"/>
      <c r="Y51" s="45"/>
      <c r="Z51" s="45"/>
      <c r="AA51" s="45"/>
      <c r="AB51" s="45"/>
      <c r="AC51" s="45"/>
      <c r="AD51" s="45"/>
      <c r="AE51" s="45"/>
      <c r="AF51" s="45"/>
      <c r="AG51" s="45"/>
      <c r="AH51" s="45"/>
      <c r="AI51" s="45"/>
      <c r="AJ51" s="45"/>
      <c r="AK51" s="45"/>
      <c r="AL51" s="45"/>
      <c r="AN51" s="3">
        <f>SUM(H51:AM51)</f>
        <v>-1410</v>
      </c>
    </row>
    <row r="52" spans="1:40" s="25" customFormat="1" x14ac:dyDescent="0.2">
      <c r="A52" s="25" t="s">
        <v>128</v>
      </c>
      <c r="B52" s="3" t="s">
        <v>31</v>
      </c>
      <c r="H52" s="26">
        <f>SUM(H48:H51)</f>
        <v>-539</v>
      </c>
      <c r="I52" s="26">
        <f t="shared" ref="I52:O52" si="12">SUM(I48:I51)</f>
        <v>-539</v>
      </c>
      <c r="J52" s="26">
        <f t="shared" si="12"/>
        <v>-540</v>
      </c>
      <c r="K52" s="26">
        <f t="shared" si="12"/>
        <v>-541</v>
      </c>
      <c r="L52" s="26">
        <f t="shared" si="12"/>
        <v>-542</v>
      </c>
      <c r="M52" s="26">
        <f t="shared" si="12"/>
        <v>-541</v>
      </c>
      <c r="N52" s="26">
        <f t="shared" si="12"/>
        <v>-475</v>
      </c>
      <c r="O52" s="26">
        <f t="shared" si="12"/>
        <v>-474</v>
      </c>
      <c r="P52" s="26">
        <f>SUM(P48:P51)</f>
        <v>-328</v>
      </c>
      <c r="Q52" s="26"/>
      <c r="R52" s="26"/>
      <c r="S52" s="26"/>
      <c r="T52" s="26"/>
      <c r="U52" s="39"/>
      <c r="V52" s="39"/>
      <c r="W52" s="39"/>
      <c r="X52" s="39"/>
      <c r="Y52" s="39"/>
      <c r="Z52" s="39"/>
      <c r="AA52" s="39"/>
      <c r="AB52" s="39"/>
      <c r="AC52" s="39"/>
      <c r="AD52" s="39"/>
      <c r="AE52" s="39"/>
      <c r="AF52" s="39"/>
      <c r="AG52" s="39"/>
      <c r="AH52" s="39"/>
      <c r="AI52" s="39"/>
      <c r="AJ52" s="39"/>
      <c r="AK52" s="39"/>
      <c r="AL52" s="39"/>
      <c r="AN52" s="26">
        <f>SUM(AN48:AN51)</f>
        <v>-4519</v>
      </c>
    </row>
    <row r="53" spans="1:40" s="3" customFormat="1" x14ac:dyDescent="0.2"/>
    <row r="54" spans="1:40" s="3" customFormat="1" x14ac:dyDescent="0.2">
      <c r="AN54" s="16" t="s">
        <v>106</v>
      </c>
    </row>
    <row r="55" spans="1:40" s="3" customFormat="1" x14ac:dyDescent="0.2">
      <c r="A55" s="28" t="s">
        <v>129</v>
      </c>
      <c r="AN55" s="392" t="s">
        <v>447</v>
      </c>
    </row>
    <row r="56" spans="1:40" s="3" customFormat="1" x14ac:dyDescent="0.2">
      <c r="A56" s="3" t="s">
        <v>92</v>
      </c>
      <c r="B56" s="3" t="s">
        <v>108</v>
      </c>
      <c r="H56" s="3">
        <f>'experience g(l)'!M41</f>
        <v>-50</v>
      </c>
      <c r="I56" s="3">
        <f>'experience g(l)'!N41</f>
        <v>-49</v>
      </c>
      <c r="J56" s="3">
        <f>'experience g(l)'!O41</f>
        <v>-49</v>
      </c>
      <c r="K56" s="3">
        <f>'experience g(l)'!P41</f>
        <v>-49</v>
      </c>
      <c r="L56" s="3">
        <f>'experience g(l)'!Q41</f>
        <v>-49</v>
      </c>
      <c r="AN56" s="3">
        <f>SUM(W56:AL56)</f>
        <v>0</v>
      </c>
    </row>
    <row r="57" spans="1:40" s="3" customFormat="1" x14ac:dyDescent="0.2">
      <c r="A57" s="3" t="s">
        <v>94</v>
      </c>
      <c r="B57" s="3" t="s">
        <v>108</v>
      </c>
      <c r="H57" s="3">
        <f>'experience g(l)'!M43</f>
        <v>-109</v>
      </c>
      <c r="I57" s="3">
        <f>'experience g(l)'!N43</f>
        <v>-109</v>
      </c>
      <c r="J57" s="3">
        <f>'experience g(l)'!O43</f>
        <v>-110</v>
      </c>
      <c r="K57" s="3">
        <f>'experience g(l)'!P43</f>
        <v>-110</v>
      </c>
      <c r="L57" s="3">
        <f>'experience g(l)'!Q43</f>
        <v>-110</v>
      </c>
      <c r="M57" s="3">
        <f>'experience g(l)'!R43</f>
        <v>-110</v>
      </c>
      <c r="N57" s="3">
        <f>'experience g(l)'!S43</f>
        <v>-110</v>
      </c>
      <c r="AN57" s="3">
        <f t="shared" ref="AN57:AN76" si="13">SUM(W57:AL57)</f>
        <v>0</v>
      </c>
    </row>
    <row r="58" spans="1:40" s="3" customFormat="1" x14ac:dyDescent="0.2">
      <c r="A58" t="s">
        <v>97</v>
      </c>
      <c r="B58" s="3" t="s">
        <v>31</v>
      </c>
      <c r="H58" s="3">
        <f>H41+H51</f>
        <v>59</v>
      </c>
      <c r="I58" s="3">
        <f t="shared" ref="I58:P58" si="14">I41+I51</f>
        <v>59</v>
      </c>
      <c r="J58" s="3">
        <f t="shared" si="14"/>
        <v>59</v>
      </c>
      <c r="K58" s="3">
        <f t="shared" si="14"/>
        <v>58</v>
      </c>
      <c r="L58" s="3">
        <f t="shared" si="14"/>
        <v>59</v>
      </c>
      <c r="M58" s="3">
        <f t="shared" si="14"/>
        <v>59</v>
      </c>
      <c r="N58" s="3">
        <f t="shared" si="14"/>
        <v>59</v>
      </c>
      <c r="O58" s="3">
        <f t="shared" si="14"/>
        <v>59</v>
      </c>
      <c r="P58" s="3">
        <f t="shared" si="14"/>
        <v>59</v>
      </c>
      <c r="AN58" s="3">
        <f t="shared" si="13"/>
        <v>0</v>
      </c>
    </row>
    <row r="59" spans="1:40" s="3" customFormat="1" x14ac:dyDescent="0.2">
      <c r="A59" t="s">
        <v>98</v>
      </c>
      <c r="B59" s="3" t="s">
        <v>108</v>
      </c>
      <c r="H59" s="3">
        <f>'experience g(l)'!M47</f>
        <v>212</v>
      </c>
      <c r="I59" s="3">
        <f>'experience g(l)'!N47</f>
        <v>212</v>
      </c>
      <c r="J59" s="3">
        <f>'experience g(l)'!O47</f>
        <v>212</v>
      </c>
      <c r="K59" s="3">
        <f>'experience g(l)'!P47</f>
        <v>212</v>
      </c>
      <c r="L59" s="3">
        <f>'experience g(l)'!Q47</f>
        <v>212</v>
      </c>
      <c r="M59" s="3">
        <f>'experience g(l)'!R47</f>
        <v>212</v>
      </c>
      <c r="N59" s="3">
        <f>'experience g(l)'!S47</f>
        <v>212</v>
      </c>
      <c r="O59" s="3">
        <f>'experience g(l)'!T47</f>
        <v>211</v>
      </c>
      <c r="P59" s="3">
        <f>'experience g(l)'!U47</f>
        <v>211</v>
      </c>
      <c r="Q59" s="3">
        <f>'experience g(l)'!V47</f>
        <v>211</v>
      </c>
      <c r="R59" s="3">
        <f>'experience g(l)'!W47</f>
        <v>0</v>
      </c>
      <c r="S59" s="3">
        <f>'experience g(l)'!X47</f>
        <v>0</v>
      </c>
      <c r="T59" s="3">
        <f>'experience g(l)'!Y47</f>
        <v>0</v>
      </c>
      <c r="AN59" s="3">
        <f t="shared" si="13"/>
        <v>0</v>
      </c>
    </row>
    <row r="60" spans="1:40" s="3" customFormat="1" x14ac:dyDescent="0.2">
      <c r="A60" t="s">
        <v>99</v>
      </c>
      <c r="B60" s="3" t="s">
        <v>108</v>
      </c>
      <c r="H60" s="3">
        <f>'experience g(l)'!M48</f>
        <v>319</v>
      </c>
      <c r="I60" s="3">
        <f>'experience g(l)'!N48</f>
        <v>319</v>
      </c>
      <c r="J60" s="3">
        <f>'experience g(l)'!O48</f>
        <v>319</v>
      </c>
      <c r="K60" s="3">
        <f>'experience g(l)'!P48</f>
        <v>319</v>
      </c>
      <c r="L60" s="3">
        <f>'experience g(l)'!Q48</f>
        <v>319</v>
      </c>
      <c r="M60" s="3">
        <f>'experience g(l)'!R48</f>
        <v>319</v>
      </c>
      <c r="N60" s="3">
        <f>'experience g(l)'!S48</f>
        <v>319</v>
      </c>
      <c r="O60" s="3">
        <f>'experience g(l)'!T48</f>
        <v>319</v>
      </c>
      <c r="P60" s="3">
        <f>'experience g(l)'!U48</f>
        <v>319</v>
      </c>
      <c r="Q60" s="3">
        <f>'experience g(l)'!V48</f>
        <v>319</v>
      </c>
      <c r="R60" s="3">
        <f>'experience g(l)'!W48</f>
        <v>319</v>
      </c>
      <c r="S60" s="3">
        <f>'experience g(l)'!X48</f>
        <v>319</v>
      </c>
      <c r="T60" s="3">
        <f>'experience g(l)'!Y48</f>
        <v>0</v>
      </c>
      <c r="AN60" s="3">
        <f t="shared" si="13"/>
        <v>0</v>
      </c>
    </row>
    <row r="61" spans="1:40" s="3" customFormat="1" x14ac:dyDescent="0.2">
      <c r="A61" t="s">
        <v>100</v>
      </c>
      <c r="B61" s="3" t="s">
        <v>108</v>
      </c>
      <c r="H61" s="3">
        <f>'experience g(l)'!M49</f>
        <v>165</v>
      </c>
      <c r="I61" s="3">
        <f>'experience g(l)'!N49</f>
        <v>165</v>
      </c>
      <c r="J61" s="3">
        <f>'experience g(l)'!O49</f>
        <v>165</v>
      </c>
      <c r="K61" s="3">
        <f>'experience g(l)'!P49</f>
        <v>165</v>
      </c>
      <c r="L61" s="3">
        <f>'experience g(l)'!Q49</f>
        <v>165</v>
      </c>
      <c r="M61" s="3">
        <f>'experience g(l)'!R49</f>
        <v>165</v>
      </c>
      <c r="N61" s="3">
        <f>'experience g(l)'!S49</f>
        <v>165</v>
      </c>
      <c r="O61" s="3">
        <f>'experience g(l)'!T49</f>
        <v>165</v>
      </c>
      <c r="P61" s="3">
        <f>'experience g(l)'!U49</f>
        <v>166</v>
      </c>
      <c r="Q61" s="3">
        <f>'experience g(l)'!V49</f>
        <v>166</v>
      </c>
      <c r="R61" s="3">
        <f>'experience g(l)'!W49</f>
        <v>166</v>
      </c>
      <c r="S61" s="3">
        <f>'experience g(l)'!X49</f>
        <v>166</v>
      </c>
      <c r="T61" s="3">
        <f>'experience g(l)'!Y49</f>
        <v>166</v>
      </c>
      <c r="AN61" s="3">
        <f t="shared" si="13"/>
        <v>0</v>
      </c>
    </row>
    <row r="62" spans="1:40" s="3" customFormat="1" x14ac:dyDescent="0.2">
      <c r="A62" t="s">
        <v>101</v>
      </c>
      <c r="B62" s="3" t="s">
        <v>108</v>
      </c>
      <c r="H62" s="45">
        <f>'experience g(l)'!M50</f>
        <v>-126</v>
      </c>
      <c r="I62" s="45">
        <f>'experience g(l)'!N50</f>
        <v>-126</v>
      </c>
      <c r="J62" s="45">
        <f>'experience g(l)'!O50</f>
        <v>-126</v>
      </c>
      <c r="K62" s="45">
        <f>'experience g(l)'!P50</f>
        <v>-126</v>
      </c>
      <c r="L62" s="45">
        <f>'experience g(l)'!Q50</f>
        <v>-126</v>
      </c>
      <c r="M62" s="45">
        <f>'experience g(l)'!R50</f>
        <v>-126</v>
      </c>
      <c r="N62" s="45">
        <f>'experience g(l)'!S50</f>
        <v>-126</v>
      </c>
      <c r="O62" s="45">
        <f>'experience g(l)'!T50</f>
        <v>-126</v>
      </c>
      <c r="P62" s="45">
        <f>'experience g(l)'!U50</f>
        <v>-126</v>
      </c>
      <c r="Q62" s="45">
        <f>'experience g(l)'!V50</f>
        <v>-126</v>
      </c>
      <c r="R62" s="45">
        <f>'experience g(l)'!W50</f>
        <v>-126</v>
      </c>
      <c r="S62" s="45">
        <f>'experience g(l)'!X50</f>
        <v>-126</v>
      </c>
      <c r="T62" s="45">
        <f>'experience g(l)'!Y50</f>
        <v>-127</v>
      </c>
      <c r="U62" s="45"/>
      <c r="V62" s="45"/>
      <c r="W62" s="45"/>
      <c r="X62" s="45"/>
      <c r="Y62" s="45"/>
      <c r="Z62" s="45"/>
      <c r="AA62" s="45"/>
      <c r="AB62" s="45"/>
      <c r="AC62" s="45"/>
      <c r="AD62" s="45"/>
      <c r="AE62" s="45"/>
      <c r="AF62" s="45"/>
      <c r="AG62" s="45"/>
      <c r="AH62" s="45"/>
      <c r="AI62" s="45"/>
      <c r="AJ62" s="45"/>
      <c r="AK62" s="45"/>
      <c r="AL62" s="45"/>
      <c r="AN62" s="3">
        <f t="shared" si="13"/>
        <v>0</v>
      </c>
    </row>
    <row r="63" spans="1:40" s="3" customFormat="1" x14ac:dyDescent="0.2">
      <c r="A63" t="s">
        <v>102</v>
      </c>
      <c r="B63" s="3" t="s">
        <v>108</v>
      </c>
      <c r="H63" s="45"/>
      <c r="I63" s="45">
        <f>'experience g(l)'!N51</f>
        <v>22</v>
      </c>
      <c r="J63" s="45">
        <f>'experience g(l)'!O51</f>
        <v>22</v>
      </c>
      <c r="K63" s="45">
        <f>'experience g(l)'!P51</f>
        <v>22</v>
      </c>
      <c r="L63" s="45">
        <f>'experience g(l)'!Q51</f>
        <v>22</v>
      </c>
      <c r="M63" s="45">
        <f>'experience g(l)'!R51</f>
        <v>22</v>
      </c>
      <c r="N63" s="45">
        <f>'experience g(l)'!S51</f>
        <v>22</v>
      </c>
      <c r="O63" s="45">
        <f>'experience g(l)'!T51</f>
        <v>22</v>
      </c>
      <c r="P63" s="45">
        <f>'experience g(l)'!U51</f>
        <v>22</v>
      </c>
      <c r="Q63" s="45">
        <f>'experience g(l)'!V51</f>
        <v>21</v>
      </c>
      <c r="R63" s="45">
        <f>'experience g(l)'!W51</f>
        <v>21</v>
      </c>
      <c r="S63" s="45">
        <f>'experience g(l)'!X51</f>
        <v>21</v>
      </c>
      <c r="T63" s="45">
        <f>'experience g(l)'!Y51</f>
        <v>21</v>
      </c>
      <c r="U63" s="45">
        <f>'experience g(l)'!Z51</f>
        <v>21</v>
      </c>
      <c r="V63" s="45"/>
      <c r="W63" s="45"/>
      <c r="X63" s="45"/>
      <c r="Y63" s="45"/>
      <c r="Z63" s="45"/>
      <c r="AA63" s="45"/>
      <c r="AB63" s="45"/>
      <c r="AC63" s="45"/>
      <c r="AD63" s="45"/>
      <c r="AE63" s="45"/>
      <c r="AF63" s="45"/>
      <c r="AG63" s="45"/>
      <c r="AH63" s="45"/>
      <c r="AI63" s="45"/>
      <c r="AJ63" s="45"/>
      <c r="AK63" s="45"/>
      <c r="AL63" s="45"/>
      <c r="AN63" s="3">
        <f t="shared" si="13"/>
        <v>0</v>
      </c>
    </row>
    <row r="64" spans="1:40" s="3" customFormat="1" x14ac:dyDescent="0.2">
      <c r="A64" t="s">
        <v>308</v>
      </c>
      <c r="B64" s="3" t="s">
        <v>108</v>
      </c>
      <c r="H64" s="45"/>
      <c r="I64" s="45"/>
      <c r="J64" s="45">
        <f>'experience g(l)'!O52</f>
        <v>-48</v>
      </c>
      <c r="K64" s="45">
        <f>'experience g(l)'!P52</f>
        <v>-48</v>
      </c>
      <c r="L64" s="45">
        <f>'experience g(l)'!Q52</f>
        <v>-48</v>
      </c>
      <c r="M64" s="45">
        <f>'experience g(l)'!R52</f>
        <v>-48</v>
      </c>
      <c r="N64" s="45">
        <f>'experience g(l)'!S52</f>
        <v>-48</v>
      </c>
      <c r="O64" s="45">
        <f>'experience g(l)'!T52</f>
        <v>-48</v>
      </c>
      <c r="P64" s="45">
        <f>'experience g(l)'!U52</f>
        <v>-48</v>
      </c>
      <c r="Q64" s="45">
        <f>'experience g(l)'!V52</f>
        <v>-48</v>
      </c>
      <c r="R64" s="45">
        <f>'experience g(l)'!W52</f>
        <v>-48</v>
      </c>
      <c r="S64" s="45">
        <f>'experience g(l)'!X52</f>
        <v>-48</v>
      </c>
      <c r="T64" s="45">
        <f>'experience g(l)'!Y52</f>
        <v>-48</v>
      </c>
      <c r="U64" s="45">
        <f>'experience g(l)'!Z52</f>
        <v>-48</v>
      </c>
      <c r="V64" s="45">
        <f>'experience g(l)'!AA52</f>
        <v>-47</v>
      </c>
      <c r="W64" s="45">
        <f>'experience g(l)'!AB52</f>
        <v>0</v>
      </c>
      <c r="X64" s="45"/>
      <c r="Y64" s="45"/>
      <c r="Z64" s="45"/>
      <c r="AA64" s="45"/>
      <c r="AB64" s="45"/>
      <c r="AC64" s="45"/>
      <c r="AD64" s="45"/>
      <c r="AE64" s="45"/>
      <c r="AF64" s="45"/>
      <c r="AG64" s="45"/>
      <c r="AH64" s="45"/>
      <c r="AI64" s="45"/>
      <c r="AJ64" s="45"/>
      <c r="AK64" s="45"/>
      <c r="AL64" s="45"/>
      <c r="AN64" s="3">
        <f t="shared" si="13"/>
        <v>0</v>
      </c>
    </row>
    <row r="65" spans="1:40" s="3" customFormat="1" x14ac:dyDescent="0.2">
      <c r="A65" t="s">
        <v>310</v>
      </c>
      <c r="B65" s="3" t="s">
        <v>108</v>
      </c>
      <c r="H65" s="45"/>
      <c r="I65" s="45"/>
      <c r="J65" s="45"/>
      <c r="K65" s="45">
        <f>'experience g(l)'!P53</f>
        <v>23</v>
      </c>
      <c r="L65" s="45">
        <f>'experience g(l)'!Q53</f>
        <v>23</v>
      </c>
      <c r="M65" s="45">
        <f>'experience g(l)'!R53</f>
        <v>23</v>
      </c>
      <c r="N65" s="45">
        <f>'experience g(l)'!S53</f>
        <v>23</v>
      </c>
      <c r="O65" s="45">
        <f>'experience g(l)'!T53</f>
        <v>23</v>
      </c>
      <c r="P65" s="45">
        <f>'experience g(l)'!U53</f>
        <v>23</v>
      </c>
      <c r="Q65" s="45">
        <f>'experience g(l)'!V53</f>
        <v>23</v>
      </c>
      <c r="R65" s="45">
        <f>'experience g(l)'!W53</f>
        <v>23</v>
      </c>
      <c r="S65" s="45">
        <f>'experience g(l)'!X53</f>
        <v>23</v>
      </c>
      <c r="T65" s="45">
        <f>'experience g(l)'!Y53</f>
        <v>23</v>
      </c>
      <c r="U65" s="45">
        <f>'experience g(l)'!Z53</f>
        <v>23</v>
      </c>
      <c r="V65" s="45">
        <f>'experience g(l)'!AA53</f>
        <v>22</v>
      </c>
      <c r="W65" s="45">
        <f>'experience g(l)'!AB53</f>
        <v>22</v>
      </c>
      <c r="X65" s="45"/>
      <c r="Y65" s="45"/>
      <c r="Z65" s="45"/>
      <c r="AA65" s="45"/>
      <c r="AB65" s="45"/>
      <c r="AC65" s="45"/>
      <c r="AD65" s="45"/>
      <c r="AE65" s="45"/>
      <c r="AF65" s="45"/>
      <c r="AG65" s="45"/>
      <c r="AH65" s="45"/>
      <c r="AI65" s="45"/>
      <c r="AJ65" s="45"/>
      <c r="AK65" s="45"/>
      <c r="AL65" s="45"/>
      <c r="AN65" s="3">
        <f t="shared" si="13"/>
        <v>22</v>
      </c>
    </row>
    <row r="66" spans="1:40" s="3" customFormat="1" x14ac:dyDescent="0.2">
      <c r="A66" t="s">
        <v>311</v>
      </c>
      <c r="B66" s="3" t="s">
        <v>108</v>
      </c>
      <c r="H66" s="45"/>
      <c r="I66" s="45"/>
      <c r="J66" s="45"/>
      <c r="K66" s="45"/>
      <c r="L66" s="45"/>
      <c r="M66" s="45">
        <f>'experience g(l)'!R54</f>
        <v>-46</v>
      </c>
      <c r="N66" s="45">
        <f>'experience g(l)'!S54</f>
        <v>-46</v>
      </c>
      <c r="O66" s="45">
        <f>'experience g(l)'!T54</f>
        <v>-46</v>
      </c>
      <c r="P66" s="45">
        <f>'experience g(l)'!U54</f>
        <v>-46</v>
      </c>
      <c r="Q66" s="45">
        <f>'experience g(l)'!V54</f>
        <v>-46</v>
      </c>
      <c r="R66" s="45">
        <f>'experience g(l)'!W54</f>
        <v>-46</v>
      </c>
      <c r="S66" s="45">
        <f>'experience g(l)'!X54</f>
        <v>-46</v>
      </c>
      <c r="T66" s="45">
        <f>'experience g(l)'!Y54</f>
        <v>-46</v>
      </c>
      <c r="U66" s="45">
        <f>'experience g(l)'!Z54</f>
        <v>-46</v>
      </c>
      <c r="V66" s="45">
        <f>'experience g(l)'!AA54</f>
        <v>-47</v>
      </c>
      <c r="W66" s="45">
        <f>'experience g(l)'!AB54</f>
        <v>-47</v>
      </c>
      <c r="X66" s="45">
        <f>'experience g(l)'!AC54</f>
        <v>-47</v>
      </c>
      <c r="Y66" s="45">
        <f>'experience g(l)'!AD54</f>
        <v>-47</v>
      </c>
      <c r="Z66" s="45"/>
      <c r="AA66" s="45"/>
      <c r="AB66" s="45"/>
      <c r="AC66" s="45"/>
      <c r="AD66" s="45"/>
      <c r="AE66" s="45"/>
      <c r="AF66" s="45"/>
      <c r="AG66" s="45"/>
      <c r="AH66" s="45"/>
      <c r="AI66" s="45"/>
      <c r="AJ66" s="45"/>
      <c r="AK66" s="45"/>
      <c r="AL66" s="45"/>
      <c r="AN66" s="3">
        <f t="shared" si="13"/>
        <v>-141</v>
      </c>
    </row>
    <row r="67" spans="1:40" s="3" customFormat="1" x14ac:dyDescent="0.2">
      <c r="A67" t="s">
        <v>312</v>
      </c>
      <c r="B67" s="3" t="s">
        <v>108</v>
      </c>
      <c r="H67" s="45"/>
      <c r="I67" s="45"/>
      <c r="J67" s="45"/>
      <c r="K67" s="45"/>
      <c r="L67" s="45"/>
      <c r="M67" s="45"/>
      <c r="N67" s="45">
        <f>'experience g(l)'!S55</f>
        <v>240</v>
      </c>
      <c r="O67" s="45">
        <f>'experience g(l)'!T55</f>
        <v>240</v>
      </c>
      <c r="P67" s="45">
        <f>'experience g(l)'!U55</f>
        <v>240</v>
      </c>
      <c r="Q67" s="45">
        <f>'experience g(l)'!V55</f>
        <v>240</v>
      </c>
      <c r="R67" s="45">
        <f>'experience g(l)'!W55</f>
        <v>240</v>
      </c>
      <c r="S67" s="45">
        <f>'experience g(l)'!X55</f>
        <v>240</v>
      </c>
      <c r="T67" s="45">
        <f>'experience g(l)'!Y55</f>
        <v>240</v>
      </c>
      <c r="U67" s="45">
        <f>'experience g(l)'!Z55</f>
        <v>240</v>
      </c>
      <c r="V67" s="45">
        <f>'experience g(l)'!AA55</f>
        <v>240</v>
      </c>
      <c r="W67" s="45">
        <f>'experience g(l)'!AB55</f>
        <v>240</v>
      </c>
      <c r="X67" s="45">
        <f>'experience g(l)'!AC55</f>
        <v>240</v>
      </c>
      <c r="Y67" s="45">
        <f>'experience g(l)'!AD55</f>
        <v>240</v>
      </c>
      <c r="Z67" s="45">
        <f>'experience g(l)'!AE55</f>
        <v>240</v>
      </c>
      <c r="AA67" s="45">
        <f>'experience g(l)'!AF55</f>
        <v>140</v>
      </c>
      <c r="AB67" s="45"/>
      <c r="AC67" s="45"/>
      <c r="AD67" s="45"/>
      <c r="AE67" s="45"/>
      <c r="AF67" s="45"/>
      <c r="AG67" s="45"/>
      <c r="AH67" s="45"/>
      <c r="AI67" s="45"/>
      <c r="AJ67" s="45"/>
      <c r="AK67" s="45"/>
      <c r="AL67" s="45"/>
      <c r="AN67" s="3">
        <f t="shared" si="13"/>
        <v>1100</v>
      </c>
    </row>
    <row r="68" spans="1:40" s="3" customFormat="1" x14ac:dyDescent="0.2">
      <c r="A68" t="s">
        <v>313</v>
      </c>
      <c r="B68" s="3" t="s">
        <v>108</v>
      </c>
      <c r="H68" s="45"/>
      <c r="I68" s="45"/>
      <c r="J68" s="45"/>
      <c r="K68" s="45"/>
      <c r="L68" s="45"/>
      <c r="M68" s="45"/>
      <c r="N68" s="45"/>
      <c r="O68" s="45">
        <f>'experience g(l)'!T56</f>
        <v>294</v>
      </c>
      <c r="P68" s="45">
        <f>'experience g(l)'!U56</f>
        <v>294</v>
      </c>
      <c r="Q68" s="45">
        <f>'experience g(l)'!V56</f>
        <v>294</v>
      </c>
      <c r="R68" s="45">
        <f>'experience g(l)'!W56</f>
        <v>294</v>
      </c>
      <c r="S68" s="45">
        <f>'experience g(l)'!X56</f>
        <v>294</v>
      </c>
      <c r="T68" s="45">
        <f>'experience g(l)'!Y56</f>
        <v>294</v>
      </c>
      <c r="U68" s="45">
        <f>'experience g(l)'!Z56</f>
        <v>294</v>
      </c>
      <c r="V68" s="45">
        <f>'experience g(l)'!AA56</f>
        <v>294</v>
      </c>
      <c r="W68" s="45">
        <f>'experience g(l)'!AB56</f>
        <v>294</v>
      </c>
      <c r="X68" s="45">
        <f>'experience g(l)'!AC56</f>
        <v>294</v>
      </c>
      <c r="Y68" s="45">
        <f>'experience g(l)'!AD56</f>
        <v>294</v>
      </c>
      <c r="Z68" s="45">
        <f>'experience g(l)'!AE56</f>
        <v>294</v>
      </c>
      <c r="AA68" s="45">
        <f>'experience g(l)'!AF56</f>
        <v>294</v>
      </c>
      <c r="AB68" s="45">
        <f>'experience g(l)'!AG56</f>
        <v>234</v>
      </c>
      <c r="AC68" s="45"/>
      <c r="AD68" s="45"/>
      <c r="AE68" s="45"/>
      <c r="AF68" s="45"/>
      <c r="AG68" s="45"/>
      <c r="AH68" s="45"/>
      <c r="AI68" s="45"/>
      <c r="AJ68" s="45"/>
      <c r="AK68" s="45"/>
      <c r="AL68" s="45"/>
      <c r="AN68" s="3">
        <f t="shared" si="13"/>
        <v>1704</v>
      </c>
    </row>
    <row r="69" spans="1:40" s="3" customFormat="1" x14ac:dyDescent="0.2">
      <c r="A69" t="s">
        <v>314</v>
      </c>
      <c r="B69" s="3" t="s">
        <v>108</v>
      </c>
      <c r="H69" s="45"/>
      <c r="I69" s="45"/>
      <c r="J69" s="45"/>
      <c r="K69" s="45"/>
      <c r="L69" s="45"/>
      <c r="M69" s="45"/>
      <c r="N69" s="45"/>
      <c r="O69" s="45"/>
      <c r="P69" s="45">
        <f>'experience g(l)'!U57</f>
        <v>-198</v>
      </c>
      <c r="Q69" s="45">
        <f>'experience g(l)'!V57</f>
        <v>-198</v>
      </c>
      <c r="R69" s="45">
        <f>'experience g(l)'!W57</f>
        <v>-198</v>
      </c>
      <c r="S69" s="45">
        <f>'experience g(l)'!X57</f>
        <v>-198</v>
      </c>
      <c r="T69" s="45">
        <f>'experience g(l)'!Y57</f>
        <v>-198</v>
      </c>
      <c r="U69" s="45">
        <f>'experience g(l)'!Z57</f>
        <v>-198</v>
      </c>
      <c r="V69" s="45">
        <f>'experience g(l)'!AA57</f>
        <v>-198</v>
      </c>
      <c r="W69" s="45">
        <f>'experience g(l)'!AB57</f>
        <v>-198</v>
      </c>
      <c r="X69" s="45">
        <f>'experience g(l)'!AC57</f>
        <v>-198</v>
      </c>
      <c r="Y69" s="45">
        <f>'experience g(l)'!AD57</f>
        <v>-198</v>
      </c>
      <c r="Z69" s="45">
        <f>'experience g(l)'!AE57</f>
        <v>-198</v>
      </c>
      <c r="AA69" s="45">
        <f>'experience g(l)'!AF57</f>
        <v>-198</v>
      </c>
      <c r="AB69" s="45">
        <f>'experience g(l)'!AG57</f>
        <v>-198</v>
      </c>
      <c r="AC69" s="45">
        <f>'experience g(l)'!AH57</f>
        <v>-199</v>
      </c>
      <c r="AD69" s="45"/>
      <c r="AE69" s="45"/>
      <c r="AF69" s="45"/>
      <c r="AG69" s="45"/>
      <c r="AH69" s="45"/>
      <c r="AI69" s="45"/>
      <c r="AJ69" s="45"/>
      <c r="AK69" s="45"/>
      <c r="AL69" s="45"/>
      <c r="AN69" s="3">
        <f t="shared" si="13"/>
        <v>-1387</v>
      </c>
    </row>
    <row r="70" spans="1:40" s="3" customFormat="1" x14ac:dyDescent="0.2">
      <c r="A70" t="s">
        <v>329</v>
      </c>
      <c r="B70" s="3" t="s">
        <v>108</v>
      </c>
      <c r="H70" s="45"/>
      <c r="I70" s="45"/>
      <c r="J70" s="45"/>
      <c r="K70" s="45"/>
      <c r="L70" s="45"/>
      <c r="M70" s="45"/>
      <c r="N70" s="45"/>
      <c r="O70" s="45"/>
      <c r="P70" s="45"/>
      <c r="Q70" s="45">
        <f>'experience g(l)'!V58</f>
        <v>-269</v>
      </c>
      <c r="R70" s="45">
        <f>'experience g(l)'!W58</f>
        <v>-269</v>
      </c>
      <c r="S70" s="45">
        <f>'experience g(l)'!X58</f>
        <v>-269</v>
      </c>
      <c r="T70" s="45">
        <f>'experience g(l)'!Y58</f>
        <v>-269</v>
      </c>
      <c r="U70" s="45">
        <f>'experience g(l)'!Z58</f>
        <v>-269</v>
      </c>
      <c r="V70" s="45">
        <f>'experience g(l)'!AA58</f>
        <v>-269</v>
      </c>
      <c r="W70" s="45">
        <f>'experience g(l)'!AB58</f>
        <v>-269</v>
      </c>
      <c r="X70" s="45">
        <f>'experience g(l)'!AC58</f>
        <v>-269</v>
      </c>
      <c r="Y70" s="45">
        <f>'experience g(l)'!AD58</f>
        <v>-269</v>
      </c>
      <c r="Z70" s="45">
        <f>'experience g(l)'!AE58</f>
        <v>-269</v>
      </c>
      <c r="AA70" s="45">
        <f>'experience g(l)'!AF58</f>
        <v>-269</v>
      </c>
      <c r="AB70" s="45">
        <f>'experience g(l)'!AG58</f>
        <v>-269</v>
      </c>
      <c r="AC70" s="45">
        <f>'experience g(l)'!AH58</f>
        <v>-269</v>
      </c>
      <c r="AD70" s="45">
        <f>'experience g(l)'!AI58</f>
        <v>-268</v>
      </c>
      <c r="AE70" s="45"/>
      <c r="AF70" s="45"/>
      <c r="AG70" s="45"/>
      <c r="AH70" s="45"/>
      <c r="AI70" s="45"/>
      <c r="AJ70" s="45"/>
      <c r="AK70" s="45"/>
      <c r="AL70" s="45"/>
      <c r="AN70" s="3">
        <f t="shared" si="13"/>
        <v>-2151</v>
      </c>
    </row>
    <row r="71" spans="1:40" s="3" customFormat="1" x14ac:dyDescent="0.2">
      <c r="A71" t="s">
        <v>332</v>
      </c>
      <c r="B71" s="3" t="s">
        <v>108</v>
      </c>
      <c r="H71" s="45"/>
      <c r="I71" s="45"/>
      <c r="J71" s="45"/>
      <c r="K71" s="45"/>
      <c r="L71" s="45"/>
      <c r="M71" s="45"/>
      <c r="N71" s="45"/>
      <c r="O71" s="45"/>
      <c r="P71" s="45"/>
      <c r="Q71" s="45"/>
      <c r="R71" s="45">
        <f>'experience g(l)'!W59</f>
        <v>114</v>
      </c>
      <c r="S71" s="45">
        <f>'experience g(l)'!X59</f>
        <v>114</v>
      </c>
      <c r="T71" s="45">
        <f>'experience g(l)'!Y59</f>
        <v>114</v>
      </c>
      <c r="U71" s="45">
        <f>'experience g(l)'!Z59</f>
        <v>114</v>
      </c>
      <c r="V71" s="45">
        <f>'experience g(l)'!AA59</f>
        <v>114</v>
      </c>
      <c r="W71" s="45">
        <f>'experience g(l)'!AB59</f>
        <v>114</v>
      </c>
      <c r="X71" s="45">
        <f>'experience g(l)'!AC59</f>
        <v>114</v>
      </c>
      <c r="Y71" s="45">
        <f>'experience g(l)'!AD59</f>
        <v>114</v>
      </c>
      <c r="Z71" s="45">
        <f>'experience g(l)'!AE59</f>
        <v>114</v>
      </c>
      <c r="AA71" s="45">
        <f>'experience g(l)'!AF59</f>
        <v>114</v>
      </c>
      <c r="AB71" s="45">
        <f>'experience g(l)'!AG59</f>
        <v>114</v>
      </c>
      <c r="AC71" s="45">
        <f>'experience g(l)'!AH59</f>
        <v>114</v>
      </c>
      <c r="AD71" s="45">
        <f>'experience g(l)'!AI59</f>
        <v>114</v>
      </c>
      <c r="AE71" s="45">
        <f>'experience g(l)'!AJ59</f>
        <v>96</v>
      </c>
      <c r="AF71" s="45"/>
      <c r="AG71" s="45"/>
      <c r="AH71" s="45"/>
      <c r="AI71" s="45"/>
      <c r="AJ71" s="45"/>
      <c r="AK71" s="45"/>
      <c r="AL71" s="45"/>
      <c r="AN71" s="3">
        <f t="shared" si="13"/>
        <v>1008</v>
      </c>
    </row>
    <row r="72" spans="1:40" s="3" customFormat="1" x14ac:dyDescent="0.2">
      <c r="A72" s="231" t="s">
        <v>336</v>
      </c>
      <c r="B72" s="3" t="s">
        <v>108</v>
      </c>
      <c r="H72" s="45"/>
      <c r="I72" s="45"/>
      <c r="J72" s="45"/>
      <c r="K72" s="45"/>
      <c r="L72" s="45"/>
      <c r="M72" s="45"/>
      <c r="N72" s="45"/>
      <c r="O72" s="45"/>
      <c r="P72" s="45"/>
      <c r="Q72" s="45"/>
      <c r="R72" s="45"/>
      <c r="S72" s="45">
        <f>'experience g(l)'!X60</f>
        <v>-309</v>
      </c>
      <c r="T72" s="45">
        <f>'experience g(l)'!Y60</f>
        <v>-309</v>
      </c>
      <c r="U72" s="45">
        <f>'experience g(l)'!Z60</f>
        <v>-309</v>
      </c>
      <c r="V72" s="45">
        <f>'experience g(l)'!AA60</f>
        <v>-309</v>
      </c>
      <c r="W72" s="45">
        <f>'experience g(l)'!AB60</f>
        <v>-309</v>
      </c>
      <c r="X72" s="45">
        <f>'experience g(l)'!AC60</f>
        <v>-309</v>
      </c>
      <c r="Y72" s="45">
        <f>'experience g(l)'!AD60</f>
        <v>-309</v>
      </c>
      <c r="Z72" s="45">
        <f>'experience g(l)'!AE60</f>
        <v>-309</v>
      </c>
      <c r="AA72" s="45">
        <f>'experience g(l)'!AF60</f>
        <v>-309</v>
      </c>
      <c r="AB72" s="45">
        <f>'experience g(l)'!AG60</f>
        <v>-309</v>
      </c>
      <c r="AC72" s="45">
        <f>'experience g(l)'!AH60</f>
        <v>-309</v>
      </c>
      <c r="AD72" s="45">
        <f>'experience g(l)'!AI60</f>
        <v>-309</v>
      </c>
      <c r="AE72" s="45">
        <f>'experience g(l)'!AJ60</f>
        <v>-309</v>
      </c>
      <c r="AF72" s="45">
        <f>'experience g(l)'!AK60</f>
        <v>-271</v>
      </c>
      <c r="AG72" s="45">
        <f>'experience g(l)'!AL60</f>
        <v>-63</v>
      </c>
      <c r="AH72" s="45"/>
      <c r="AI72" s="45"/>
      <c r="AJ72" s="45"/>
      <c r="AK72" s="45"/>
      <c r="AL72" s="45"/>
      <c r="AN72" s="3">
        <f t="shared" si="13"/>
        <v>-3115</v>
      </c>
    </row>
    <row r="73" spans="1:40" s="3" customFormat="1" x14ac:dyDescent="0.2">
      <c r="A73" s="231" t="s">
        <v>350</v>
      </c>
      <c r="B73" s="3" t="s">
        <v>108</v>
      </c>
      <c r="H73" s="45"/>
      <c r="I73" s="45"/>
      <c r="J73" s="45"/>
      <c r="K73" s="45"/>
      <c r="L73" s="45"/>
      <c r="M73" s="45"/>
      <c r="N73" s="45"/>
      <c r="O73" s="45"/>
      <c r="P73" s="45"/>
      <c r="Q73" s="45"/>
      <c r="R73" s="45"/>
      <c r="S73" s="45"/>
      <c r="T73" s="45">
        <f>'experience g(l)'!Y61</f>
        <v>69</v>
      </c>
      <c r="U73" s="45">
        <f>'experience g(l)'!Z61</f>
        <v>69</v>
      </c>
      <c r="V73" s="45">
        <f>'experience g(l)'!AA61</f>
        <v>69</v>
      </c>
      <c r="W73" s="45">
        <f>'experience g(l)'!AB61</f>
        <v>69</v>
      </c>
      <c r="X73" s="45">
        <f>'experience g(l)'!AC61</f>
        <v>69</v>
      </c>
      <c r="Y73" s="45">
        <f>'experience g(l)'!AD61</f>
        <v>69</v>
      </c>
      <c r="Z73" s="45">
        <f>'experience g(l)'!AE61</f>
        <v>69</v>
      </c>
      <c r="AA73" s="45">
        <f>'experience g(l)'!AF61</f>
        <v>69</v>
      </c>
      <c r="AB73" s="45">
        <f>'experience g(l)'!AG61</f>
        <v>69</v>
      </c>
      <c r="AC73" s="45">
        <f>'experience g(l)'!AH61</f>
        <v>69</v>
      </c>
      <c r="AD73" s="45">
        <f>'experience g(l)'!AI61</f>
        <v>69</v>
      </c>
      <c r="AE73" s="45">
        <f>'experience g(l)'!AJ61</f>
        <v>69</v>
      </c>
      <c r="AF73" s="45">
        <f>'experience g(l)'!AK61</f>
        <v>69</v>
      </c>
      <c r="AG73" s="45">
        <f>'experience g(l)'!AL61</f>
        <v>69</v>
      </c>
      <c r="AH73" s="45">
        <f>'experience g(l)'!AM61</f>
        <v>38.4</v>
      </c>
      <c r="AI73" s="45"/>
      <c r="AJ73" s="45"/>
      <c r="AK73" s="45"/>
      <c r="AL73" s="45"/>
      <c r="AN73" s="3">
        <f t="shared" si="13"/>
        <v>797.4</v>
      </c>
    </row>
    <row r="74" spans="1:40" s="3" customFormat="1" x14ac:dyDescent="0.2">
      <c r="A74" s="389" t="s">
        <v>355</v>
      </c>
      <c r="B74" s="3" t="s">
        <v>108</v>
      </c>
      <c r="H74" s="45"/>
      <c r="I74" s="45"/>
      <c r="J74" s="45"/>
      <c r="K74" s="45"/>
      <c r="L74" s="45"/>
      <c r="M74" s="45"/>
      <c r="N74" s="45"/>
      <c r="O74" s="45"/>
      <c r="P74" s="45"/>
      <c r="Q74" s="45"/>
      <c r="R74" s="45"/>
      <c r="S74" s="45"/>
      <c r="T74" s="45"/>
      <c r="U74" s="45">
        <f>'experience g(l)'!Z62</f>
        <v>421</v>
      </c>
      <c r="V74" s="45">
        <f>'experience g(l)'!AA62</f>
        <v>421</v>
      </c>
      <c r="W74" s="45">
        <f>'experience g(l)'!AB62</f>
        <v>421</v>
      </c>
      <c r="X74" s="45">
        <f>'experience g(l)'!AC62</f>
        <v>421</v>
      </c>
      <c r="Y74" s="45">
        <f>'experience g(l)'!AD62</f>
        <v>421</v>
      </c>
      <c r="Z74" s="45">
        <f>'experience g(l)'!AE62</f>
        <v>421</v>
      </c>
      <c r="AA74" s="45">
        <f>'experience g(l)'!AF62</f>
        <v>421</v>
      </c>
      <c r="AB74" s="45">
        <f>'experience g(l)'!AG62</f>
        <v>421</v>
      </c>
      <c r="AC74" s="45">
        <f>'experience g(l)'!AH62</f>
        <v>421</v>
      </c>
      <c r="AD74" s="45">
        <f>'experience g(l)'!AI62</f>
        <v>421</v>
      </c>
      <c r="AE74" s="45">
        <f>'experience g(l)'!AJ62</f>
        <v>421</v>
      </c>
      <c r="AF74" s="45">
        <f>'experience g(l)'!AK62</f>
        <v>421</v>
      </c>
      <c r="AG74" s="45">
        <f>'experience g(l)'!AL62</f>
        <v>421</v>
      </c>
      <c r="AH74" s="45">
        <f>'experience g(l)'!AM62</f>
        <v>421</v>
      </c>
      <c r="AI74" s="45">
        <f>'experience g(l)'!AN62</f>
        <v>210.5</v>
      </c>
      <c r="AJ74" s="45"/>
      <c r="AK74" s="45"/>
      <c r="AL74" s="45"/>
      <c r="AN74" s="3">
        <f t="shared" si="13"/>
        <v>5262.5</v>
      </c>
    </row>
    <row r="75" spans="1:40" s="3" customFormat="1" x14ac:dyDescent="0.2">
      <c r="A75" s="389" t="s">
        <v>358</v>
      </c>
      <c r="B75" s="3" t="s">
        <v>108</v>
      </c>
      <c r="H75" s="45"/>
      <c r="I75" s="45"/>
      <c r="J75" s="45"/>
      <c r="K75" s="45"/>
      <c r="L75" s="45"/>
      <c r="M75" s="45"/>
      <c r="N75" s="45"/>
      <c r="O75" s="45"/>
      <c r="P75" s="45"/>
      <c r="Q75" s="45"/>
      <c r="R75" s="45"/>
      <c r="S75" s="45"/>
      <c r="T75" s="45"/>
      <c r="U75" s="45"/>
      <c r="V75" s="45">
        <f>'experience g(l)'!AA63</f>
        <v>433</v>
      </c>
      <c r="W75" s="45">
        <f>'experience g(l)'!AB63</f>
        <v>433</v>
      </c>
      <c r="X75" s="45">
        <f>'experience g(l)'!AC63</f>
        <v>433</v>
      </c>
      <c r="Y75" s="45">
        <f>'experience g(l)'!AD63</f>
        <v>433</v>
      </c>
      <c r="Z75" s="45">
        <f>'experience g(l)'!AE63</f>
        <v>433</v>
      </c>
      <c r="AA75" s="45">
        <f>'experience g(l)'!AF63</f>
        <v>433</v>
      </c>
      <c r="AB75" s="45">
        <f>'experience g(l)'!AG63</f>
        <v>433</v>
      </c>
      <c r="AC75" s="45">
        <f>'experience g(l)'!AH63</f>
        <v>433</v>
      </c>
      <c r="AD75" s="45">
        <f>'experience g(l)'!AI63</f>
        <v>433</v>
      </c>
      <c r="AE75" s="45">
        <f>'experience g(l)'!AJ63</f>
        <v>433</v>
      </c>
      <c r="AF75" s="45">
        <f>'experience g(l)'!AK63</f>
        <v>433</v>
      </c>
      <c r="AG75" s="45">
        <f>'experience g(l)'!AL63</f>
        <v>433</v>
      </c>
      <c r="AH75" s="45">
        <f>'experience g(l)'!AM63</f>
        <v>433</v>
      </c>
      <c r="AI75" s="45">
        <f>'experience g(l)'!AN63</f>
        <v>433</v>
      </c>
      <c r="AJ75" s="45">
        <f>'experience g(l)'!AO63</f>
        <v>179.20000000000002</v>
      </c>
      <c r="AK75" s="45">
        <f>'experience g(l)'!AP63</f>
        <v>0</v>
      </c>
      <c r="AL75" s="45">
        <f>'experience g(l)'!AQ63</f>
        <v>0</v>
      </c>
      <c r="AN75" s="3">
        <f t="shared" si="13"/>
        <v>5808.2</v>
      </c>
    </row>
    <row r="76" spans="1:40" s="3" customFormat="1" x14ac:dyDescent="0.2">
      <c r="A76" s="314" t="s">
        <v>363</v>
      </c>
      <c r="H76" s="45"/>
      <c r="I76" s="45"/>
      <c r="J76" s="45"/>
      <c r="K76" s="45"/>
      <c r="L76" s="45"/>
      <c r="M76" s="45"/>
      <c r="N76" s="45"/>
      <c r="O76" s="45"/>
      <c r="P76" s="45"/>
      <c r="Q76" s="45"/>
      <c r="R76" s="45"/>
      <c r="S76" s="45"/>
      <c r="T76" s="45"/>
      <c r="U76" s="45"/>
      <c r="V76" s="45"/>
      <c r="W76" s="45">
        <f>'experience g(l)'!AB64</f>
        <v>594</v>
      </c>
      <c r="X76" s="45">
        <f>'experience g(l)'!AC64</f>
        <v>594</v>
      </c>
      <c r="Y76" s="45">
        <f>'experience g(l)'!AD64</f>
        <v>594</v>
      </c>
      <c r="Z76" s="45">
        <f>'experience g(l)'!AE64</f>
        <v>594</v>
      </c>
      <c r="AA76" s="45">
        <f>'experience g(l)'!AF64</f>
        <v>594</v>
      </c>
      <c r="AB76" s="45">
        <f>'experience g(l)'!AG64</f>
        <v>594</v>
      </c>
      <c r="AC76" s="45">
        <f>'experience g(l)'!AH64</f>
        <v>594</v>
      </c>
      <c r="AD76" s="45">
        <f>'experience g(l)'!AI64</f>
        <v>594</v>
      </c>
      <c r="AE76" s="45">
        <f>'experience g(l)'!AJ64</f>
        <v>594</v>
      </c>
      <c r="AF76" s="45">
        <f>'experience g(l)'!AK64</f>
        <v>594</v>
      </c>
      <c r="AG76" s="45">
        <f>'experience g(l)'!AL64</f>
        <v>593</v>
      </c>
      <c r="AH76" s="45">
        <f>'experience g(l)'!AM64</f>
        <v>593</v>
      </c>
      <c r="AI76" s="45">
        <f>'experience g(l)'!AN64</f>
        <v>593</v>
      </c>
      <c r="AJ76" s="45">
        <f>'experience g(l)'!AO64</f>
        <v>593</v>
      </c>
      <c r="AK76" s="45">
        <f>'experience g(l)'!AP64</f>
        <v>593</v>
      </c>
      <c r="AL76" s="45">
        <f>'experience g(l)'!AQ64</f>
        <v>184.2</v>
      </c>
      <c r="AN76" s="3">
        <f t="shared" si="13"/>
        <v>9089.2000000000007</v>
      </c>
    </row>
    <row r="77" spans="1:40" s="25" customFormat="1" x14ac:dyDescent="0.2">
      <c r="A77" s="25" t="s">
        <v>130</v>
      </c>
      <c r="H77" s="26">
        <f t="shared" ref="H77:S77" si="15">SUM(H56:H72)</f>
        <v>470</v>
      </c>
      <c r="I77" s="26">
        <f t="shared" si="15"/>
        <v>493</v>
      </c>
      <c r="J77" s="26">
        <f t="shared" si="15"/>
        <v>444</v>
      </c>
      <c r="K77" s="26">
        <f t="shared" si="15"/>
        <v>466</v>
      </c>
      <c r="L77" s="26">
        <f t="shared" si="15"/>
        <v>467</v>
      </c>
      <c r="M77" s="26">
        <f t="shared" si="15"/>
        <v>470</v>
      </c>
      <c r="N77" s="26">
        <f t="shared" si="15"/>
        <v>710</v>
      </c>
      <c r="O77" s="26">
        <f t="shared" si="15"/>
        <v>1113</v>
      </c>
      <c r="P77" s="26">
        <f t="shared" si="15"/>
        <v>916</v>
      </c>
      <c r="Q77" s="26">
        <f t="shared" si="15"/>
        <v>587</v>
      </c>
      <c r="R77" s="26">
        <f t="shared" si="15"/>
        <v>490</v>
      </c>
      <c r="S77" s="26">
        <f t="shared" si="15"/>
        <v>181</v>
      </c>
      <c r="T77" s="26">
        <f>SUM(T56:T74)</f>
        <v>-70</v>
      </c>
      <c r="U77" s="26">
        <f>SUM(U56:U75)</f>
        <v>312</v>
      </c>
      <c r="V77" s="26">
        <f t="shared" ref="V77" si="16">SUM(V56:V75)</f>
        <v>723</v>
      </c>
      <c r="W77" s="26">
        <f>SUM(W56:W76)</f>
        <v>1364</v>
      </c>
      <c r="X77" s="26">
        <f t="shared" ref="X77:AJ77" si="17">SUM(X56:X76)</f>
        <v>1342</v>
      </c>
      <c r="Y77" s="26">
        <f t="shared" si="17"/>
        <v>1342</v>
      </c>
      <c r="Z77" s="26">
        <f t="shared" si="17"/>
        <v>1389</v>
      </c>
      <c r="AA77" s="26">
        <f t="shared" si="17"/>
        <v>1289</v>
      </c>
      <c r="AB77" s="26">
        <f t="shared" si="17"/>
        <v>1089</v>
      </c>
      <c r="AC77" s="26">
        <f t="shared" si="17"/>
        <v>854</v>
      </c>
      <c r="AD77" s="26">
        <f t="shared" si="17"/>
        <v>1054</v>
      </c>
      <c r="AE77" s="26">
        <f t="shared" si="17"/>
        <v>1304</v>
      </c>
      <c r="AF77" s="26">
        <f t="shared" si="17"/>
        <v>1246</v>
      </c>
      <c r="AG77" s="26">
        <f t="shared" si="17"/>
        <v>1453</v>
      </c>
      <c r="AH77" s="26">
        <f t="shared" si="17"/>
        <v>1485.4</v>
      </c>
      <c r="AI77" s="26">
        <f t="shared" si="17"/>
        <v>1236.5</v>
      </c>
      <c r="AJ77" s="26">
        <f t="shared" si="17"/>
        <v>772.2</v>
      </c>
      <c r="AK77" s="26">
        <f t="shared" ref="AK77" si="18">SUM(AK56:AK76)</f>
        <v>593</v>
      </c>
      <c r="AL77" s="26">
        <f t="shared" ref="AL77" si="19">SUM(AL56:AL76)</f>
        <v>184.2</v>
      </c>
      <c r="AN77" s="26">
        <f>SUM(AN56:AN76)</f>
        <v>17997.300000000003</v>
      </c>
    </row>
    <row r="78" spans="1:40" s="3" customFormat="1" x14ac:dyDescent="0.2"/>
    <row r="79" spans="1:40" s="3" customFormat="1" x14ac:dyDescent="0.2"/>
    <row r="80" spans="1:4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sheetData>
  <phoneticPr fontId="0" type="noConversion"/>
  <pageMargins left="0.5" right="0.5" top="0.75" bottom="0.75" header="0.5" footer="0.5"/>
  <pageSetup paperSize="5" scale="40" orientation="landscape" r:id="rId1"/>
  <headerFooter alignWithMargins="0">
    <oddFooter>&amp;L&amp;"Arial,Bold"&amp;F&amp;C&amp;A&amp;R&amp;D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7"/>
  <sheetViews>
    <sheetView workbookViewId="0">
      <pane xSplit="2" ySplit="4" topLeftCell="C5" activePane="bottomRight" state="frozen"/>
      <selection activeCell="V17" sqref="V17"/>
      <selection pane="topRight" activeCell="V17" sqref="V17"/>
      <selection pane="bottomLeft" activeCell="V17" sqref="V17"/>
      <selection pane="bottomRight" activeCell="V17" sqref="V17"/>
    </sheetView>
  </sheetViews>
  <sheetFormatPr defaultRowHeight="12.75" x14ac:dyDescent="0.2"/>
  <cols>
    <col min="1" max="1" width="53.28515625" customWidth="1"/>
    <col min="2" max="2" width="22" customWidth="1"/>
    <col min="33" max="33" width="11.5703125" customWidth="1"/>
    <col min="34" max="34" width="9.28515625" customWidth="1"/>
  </cols>
  <sheetData>
    <row r="1" spans="1:34" ht="15.75" x14ac:dyDescent="0.25">
      <c r="A1" s="18" t="s">
        <v>258</v>
      </c>
    </row>
    <row r="2" spans="1:34" x14ac:dyDescent="0.2">
      <c r="A2" s="2" t="s">
        <v>250</v>
      </c>
    </row>
    <row r="3" spans="1:34" x14ac:dyDescent="0.2">
      <c r="AG3" s="16" t="s">
        <v>106</v>
      </c>
      <c r="AH3">
        <f>'RCA data'!$I$14</f>
        <v>39</v>
      </c>
    </row>
    <row r="4" spans="1:34" s="2" customFormat="1" ht="13.5" thickBot="1" x14ac:dyDescent="0.25">
      <c r="A4" s="19" t="s">
        <v>1</v>
      </c>
      <c r="B4" s="20" t="s">
        <v>26</v>
      </c>
      <c r="C4" s="20">
        <v>2001</v>
      </c>
      <c r="D4" s="20">
        <v>2002</v>
      </c>
      <c r="E4" s="20">
        <v>2003</v>
      </c>
      <c r="F4" s="20">
        <v>2004</v>
      </c>
      <c r="G4" s="20">
        <v>2005</v>
      </c>
      <c r="H4" s="20">
        <v>2006</v>
      </c>
      <c r="I4" s="20">
        <v>2007</v>
      </c>
      <c r="J4" s="20">
        <v>2008</v>
      </c>
      <c r="K4" s="20">
        <v>2009</v>
      </c>
      <c r="L4" s="20">
        <v>2010</v>
      </c>
      <c r="M4" s="20">
        <v>2011</v>
      </c>
      <c r="N4" s="20">
        <v>2012</v>
      </c>
      <c r="O4" s="20">
        <v>2013</v>
      </c>
      <c r="P4" s="20">
        <v>2014</v>
      </c>
      <c r="Q4" s="20">
        <v>2015</v>
      </c>
      <c r="R4" s="20">
        <v>2016</v>
      </c>
      <c r="S4" s="73">
        <v>2017</v>
      </c>
      <c r="T4" s="73">
        <v>2018</v>
      </c>
      <c r="U4" s="73">
        <v>2019</v>
      </c>
      <c r="V4" s="73">
        <v>2020</v>
      </c>
      <c r="W4" s="73">
        <v>2021</v>
      </c>
      <c r="X4" s="73">
        <v>2021</v>
      </c>
      <c r="Y4" s="73">
        <v>2022</v>
      </c>
      <c r="Z4" s="73">
        <v>2023</v>
      </c>
      <c r="AA4" s="73">
        <v>2024</v>
      </c>
      <c r="AB4" s="73">
        <v>2025</v>
      </c>
      <c r="AC4" s="73">
        <v>2026</v>
      </c>
      <c r="AD4" s="73"/>
      <c r="AE4" s="73"/>
      <c r="AF4" s="73"/>
      <c r="AG4" s="17" t="s">
        <v>125</v>
      </c>
      <c r="AH4" s="17" t="s">
        <v>109</v>
      </c>
    </row>
    <row r="7" spans="1:34" x14ac:dyDescent="0.2">
      <c r="A7" s="28" t="s">
        <v>113</v>
      </c>
    </row>
    <row r="8" spans="1:34" s="3" customFormat="1" x14ac:dyDescent="0.2">
      <c r="A8" s="3" t="s">
        <v>96</v>
      </c>
      <c r="B8" s="3" t="s">
        <v>265</v>
      </c>
      <c r="C8" s="3">
        <f>'RCA exp g(l)'!H24</f>
        <v>6</v>
      </c>
      <c r="D8" s="3">
        <f>'RCA exp g(l)'!I24</f>
        <v>6</v>
      </c>
      <c r="E8" s="3">
        <f>'RCA exp g(l)'!J24</f>
        <v>6</v>
      </c>
      <c r="F8" s="3">
        <f>'RCA exp g(l)'!K24</f>
        <v>6</v>
      </c>
      <c r="G8" s="3">
        <f>'RCA exp g(l)'!L24</f>
        <v>6</v>
      </c>
      <c r="H8" s="3">
        <f>'RCA exp g(l)'!M24</f>
        <v>5</v>
      </c>
      <c r="I8" s="3">
        <f>'RCA exp g(l)'!N24</f>
        <v>5</v>
      </c>
      <c r="J8" s="3">
        <f>'RCA exp g(l)'!O24</f>
        <v>5</v>
      </c>
      <c r="K8" s="3">
        <f>'RCA exp g(l)'!P24</f>
        <v>5</v>
      </c>
      <c r="L8" s="3">
        <f>'RCA exp g(l)'!Q24</f>
        <v>0</v>
      </c>
      <c r="M8" s="3">
        <f>'RCA exp g(l)'!R24</f>
        <v>0</v>
      </c>
      <c r="N8" s="3">
        <f>'RCA exp g(l)'!S24</f>
        <v>0</v>
      </c>
      <c r="O8" s="3">
        <f>'RCA exp g(l)'!T24</f>
        <v>0</v>
      </c>
      <c r="P8" s="3">
        <f>'RCA exp g(l)'!U24</f>
        <v>0</v>
      </c>
      <c r="Q8" s="3">
        <f>'RCA exp g(l)'!V24</f>
        <v>0</v>
      </c>
      <c r="AG8" s="3">
        <f>SUM(C8:Y8)</f>
        <v>50</v>
      </c>
      <c r="AH8" s="3">
        <v>39</v>
      </c>
    </row>
    <row r="9" spans="1:34" s="3" customFormat="1" x14ac:dyDescent="0.2">
      <c r="A9" s="3" t="s">
        <v>97</v>
      </c>
      <c r="B9" s="3" t="s">
        <v>265</v>
      </c>
      <c r="C9" s="3">
        <f>'RCA exp g(l)'!H25</f>
        <v>8</v>
      </c>
      <c r="D9" s="3">
        <f>'RCA exp g(l)'!I25</f>
        <v>8</v>
      </c>
      <c r="E9" s="3">
        <f>'RCA exp g(l)'!J25</f>
        <v>8</v>
      </c>
      <c r="F9" s="3">
        <f>'RCA exp g(l)'!K25</f>
        <v>8</v>
      </c>
      <c r="G9" s="3">
        <f>'RCA exp g(l)'!L25</f>
        <v>9</v>
      </c>
      <c r="H9" s="3">
        <f>'RCA exp g(l)'!M25</f>
        <v>9</v>
      </c>
      <c r="I9" s="3">
        <f>'RCA exp g(l)'!N25</f>
        <v>9</v>
      </c>
      <c r="J9" s="3">
        <f>'RCA exp g(l)'!O25</f>
        <v>9</v>
      </c>
      <c r="K9" s="3">
        <f>'RCA exp g(l)'!P25</f>
        <v>9</v>
      </c>
      <c r="L9" s="3">
        <f>'RCA exp g(l)'!Q25</f>
        <v>0</v>
      </c>
      <c r="M9" s="3">
        <f>'RCA exp g(l)'!R25</f>
        <v>0</v>
      </c>
      <c r="N9" s="3">
        <f>'RCA exp g(l)'!S25</f>
        <v>0</v>
      </c>
      <c r="O9" s="3">
        <f>'RCA exp g(l)'!T25</f>
        <v>0</v>
      </c>
      <c r="P9" s="3">
        <f>'RCA exp g(l)'!U25</f>
        <v>0</v>
      </c>
      <c r="Q9" s="3">
        <f>'RCA exp g(l)'!V25</f>
        <v>0</v>
      </c>
      <c r="AG9" s="3">
        <f>SUM(C9:Y9)</f>
        <v>77</v>
      </c>
    </row>
    <row r="10" spans="1:34" s="3" customFormat="1" x14ac:dyDescent="0.2">
      <c r="A10" s="3" t="s">
        <v>98</v>
      </c>
      <c r="B10" s="3" t="s">
        <v>265</v>
      </c>
      <c r="C10" s="3">
        <f>'RCA exp g(l)'!H26</f>
        <v>2</v>
      </c>
      <c r="D10" s="3">
        <f>'RCA exp g(l)'!I26</f>
        <v>2</v>
      </c>
      <c r="E10" s="3">
        <f>'RCA exp g(l)'!J26</f>
        <v>2</v>
      </c>
      <c r="F10" s="3">
        <f>'RCA exp g(l)'!K26</f>
        <v>2</v>
      </c>
      <c r="G10" s="3">
        <f>'RCA exp g(l)'!L26</f>
        <v>2</v>
      </c>
      <c r="H10" s="3">
        <f>'RCA exp g(l)'!M26</f>
        <v>2</v>
      </c>
      <c r="I10" s="3">
        <f>'RCA exp g(l)'!N26</f>
        <v>2</v>
      </c>
      <c r="J10" s="3">
        <f>'RCA exp g(l)'!O26</f>
        <v>2</v>
      </c>
      <c r="K10" s="3">
        <f>'RCA exp g(l)'!P26</f>
        <v>1</v>
      </c>
      <c r="L10" s="3">
        <f>'RCA exp g(l)'!Q26</f>
        <v>1</v>
      </c>
      <c r="M10" s="3">
        <f>'RCA exp g(l)'!R26</f>
        <v>0</v>
      </c>
      <c r="N10" s="3">
        <f>'RCA exp g(l)'!S26</f>
        <v>0</v>
      </c>
      <c r="O10" s="3">
        <f>'RCA exp g(l)'!T26</f>
        <v>0</v>
      </c>
      <c r="P10" s="3">
        <f>'RCA exp g(l)'!U26</f>
        <v>0</v>
      </c>
      <c r="Q10" s="3">
        <f>'RCA exp g(l)'!V26</f>
        <v>0</v>
      </c>
      <c r="AG10" s="3">
        <f>SUM(C10:Y10)</f>
        <v>18</v>
      </c>
    </row>
    <row r="11" spans="1:34" s="3" customFormat="1" x14ac:dyDescent="0.2">
      <c r="A11" s="3" t="s">
        <v>99</v>
      </c>
      <c r="B11" s="3" t="s">
        <v>265</v>
      </c>
      <c r="C11" s="3">
        <f>'RCA exp g(l)'!H27</f>
        <v>6</v>
      </c>
      <c r="D11" s="3">
        <f>'RCA exp g(l)'!I27</f>
        <v>6</v>
      </c>
      <c r="E11" s="3">
        <f>'RCA exp g(l)'!J27</f>
        <v>6</v>
      </c>
      <c r="F11" s="3">
        <f>'RCA exp g(l)'!K27</f>
        <v>6</v>
      </c>
      <c r="G11" s="3">
        <f>'RCA exp g(l)'!L27</f>
        <v>6</v>
      </c>
      <c r="H11" s="3">
        <f>'RCA exp g(l)'!M27</f>
        <v>6</v>
      </c>
      <c r="I11" s="3">
        <f>'RCA exp g(l)'!N27</f>
        <v>6</v>
      </c>
      <c r="J11" s="3">
        <f>'RCA exp g(l)'!O27</f>
        <v>5</v>
      </c>
      <c r="K11" s="3">
        <f>'RCA exp g(l)'!P27</f>
        <v>5</v>
      </c>
      <c r="L11" s="3">
        <f>'RCA exp g(l)'!Q27</f>
        <v>5</v>
      </c>
      <c r="M11" s="3">
        <f>'RCA exp g(l)'!R27</f>
        <v>5</v>
      </c>
      <c r="N11" s="3">
        <f>'RCA exp g(l)'!S27</f>
        <v>5</v>
      </c>
      <c r="O11" s="3">
        <f>'RCA exp g(l)'!T27</f>
        <v>0</v>
      </c>
      <c r="P11" s="3">
        <f>'RCA exp g(l)'!U27</f>
        <v>0</v>
      </c>
      <c r="Q11" s="3">
        <f>'RCA exp g(l)'!V27</f>
        <v>0</v>
      </c>
      <c r="AG11" s="3">
        <f>SUM(C11:Y11)</f>
        <v>67</v>
      </c>
    </row>
    <row r="12" spans="1:34" s="3" customFormat="1" x14ac:dyDescent="0.2">
      <c r="A12" s="3" t="s">
        <v>100</v>
      </c>
      <c r="B12" s="3" t="s">
        <v>265</v>
      </c>
      <c r="C12" s="6">
        <f>'RCA exp g(l)'!H28</f>
        <v>-3</v>
      </c>
      <c r="D12" s="6">
        <f>'RCA exp g(l)'!I28</f>
        <v>-3</v>
      </c>
      <c r="E12" s="6">
        <f>'RCA exp g(l)'!J28</f>
        <v>-3</v>
      </c>
      <c r="F12" s="6">
        <f>'RCA exp g(l)'!K28</f>
        <v>-3</v>
      </c>
      <c r="G12" s="6">
        <f>'RCA exp g(l)'!L28</f>
        <v>-3</v>
      </c>
      <c r="H12" s="6">
        <f>'RCA exp g(l)'!M28</f>
        <v>-3</v>
      </c>
      <c r="I12" s="6">
        <f>'RCA exp g(l)'!N28</f>
        <v>-3</v>
      </c>
      <c r="J12" s="6">
        <f>'RCA exp g(l)'!O28</f>
        <v>-3</v>
      </c>
      <c r="K12" s="6">
        <f>'RCA exp g(l)'!P28</f>
        <v>-3</v>
      </c>
      <c r="L12" s="6">
        <f>'RCA exp g(l)'!Q28</f>
        <v>-3</v>
      </c>
      <c r="M12" s="6">
        <f>'RCA exp g(l)'!R28</f>
        <v>-3</v>
      </c>
      <c r="N12" s="6">
        <f>'RCA exp g(l)'!S28</f>
        <v>-3</v>
      </c>
      <c r="O12" s="6">
        <f>'RCA exp g(l)'!T28</f>
        <v>-2</v>
      </c>
      <c r="P12" s="6">
        <f>'RCA exp g(l)'!U28</f>
        <v>0</v>
      </c>
      <c r="Q12" s="6">
        <f>'RCA exp g(l)'!V28</f>
        <v>0</v>
      </c>
      <c r="R12" s="45"/>
      <c r="S12" s="45"/>
      <c r="T12" s="45"/>
      <c r="U12" s="45"/>
      <c r="V12" s="45"/>
      <c r="W12" s="45"/>
      <c r="X12" s="45"/>
      <c r="Y12" s="45"/>
      <c r="Z12" s="45"/>
      <c r="AA12" s="45"/>
      <c r="AB12" s="45"/>
      <c r="AC12" s="45"/>
      <c r="AD12" s="45"/>
      <c r="AE12" s="45"/>
      <c r="AF12" s="45"/>
    </row>
    <row r="13" spans="1:34" x14ac:dyDescent="0.2">
      <c r="A13" s="31" t="s">
        <v>266</v>
      </c>
      <c r="AG13" s="33">
        <f>SUM(AG8:AG12)</f>
        <v>212</v>
      </c>
      <c r="AH13" s="34">
        <f>SUM(AH8:AH12)</f>
        <v>39</v>
      </c>
    </row>
    <row r="15" spans="1:34" x14ac:dyDescent="0.2">
      <c r="A15" s="28" t="s">
        <v>127</v>
      </c>
    </row>
    <row r="16" spans="1:34" s="25" customFormat="1" ht="12" customHeight="1" x14ac:dyDescent="0.2">
      <c r="A16" s="25" t="s">
        <v>101</v>
      </c>
      <c r="B16" s="8" t="s">
        <v>131</v>
      </c>
      <c r="C16" s="36">
        <v>-5</v>
      </c>
      <c r="D16" s="36">
        <v>-5</v>
      </c>
      <c r="E16" s="36">
        <v>-5</v>
      </c>
      <c r="F16" s="36">
        <v>-4</v>
      </c>
      <c r="G16" s="36">
        <v>-4</v>
      </c>
      <c r="H16" s="36">
        <v>-4</v>
      </c>
      <c r="I16" s="36">
        <v>-4</v>
      </c>
      <c r="J16" s="36">
        <v>-4</v>
      </c>
      <c r="K16" s="36">
        <v>-4</v>
      </c>
      <c r="L16" s="36"/>
      <c r="M16" s="36"/>
      <c r="N16" s="36"/>
      <c r="O16" s="36"/>
      <c r="P16" s="36"/>
      <c r="Q16" s="36"/>
      <c r="R16" s="39"/>
      <c r="S16" s="39"/>
      <c r="T16" s="39"/>
      <c r="U16" s="39"/>
      <c r="V16" s="39"/>
      <c r="W16" s="39"/>
      <c r="X16" s="39"/>
      <c r="Y16" s="39"/>
      <c r="Z16" s="39"/>
      <c r="AA16" s="39"/>
      <c r="AB16" s="39"/>
      <c r="AC16" s="39"/>
      <c r="AD16" s="39"/>
      <c r="AE16" s="39"/>
      <c r="AF16" s="39"/>
      <c r="AG16" s="25">
        <f>SUM(C16:Y16)</f>
        <v>-39</v>
      </c>
    </row>
    <row r="18" spans="1:36" x14ac:dyDescent="0.2">
      <c r="AG18" s="16" t="s">
        <v>106</v>
      </c>
      <c r="AH18" s="3"/>
    </row>
    <row r="19" spans="1:36" x14ac:dyDescent="0.2">
      <c r="A19" s="28" t="s">
        <v>129</v>
      </c>
      <c r="AG19" s="392" t="s">
        <v>448</v>
      </c>
      <c r="AH19" s="17"/>
    </row>
    <row r="20" spans="1:36" s="3" customFormat="1" x14ac:dyDescent="0.2">
      <c r="A20" s="3" t="s">
        <v>96</v>
      </c>
      <c r="B20" s="3" t="s">
        <v>31</v>
      </c>
      <c r="C20" s="3">
        <f t="shared" ref="C20:K20" si="0">C8+C16</f>
        <v>1</v>
      </c>
      <c r="D20" s="3">
        <f t="shared" si="0"/>
        <v>1</v>
      </c>
      <c r="E20" s="3">
        <f t="shared" si="0"/>
        <v>1</v>
      </c>
      <c r="F20" s="3">
        <f t="shared" si="0"/>
        <v>2</v>
      </c>
      <c r="G20" s="3">
        <f t="shared" si="0"/>
        <v>2</v>
      </c>
      <c r="H20" s="3">
        <f t="shared" si="0"/>
        <v>1</v>
      </c>
      <c r="I20" s="3">
        <f t="shared" si="0"/>
        <v>1</v>
      </c>
      <c r="J20" s="3">
        <f t="shared" si="0"/>
        <v>1</v>
      </c>
      <c r="K20" s="3">
        <f t="shared" si="0"/>
        <v>1</v>
      </c>
      <c r="AG20" s="45">
        <f>SUM(R20:AF20)</f>
        <v>0</v>
      </c>
    </row>
    <row r="21" spans="1:36" s="3" customFormat="1" x14ac:dyDescent="0.2">
      <c r="A21" s="3" t="s">
        <v>97</v>
      </c>
      <c r="B21" s="3" t="s">
        <v>265</v>
      </c>
      <c r="C21" s="3">
        <f>'RCA exp g(l)'!H25</f>
        <v>8</v>
      </c>
      <c r="D21" s="3">
        <f>'RCA exp g(l)'!I25</f>
        <v>8</v>
      </c>
      <c r="E21" s="3">
        <f>'RCA exp g(l)'!J25</f>
        <v>8</v>
      </c>
      <c r="F21" s="3">
        <f>'RCA exp g(l)'!K25</f>
        <v>8</v>
      </c>
      <c r="G21" s="3">
        <f>'RCA exp g(l)'!L25</f>
        <v>9</v>
      </c>
      <c r="H21" s="3">
        <f>'RCA exp g(l)'!M25</f>
        <v>9</v>
      </c>
      <c r="I21" s="3">
        <f>'RCA exp g(l)'!N25</f>
        <v>9</v>
      </c>
      <c r="J21" s="3">
        <f>'RCA exp g(l)'!O25</f>
        <v>9</v>
      </c>
      <c r="K21" s="3">
        <f>'RCA exp g(l)'!P25</f>
        <v>9</v>
      </c>
      <c r="L21" s="3">
        <f>'RCA exp g(l)'!Q25</f>
        <v>0</v>
      </c>
      <c r="M21" s="3">
        <f>'RCA exp g(l)'!R25</f>
        <v>0</v>
      </c>
      <c r="N21" s="3">
        <f>'RCA exp g(l)'!S25</f>
        <v>0</v>
      </c>
      <c r="O21" s="3">
        <f>'RCA exp g(l)'!T25</f>
        <v>0</v>
      </c>
      <c r="AG21" s="45">
        <f t="shared" ref="AG21:AG39" si="1">SUM(R21:AF21)</f>
        <v>0</v>
      </c>
    </row>
    <row r="22" spans="1:36" s="3" customFormat="1" x14ac:dyDescent="0.2">
      <c r="A22" s="3" t="s">
        <v>98</v>
      </c>
      <c r="B22" s="3" t="s">
        <v>265</v>
      </c>
      <c r="C22" s="3">
        <f>'RCA exp g(l)'!H26</f>
        <v>2</v>
      </c>
      <c r="D22" s="3">
        <f>'RCA exp g(l)'!I26</f>
        <v>2</v>
      </c>
      <c r="E22" s="3">
        <f>'RCA exp g(l)'!J26</f>
        <v>2</v>
      </c>
      <c r="F22" s="3">
        <f>'RCA exp g(l)'!K26</f>
        <v>2</v>
      </c>
      <c r="G22" s="3">
        <f>'RCA exp g(l)'!L26</f>
        <v>2</v>
      </c>
      <c r="H22" s="3">
        <f>'RCA exp g(l)'!M26</f>
        <v>2</v>
      </c>
      <c r="I22" s="3">
        <f>'RCA exp g(l)'!N26</f>
        <v>2</v>
      </c>
      <c r="J22" s="3">
        <f>'RCA exp g(l)'!O26</f>
        <v>2</v>
      </c>
      <c r="K22" s="3">
        <f>'RCA exp g(l)'!P26</f>
        <v>1</v>
      </c>
      <c r="L22" s="3">
        <f>'RCA exp g(l)'!Q26</f>
        <v>1</v>
      </c>
      <c r="M22" s="3">
        <f>'RCA exp g(l)'!R26</f>
        <v>0</v>
      </c>
      <c r="N22" s="3">
        <f>'RCA exp g(l)'!S26</f>
        <v>0</v>
      </c>
      <c r="O22" s="3">
        <f>'RCA exp g(l)'!T26</f>
        <v>0</v>
      </c>
      <c r="AG22" s="45">
        <f t="shared" si="1"/>
        <v>0</v>
      </c>
    </row>
    <row r="23" spans="1:36" s="3" customFormat="1" x14ac:dyDescent="0.2">
      <c r="A23" s="3" t="s">
        <v>99</v>
      </c>
      <c r="B23" s="3" t="s">
        <v>265</v>
      </c>
      <c r="C23" s="3">
        <f>'RCA exp g(l)'!H27</f>
        <v>6</v>
      </c>
      <c r="D23" s="3">
        <f>'RCA exp g(l)'!I27</f>
        <v>6</v>
      </c>
      <c r="E23" s="3">
        <f>'RCA exp g(l)'!J27</f>
        <v>6</v>
      </c>
      <c r="F23" s="3">
        <f>'RCA exp g(l)'!K27</f>
        <v>6</v>
      </c>
      <c r="G23" s="3">
        <f>'RCA exp g(l)'!L27</f>
        <v>6</v>
      </c>
      <c r="H23" s="3">
        <f>'RCA exp g(l)'!M27</f>
        <v>6</v>
      </c>
      <c r="I23" s="3">
        <f>'RCA exp g(l)'!N27</f>
        <v>6</v>
      </c>
      <c r="J23" s="3">
        <f>'RCA exp g(l)'!O27</f>
        <v>5</v>
      </c>
      <c r="K23" s="3">
        <f>'RCA exp g(l)'!P27</f>
        <v>5</v>
      </c>
      <c r="L23" s="3">
        <f>'RCA exp g(l)'!Q27</f>
        <v>5</v>
      </c>
      <c r="M23" s="3">
        <f>'RCA exp g(l)'!R27</f>
        <v>5</v>
      </c>
      <c r="N23" s="3">
        <f>'RCA exp g(l)'!S27</f>
        <v>5</v>
      </c>
      <c r="O23" s="3">
        <f>'RCA exp g(l)'!T27</f>
        <v>0</v>
      </c>
      <c r="AG23" s="45">
        <f t="shared" si="1"/>
        <v>0</v>
      </c>
    </row>
    <row r="24" spans="1:36" s="3" customFormat="1" x14ac:dyDescent="0.2">
      <c r="A24" s="3" t="s">
        <v>100</v>
      </c>
      <c r="B24" s="3" t="s">
        <v>265</v>
      </c>
      <c r="C24" s="3">
        <f>'RCA exp g(l)'!H28</f>
        <v>-3</v>
      </c>
      <c r="D24" s="3">
        <f>'RCA exp g(l)'!I28</f>
        <v>-3</v>
      </c>
      <c r="E24" s="3">
        <f>'RCA exp g(l)'!J28</f>
        <v>-3</v>
      </c>
      <c r="F24" s="3">
        <f>'RCA exp g(l)'!K28</f>
        <v>-3</v>
      </c>
      <c r="G24" s="3">
        <f>'RCA exp g(l)'!L28</f>
        <v>-3</v>
      </c>
      <c r="H24" s="3">
        <f>'RCA exp g(l)'!M28</f>
        <v>-3</v>
      </c>
      <c r="I24" s="3">
        <f>'RCA exp g(l)'!N28</f>
        <v>-3</v>
      </c>
      <c r="J24" s="3">
        <f>'RCA exp g(l)'!O28</f>
        <v>-3</v>
      </c>
      <c r="K24" s="3">
        <f>'RCA exp g(l)'!P28</f>
        <v>-3</v>
      </c>
      <c r="L24" s="3">
        <f>'RCA exp g(l)'!Q28</f>
        <v>-3</v>
      </c>
      <c r="M24" s="3">
        <f>'RCA exp g(l)'!R28</f>
        <v>-3</v>
      </c>
      <c r="N24" s="3">
        <f>'RCA exp g(l)'!S28</f>
        <v>-3</v>
      </c>
      <c r="O24" s="3">
        <f>'RCA exp g(l)'!T28</f>
        <v>-2</v>
      </c>
      <c r="AG24" s="45">
        <f t="shared" si="1"/>
        <v>0</v>
      </c>
    </row>
    <row r="25" spans="1:36" s="3" customFormat="1" x14ac:dyDescent="0.2">
      <c r="A25" s="3" t="s">
        <v>101</v>
      </c>
      <c r="B25" s="3" t="s">
        <v>265</v>
      </c>
      <c r="C25" s="45">
        <f>'RCA exp g(l)'!H29</f>
        <v>2</v>
      </c>
      <c r="D25" s="45">
        <f>'RCA exp g(l)'!I29</f>
        <v>2</v>
      </c>
      <c r="E25" s="45">
        <f>'RCA exp g(l)'!J29</f>
        <v>2</v>
      </c>
      <c r="F25" s="45">
        <f>'RCA exp g(l)'!K29</f>
        <v>2</v>
      </c>
      <c r="G25" s="45">
        <f>'RCA exp g(l)'!L29</f>
        <v>2</v>
      </c>
      <c r="H25" s="45">
        <f>'RCA exp g(l)'!M29</f>
        <v>2</v>
      </c>
      <c r="I25" s="45">
        <f>'RCA exp g(l)'!N29</f>
        <v>2</v>
      </c>
      <c r="J25" s="45">
        <f>'RCA exp g(l)'!O29</f>
        <v>2</v>
      </c>
      <c r="K25" s="45">
        <f>'RCA exp g(l)'!P29</f>
        <v>2</v>
      </c>
      <c r="L25" s="45">
        <f>'RCA exp g(l)'!Q29</f>
        <v>2</v>
      </c>
      <c r="M25" s="45">
        <f>'RCA exp g(l)'!R29</f>
        <v>2</v>
      </c>
      <c r="N25" s="45">
        <f>'RCA exp g(l)'!S29</f>
        <v>2</v>
      </c>
      <c r="O25" s="45">
        <f>'RCA exp g(l)'!T29</f>
        <v>2</v>
      </c>
      <c r="P25" s="45"/>
      <c r="Q25" s="45"/>
      <c r="R25" s="45"/>
      <c r="S25" s="45"/>
      <c r="T25" s="45"/>
      <c r="U25" s="45"/>
      <c r="V25" s="45"/>
      <c r="W25" s="45"/>
      <c r="X25" s="45"/>
      <c r="Y25" s="45"/>
      <c r="Z25" s="45"/>
      <c r="AA25" s="45"/>
      <c r="AB25" s="45"/>
      <c r="AC25" s="45"/>
      <c r="AD25" s="45"/>
      <c r="AE25" s="45"/>
      <c r="AF25" s="45"/>
      <c r="AG25" s="45">
        <f t="shared" si="1"/>
        <v>0</v>
      </c>
      <c r="AH25" s="45"/>
    </row>
    <row r="26" spans="1:36" s="3" customFormat="1" x14ac:dyDescent="0.2">
      <c r="A26" s="3" t="s">
        <v>102</v>
      </c>
      <c r="B26" s="3" t="s">
        <v>265</v>
      </c>
      <c r="C26" s="45"/>
      <c r="D26" s="45">
        <f>'RCA exp g(l)'!I30</f>
        <v>-6</v>
      </c>
      <c r="E26" s="45">
        <f>'RCA exp g(l)'!J30</f>
        <v>-6</v>
      </c>
      <c r="F26" s="45">
        <f>'RCA exp g(l)'!K30</f>
        <v>-6</v>
      </c>
      <c r="G26" s="45">
        <f>'RCA exp g(l)'!L30</f>
        <v>-6</v>
      </c>
      <c r="H26" s="45">
        <f>'RCA exp g(l)'!M30</f>
        <v>-6</v>
      </c>
      <c r="I26" s="45">
        <f>'RCA exp g(l)'!N30</f>
        <v>-5</v>
      </c>
      <c r="J26" s="45">
        <f>'RCA exp g(l)'!O30</f>
        <v>-5</v>
      </c>
      <c r="K26" s="45">
        <f>'RCA exp g(l)'!P30</f>
        <v>-5</v>
      </c>
      <c r="L26" s="45">
        <f>'RCA exp g(l)'!Q30</f>
        <v>-5</v>
      </c>
      <c r="M26" s="45">
        <f>'RCA exp g(l)'!R30</f>
        <v>-5</v>
      </c>
      <c r="N26" s="45">
        <f>'RCA exp g(l)'!S30</f>
        <v>-5</v>
      </c>
      <c r="O26" s="45">
        <f>'RCA exp g(l)'!T30</f>
        <v>-5</v>
      </c>
      <c r="P26" s="45">
        <f>'RCA exp g(l)'!U30</f>
        <v>-6</v>
      </c>
      <c r="Q26" s="45"/>
      <c r="R26" s="45"/>
      <c r="S26" s="45"/>
      <c r="T26" s="45"/>
      <c r="U26" s="45"/>
      <c r="V26" s="45"/>
      <c r="W26" s="45"/>
      <c r="X26" s="45"/>
      <c r="Y26" s="45"/>
      <c r="Z26" s="45"/>
      <c r="AA26" s="45"/>
      <c r="AB26" s="45"/>
      <c r="AC26" s="45"/>
      <c r="AD26" s="45"/>
      <c r="AE26" s="45"/>
      <c r="AF26" s="45"/>
      <c r="AG26" s="45">
        <f t="shared" si="1"/>
        <v>0</v>
      </c>
      <c r="AH26" s="45"/>
      <c r="AI26" s="45"/>
      <c r="AJ26" s="45"/>
    </row>
    <row r="27" spans="1:36" s="3" customFormat="1" x14ac:dyDescent="0.2">
      <c r="A27" s="3" t="s">
        <v>308</v>
      </c>
      <c r="B27" s="3" t="s">
        <v>265</v>
      </c>
      <c r="C27" s="45"/>
      <c r="D27" s="45"/>
      <c r="E27" s="45">
        <f>'RCA exp g(l)'!J31</f>
        <v>26</v>
      </c>
      <c r="F27" s="45">
        <f>'RCA exp g(l)'!K31</f>
        <v>26</v>
      </c>
      <c r="G27" s="45">
        <f>'RCA exp g(l)'!L31</f>
        <v>26</v>
      </c>
      <c r="H27" s="45">
        <f>'RCA exp g(l)'!M31</f>
        <v>26</v>
      </c>
      <c r="I27" s="45">
        <f>'RCA exp g(l)'!N31</f>
        <v>26</v>
      </c>
      <c r="J27" s="45">
        <f>'RCA exp g(l)'!O31</f>
        <v>26</v>
      </c>
      <c r="K27" s="45">
        <f>'RCA exp g(l)'!P31</f>
        <v>26</v>
      </c>
      <c r="L27" s="45">
        <f>'RCA exp g(l)'!Q31</f>
        <v>26</v>
      </c>
      <c r="M27" s="45">
        <f>'RCA exp g(l)'!R31</f>
        <v>26</v>
      </c>
      <c r="N27" s="45">
        <f>'RCA exp g(l)'!S31</f>
        <v>26</v>
      </c>
      <c r="O27" s="45">
        <f>'RCA exp g(l)'!T31</f>
        <v>26</v>
      </c>
      <c r="P27" s="45">
        <f>'RCA exp g(l)'!U31</f>
        <v>26</v>
      </c>
      <c r="Q27" s="45">
        <f>'RCA exp g(l)'!V31</f>
        <v>26</v>
      </c>
      <c r="R27" s="45"/>
      <c r="S27" s="45"/>
      <c r="T27" s="45"/>
      <c r="U27" s="45"/>
      <c r="V27" s="45"/>
      <c r="W27" s="45"/>
      <c r="X27" s="45"/>
      <c r="Y27" s="45"/>
      <c r="Z27" s="45"/>
      <c r="AA27" s="45"/>
      <c r="AB27" s="45"/>
      <c r="AC27" s="45"/>
      <c r="AD27" s="45"/>
      <c r="AE27" s="45"/>
      <c r="AF27" s="45"/>
      <c r="AG27" s="45">
        <f t="shared" si="1"/>
        <v>0</v>
      </c>
      <c r="AH27" s="45"/>
      <c r="AI27" s="45"/>
      <c r="AJ27" s="45"/>
    </row>
    <row r="28" spans="1:36" s="3" customFormat="1" x14ac:dyDescent="0.2">
      <c r="A28" s="3" t="s">
        <v>310</v>
      </c>
      <c r="B28" s="3" t="s">
        <v>265</v>
      </c>
      <c r="C28" s="45"/>
      <c r="D28" s="45"/>
      <c r="E28" s="45"/>
      <c r="F28" s="45">
        <f>'RCA exp g(l)'!K32</f>
        <v>-1</v>
      </c>
      <c r="G28" s="45">
        <f>'RCA exp g(l)'!L32</f>
        <v>-1</v>
      </c>
      <c r="H28" s="45">
        <f>'RCA exp g(l)'!M32</f>
        <v>-1</v>
      </c>
      <c r="I28" s="45">
        <f>'RCA exp g(l)'!N32</f>
        <v>-1</v>
      </c>
      <c r="J28" s="45">
        <f>'RCA exp g(l)'!O32</f>
        <v>-1</v>
      </c>
      <c r="K28" s="45">
        <f>'RCA exp g(l)'!P32</f>
        <v>-1</v>
      </c>
      <c r="L28" s="45">
        <f>'RCA exp g(l)'!Q32</f>
        <v>-1</v>
      </c>
      <c r="M28" s="45">
        <f>'RCA exp g(l)'!R32</f>
        <v>-1</v>
      </c>
      <c r="N28" s="45">
        <f>'RCA exp g(l)'!S32</f>
        <v>-2</v>
      </c>
      <c r="O28" s="45">
        <f>'RCA exp g(l)'!T32</f>
        <v>-2</v>
      </c>
      <c r="P28" s="45">
        <f>'RCA exp g(l)'!U32</f>
        <v>-2</v>
      </c>
      <c r="Q28" s="45">
        <f>'RCA exp g(l)'!V32</f>
        <v>-2</v>
      </c>
      <c r="R28" s="45">
        <f>'RCA exp g(l)'!W32</f>
        <v>-2</v>
      </c>
      <c r="S28" s="45"/>
      <c r="T28" s="45"/>
      <c r="U28" s="45"/>
      <c r="V28" s="45"/>
      <c r="W28" s="45"/>
      <c r="X28" s="45"/>
      <c r="Y28" s="45"/>
      <c r="Z28" s="45"/>
      <c r="AA28" s="45"/>
      <c r="AB28" s="45"/>
      <c r="AC28" s="45"/>
      <c r="AD28" s="45"/>
      <c r="AE28" s="45"/>
      <c r="AF28" s="45"/>
      <c r="AG28" s="45">
        <f t="shared" si="1"/>
        <v>-2</v>
      </c>
      <c r="AH28" s="45"/>
      <c r="AI28" s="45"/>
      <c r="AJ28" s="45"/>
    </row>
    <row r="29" spans="1:36" s="3" customFormat="1" x14ac:dyDescent="0.2">
      <c r="A29" s="3" t="s">
        <v>311</v>
      </c>
      <c r="B29" s="3" t="s">
        <v>265</v>
      </c>
      <c r="C29" s="45"/>
      <c r="D29" s="45"/>
      <c r="E29" s="45"/>
      <c r="F29" s="45"/>
      <c r="G29" s="45"/>
      <c r="H29" s="45">
        <f>'RCA exp g(l)'!M33</f>
        <v>3</v>
      </c>
      <c r="I29" s="45">
        <f>'RCA exp g(l)'!N33</f>
        <v>3</v>
      </c>
      <c r="J29" s="45">
        <f>'RCA exp g(l)'!O33</f>
        <v>3</v>
      </c>
      <c r="K29" s="45">
        <f>'RCA exp g(l)'!P33</f>
        <v>3</v>
      </c>
      <c r="L29" s="45">
        <f>'RCA exp g(l)'!Q33</f>
        <v>3</v>
      </c>
      <c r="M29" s="45">
        <f>'RCA exp g(l)'!R33</f>
        <v>3</v>
      </c>
      <c r="N29" s="45">
        <f>'RCA exp g(l)'!S33</f>
        <v>3</v>
      </c>
      <c r="O29" s="45">
        <f>'RCA exp g(l)'!T33</f>
        <v>3</v>
      </c>
      <c r="P29" s="45">
        <f>'RCA exp g(l)'!U33</f>
        <v>2</v>
      </c>
      <c r="Q29" s="45">
        <f>'RCA exp g(l)'!V33</f>
        <v>2</v>
      </c>
      <c r="R29" s="45">
        <f>'RCA exp g(l)'!W33</f>
        <v>2</v>
      </c>
      <c r="S29" s="45">
        <f>'RCA exp g(l)'!X33</f>
        <v>2</v>
      </c>
      <c r="T29" s="45">
        <f>'RCA exp g(l)'!Y33</f>
        <v>2</v>
      </c>
      <c r="U29" s="45"/>
      <c r="V29" s="45"/>
      <c r="W29" s="45"/>
      <c r="X29" s="45"/>
      <c r="Y29" s="45"/>
      <c r="Z29" s="45"/>
      <c r="AA29" s="45"/>
      <c r="AB29" s="45"/>
      <c r="AC29" s="45"/>
      <c r="AD29" s="45"/>
      <c r="AE29" s="45"/>
      <c r="AF29" s="45"/>
      <c r="AG29" s="45">
        <f t="shared" si="1"/>
        <v>6</v>
      </c>
      <c r="AH29" s="45"/>
      <c r="AI29" s="45"/>
      <c r="AJ29" s="45"/>
    </row>
    <row r="30" spans="1:36" s="3" customFormat="1" x14ac:dyDescent="0.2">
      <c r="A30" s="3" t="s">
        <v>312</v>
      </c>
      <c r="B30" s="3" t="s">
        <v>265</v>
      </c>
      <c r="C30" s="45"/>
      <c r="D30" s="45"/>
      <c r="E30" s="45"/>
      <c r="F30" s="45"/>
      <c r="G30" s="45"/>
      <c r="H30" s="45"/>
      <c r="I30" s="45">
        <f>'RCA exp g(l)'!N34</f>
        <v>-2</v>
      </c>
      <c r="J30" s="45">
        <f>'RCA exp g(l)'!O34</f>
        <v>-2</v>
      </c>
      <c r="K30" s="45">
        <f>'RCA exp g(l)'!P34</f>
        <v>-2</v>
      </c>
      <c r="L30" s="45">
        <f>'RCA exp g(l)'!Q34</f>
        <v>-2</v>
      </c>
      <c r="M30" s="45">
        <f>'RCA exp g(l)'!R34</f>
        <v>-2</v>
      </c>
      <c r="N30" s="45">
        <f>'RCA exp g(l)'!S34</f>
        <v>-2</v>
      </c>
      <c r="O30" s="45">
        <f>'RCA exp g(l)'!T34</f>
        <v>-2</v>
      </c>
      <c r="P30" s="45">
        <f>'RCA exp g(l)'!U34</f>
        <v>-2</v>
      </c>
      <c r="Q30" s="45">
        <f>'RCA exp g(l)'!V34</f>
        <v>-2</v>
      </c>
      <c r="R30" s="45">
        <f>'RCA exp g(l)'!W34</f>
        <v>-2</v>
      </c>
      <c r="S30" s="45">
        <f>'RCA exp g(l)'!X34</f>
        <v>-2</v>
      </c>
      <c r="T30" s="45">
        <f>'RCA exp g(l)'!Y34</f>
        <v>-3</v>
      </c>
      <c r="U30" s="45">
        <f>'RCA exp g(l)'!Z34</f>
        <v>-3</v>
      </c>
      <c r="V30" s="45">
        <f>'RCA exp g(l)'!AA34</f>
        <v>-3</v>
      </c>
      <c r="W30" s="45"/>
      <c r="X30" s="45"/>
      <c r="Y30" s="45"/>
      <c r="Z30" s="45"/>
      <c r="AA30" s="45"/>
      <c r="AB30" s="45"/>
      <c r="AC30" s="45"/>
      <c r="AD30" s="45"/>
      <c r="AE30" s="45"/>
      <c r="AF30" s="45"/>
      <c r="AG30" s="45">
        <f t="shared" si="1"/>
        <v>-13</v>
      </c>
      <c r="AH30" s="45"/>
      <c r="AI30" s="45"/>
      <c r="AJ30" s="45"/>
    </row>
    <row r="31" spans="1:36" s="3" customFormat="1" x14ac:dyDescent="0.2">
      <c r="A31" s="3" t="s">
        <v>313</v>
      </c>
      <c r="B31" s="3" t="s">
        <v>265</v>
      </c>
      <c r="C31" s="45"/>
      <c r="D31" s="45"/>
      <c r="E31" s="45"/>
      <c r="F31" s="45"/>
      <c r="G31" s="45"/>
      <c r="H31" s="45"/>
      <c r="I31" s="45"/>
      <c r="J31" s="45">
        <f>'RCA exp g(l)'!O35</f>
        <v>-2</v>
      </c>
      <c r="K31" s="45">
        <f>'RCA exp g(l)'!P35</f>
        <v>-2</v>
      </c>
      <c r="L31" s="45">
        <f>'RCA exp g(l)'!Q35</f>
        <v>-2</v>
      </c>
      <c r="M31" s="45">
        <f>'RCA exp g(l)'!R35</f>
        <v>-2</v>
      </c>
      <c r="N31" s="45">
        <f>'RCA exp g(l)'!S35</f>
        <v>-2</v>
      </c>
      <c r="O31" s="45">
        <f>'RCA exp g(l)'!T35</f>
        <v>-2</v>
      </c>
      <c r="P31" s="45">
        <f>'RCA exp g(l)'!U35</f>
        <v>-2</v>
      </c>
      <c r="Q31" s="45">
        <f>'RCA exp g(l)'!V35</f>
        <v>-2</v>
      </c>
      <c r="R31" s="45">
        <f>'RCA exp g(l)'!W35</f>
        <v>-2</v>
      </c>
      <c r="S31" s="45">
        <f>'RCA exp g(l)'!X35</f>
        <v>-2</v>
      </c>
      <c r="T31" s="45">
        <f>'RCA exp g(l)'!Y35</f>
        <v>-2</v>
      </c>
      <c r="U31" s="45">
        <f>'RCA exp g(l)'!Z35</f>
        <v>-2</v>
      </c>
      <c r="V31" s="45">
        <f>'RCA exp g(l)'!AA35</f>
        <v>-2</v>
      </c>
      <c r="W31" s="45">
        <f>'RCA exp g(l)'!AB35</f>
        <v>-1</v>
      </c>
      <c r="X31" s="45"/>
      <c r="Y31" s="45"/>
      <c r="Z31" s="45"/>
      <c r="AA31" s="45"/>
      <c r="AB31" s="45"/>
      <c r="AC31" s="45"/>
      <c r="AD31" s="45"/>
      <c r="AE31" s="45"/>
      <c r="AF31" s="45"/>
      <c r="AG31" s="45">
        <f t="shared" si="1"/>
        <v>-11</v>
      </c>
      <c r="AH31" s="45"/>
      <c r="AI31" s="45"/>
      <c r="AJ31" s="45"/>
    </row>
    <row r="32" spans="1:36" s="3" customFormat="1" x14ac:dyDescent="0.2">
      <c r="A32" s="3" t="s">
        <v>314</v>
      </c>
      <c r="B32" s="3" t="s">
        <v>265</v>
      </c>
      <c r="C32" s="45"/>
      <c r="D32" s="45"/>
      <c r="E32" s="45"/>
      <c r="F32" s="45"/>
      <c r="G32" s="45"/>
      <c r="H32" s="45"/>
      <c r="I32" s="45"/>
      <c r="J32" s="45"/>
      <c r="K32" s="45">
        <f>'RCA exp g(l)'!P36</f>
        <v>2</v>
      </c>
      <c r="L32" s="45">
        <f>'RCA exp g(l)'!Q36</f>
        <v>2</v>
      </c>
      <c r="M32" s="45">
        <f>'RCA exp g(l)'!R36</f>
        <v>2</v>
      </c>
      <c r="N32" s="45">
        <f>'RCA exp g(l)'!S36</f>
        <v>2</v>
      </c>
      <c r="O32" s="45">
        <f>'RCA exp g(l)'!T36</f>
        <v>2</v>
      </c>
      <c r="P32" s="45">
        <f>'RCA exp g(l)'!U36</f>
        <v>2</v>
      </c>
      <c r="Q32" s="45">
        <f>'RCA exp g(l)'!V36</f>
        <v>2</v>
      </c>
      <c r="R32" s="45">
        <f>'RCA exp g(l)'!W36</f>
        <v>2</v>
      </c>
      <c r="S32" s="45">
        <f>'RCA exp g(l)'!X36</f>
        <v>2</v>
      </c>
      <c r="T32" s="45">
        <f>'RCA exp g(l)'!Y36</f>
        <v>2</v>
      </c>
      <c r="U32" s="45">
        <f>'RCA exp g(l)'!Z36</f>
        <v>2</v>
      </c>
      <c r="V32" s="45">
        <f>'RCA exp g(l)'!AA36</f>
        <v>2</v>
      </c>
      <c r="W32" s="45">
        <f>'RCA exp g(l)'!AB36</f>
        <v>2</v>
      </c>
      <c r="X32" s="45">
        <f>'RCA exp g(l)'!AC36</f>
        <v>4</v>
      </c>
      <c r="Y32" s="45">
        <f>'RCA exp g(l)'!AD36</f>
        <v>0</v>
      </c>
      <c r="Z32" s="45"/>
      <c r="AA32" s="45"/>
      <c r="AB32" s="45"/>
      <c r="AC32" s="45"/>
      <c r="AD32" s="45"/>
      <c r="AE32" s="45"/>
      <c r="AF32" s="45"/>
      <c r="AG32" s="45">
        <f t="shared" si="1"/>
        <v>16</v>
      </c>
      <c r="AH32" s="45"/>
      <c r="AI32" s="45"/>
      <c r="AJ32" s="45"/>
    </row>
    <row r="33" spans="1:36" s="3" customFormat="1" x14ac:dyDescent="0.2">
      <c r="A33" s="3" t="s">
        <v>329</v>
      </c>
      <c r="B33" s="3" t="s">
        <v>265</v>
      </c>
      <c r="C33" s="45"/>
      <c r="D33" s="45"/>
      <c r="E33" s="45"/>
      <c r="F33" s="45"/>
      <c r="G33" s="45"/>
      <c r="H33" s="45"/>
      <c r="I33" s="45"/>
      <c r="J33" s="45"/>
      <c r="K33" s="45"/>
      <c r="L33" s="45">
        <f>'RCA exp g(l)'!Q37</f>
        <v>-4</v>
      </c>
      <c r="M33" s="45">
        <f>'RCA exp g(l)'!R37</f>
        <v>-4</v>
      </c>
      <c r="N33" s="45">
        <f>'RCA exp g(l)'!S37</f>
        <v>-4</v>
      </c>
      <c r="O33" s="45">
        <f>'RCA exp g(l)'!T37</f>
        <v>-4</v>
      </c>
      <c r="P33" s="45">
        <f>'RCA exp g(l)'!U37</f>
        <v>-4</v>
      </c>
      <c r="Q33" s="45">
        <f>'RCA exp g(l)'!V37</f>
        <v>-4</v>
      </c>
      <c r="R33" s="45">
        <f>'RCA exp g(l)'!W37</f>
        <v>-4</v>
      </c>
      <c r="S33" s="45">
        <f>'RCA exp g(l)'!X37</f>
        <v>-4</v>
      </c>
      <c r="T33" s="45">
        <f>'RCA exp g(l)'!Y37</f>
        <v>-4</v>
      </c>
      <c r="U33" s="45">
        <f>'RCA exp g(l)'!Z37</f>
        <v>-4</v>
      </c>
      <c r="V33" s="45">
        <f>'RCA exp g(l)'!AA37</f>
        <v>-4</v>
      </c>
      <c r="W33" s="45">
        <f>'RCA exp g(l)'!AB37</f>
        <v>-4</v>
      </c>
      <c r="X33" s="45">
        <f>'RCA exp g(l)'!AC37</f>
        <v>-4</v>
      </c>
      <c r="Y33" s="45">
        <f>'RCA exp g(l)'!AD37</f>
        <v>-7</v>
      </c>
      <c r="Z33" s="45"/>
      <c r="AA33" s="45"/>
      <c r="AB33" s="45"/>
      <c r="AC33" s="45"/>
      <c r="AD33" s="45"/>
      <c r="AE33" s="45"/>
      <c r="AF33" s="45"/>
      <c r="AG33" s="45">
        <f t="shared" si="1"/>
        <v>-35</v>
      </c>
      <c r="AH33" s="45"/>
      <c r="AI33" s="45"/>
      <c r="AJ33" s="45"/>
    </row>
    <row r="34" spans="1:36" s="3" customFormat="1" x14ac:dyDescent="0.2">
      <c r="A34" s="3" t="s">
        <v>332</v>
      </c>
      <c r="B34" s="3" t="s">
        <v>265</v>
      </c>
      <c r="C34" s="45"/>
      <c r="D34" s="45"/>
      <c r="E34" s="45"/>
      <c r="F34" s="45"/>
      <c r="G34" s="45"/>
      <c r="H34" s="45"/>
      <c r="I34" s="45"/>
      <c r="J34" s="45"/>
      <c r="K34" s="45"/>
      <c r="L34" s="45"/>
      <c r="M34" s="45">
        <f>'RCA exp g(l)'!R38</f>
        <v>-5</v>
      </c>
      <c r="N34" s="45">
        <f>'RCA exp g(l)'!S38</f>
        <v>-5</v>
      </c>
      <c r="O34" s="45">
        <f>'RCA exp g(l)'!T38</f>
        <v>-5</v>
      </c>
      <c r="P34" s="45">
        <f>'RCA exp g(l)'!U38</f>
        <v>-5</v>
      </c>
      <c r="Q34" s="45">
        <f>'RCA exp g(l)'!V38</f>
        <v>-5</v>
      </c>
      <c r="R34" s="45">
        <f>'RCA exp g(l)'!W38</f>
        <v>-5</v>
      </c>
      <c r="S34" s="45">
        <f>'RCA exp g(l)'!X38</f>
        <v>-5</v>
      </c>
      <c r="T34" s="45">
        <f>'RCA exp g(l)'!Y38</f>
        <v>-5</v>
      </c>
      <c r="U34" s="45">
        <f>'RCA exp g(l)'!Z38</f>
        <v>-5</v>
      </c>
      <c r="V34" s="45">
        <f>'RCA exp g(l)'!AA38</f>
        <v>-5</v>
      </c>
      <c r="W34" s="45">
        <f>'RCA exp g(l)'!AB38</f>
        <v>-5</v>
      </c>
      <c r="X34" s="45">
        <f>'RCA exp g(l)'!AC38</f>
        <v>-6</v>
      </c>
      <c r="Y34" s="45">
        <f>'RCA exp g(l)'!AD38</f>
        <v>-6</v>
      </c>
      <c r="Z34" s="45">
        <f>'RCA exp g(l)'!AE38</f>
        <v>-6</v>
      </c>
      <c r="AA34" s="45"/>
      <c r="AB34" s="45"/>
      <c r="AC34" s="45"/>
      <c r="AD34" s="45"/>
      <c r="AE34" s="45"/>
      <c r="AF34" s="45"/>
      <c r="AG34" s="45">
        <f t="shared" si="1"/>
        <v>-48</v>
      </c>
      <c r="AH34" s="45"/>
      <c r="AI34" s="45"/>
      <c r="AJ34" s="45"/>
    </row>
    <row r="35" spans="1:36" s="3" customFormat="1" x14ac:dyDescent="0.2">
      <c r="A35" s="296" t="s">
        <v>336</v>
      </c>
      <c r="B35" s="296" t="s">
        <v>265</v>
      </c>
      <c r="C35" s="45"/>
      <c r="D35" s="45"/>
      <c r="E35" s="45"/>
      <c r="F35" s="45"/>
      <c r="G35" s="45"/>
      <c r="H35" s="45"/>
      <c r="I35" s="45"/>
      <c r="J35" s="45"/>
      <c r="K35" s="45"/>
      <c r="L35" s="45"/>
      <c r="M35" s="45"/>
      <c r="N35" s="45">
        <f>'RCA exp g(l)'!S39</f>
        <v>1</v>
      </c>
      <c r="O35" s="45">
        <f>'RCA exp g(l)'!T39</f>
        <v>1</v>
      </c>
      <c r="P35" s="45">
        <f>'RCA exp g(l)'!U39</f>
        <v>1</v>
      </c>
      <c r="Q35" s="45">
        <f>'RCA exp g(l)'!V39</f>
        <v>1</v>
      </c>
      <c r="R35" s="45">
        <f>'RCA exp g(l)'!W39</f>
        <v>1</v>
      </c>
      <c r="S35" s="45">
        <f>'RCA exp g(l)'!X39</f>
        <v>1</v>
      </c>
      <c r="T35" s="45">
        <f>'RCA exp g(l)'!Y39</f>
        <v>1</v>
      </c>
      <c r="U35" s="45">
        <f>'RCA exp g(l)'!Z39</f>
        <v>1</v>
      </c>
      <c r="V35" s="45">
        <f>'RCA exp g(l)'!AA39</f>
        <v>1</v>
      </c>
      <c r="W35" s="45">
        <f>'RCA exp g(l)'!AB39</f>
        <v>0</v>
      </c>
      <c r="X35" s="45">
        <f>'RCA exp g(l)'!AC39</f>
        <v>0</v>
      </c>
      <c r="Y35" s="45">
        <f>'RCA exp g(l)'!AD39</f>
        <v>0</v>
      </c>
      <c r="Z35" s="45">
        <f>'RCA exp g(l)'!AE39</f>
        <v>0</v>
      </c>
      <c r="AA35" s="45">
        <f>'RCA exp g(l)'!AF39</f>
        <v>0</v>
      </c>
      <c r="AB35" s="45"/>
      <c r="AC35" s="45"/>
      <c r="AD35" s="45"/>
      <c r="AE35" s="45"/>
      <c r="AF35" s="45"/>
      <c r="AG35" s="45">
        <f t="shared" si="1"/>
        <v>5</v>
      </c>
      <c r="AH35" s="45"/>
      <c r="AI35" s="45"/>
      <c r="AJ35" s="45"/>
    </row>
    <row r="36" spans="1:36" s="3" customFormat="1" x14ac:dyDescent="0.2">
      <c r="A36" s="9" t="s">
        <v>350</v>
      </c>
      <c r="B36" s="9" t="s">
        <v>265</v>
      </c>
      <c r="C36" s="45"/>
      <c r="D36" s="45"/>
      <c r="E36" s="45"/>
      <c r="F36" s="45"/>
      <c r="G36" s="45"/>
      <c r="H36" s="45"/>
      <c r="I36" s="45"/>
      <c r="J36" s="45"/>
      <c r="K36" s="45"/>
      <c r="L36" s="45"/>
      <c r="M36" s="45"/>
      <c r="N36" s="45"/>
      <c r="O36" s="45">
        <f>'RCA exp g(l)'!T40</f>
        <v>2</v>
      </c>
      <c r="P36" s="45">
        <f>'RCA exp g(l)'!U40</f>
        <v>2</v>
      </c>
      <c r="Q36" s="45">
        <f>'RCA exp g(l)'!V40</f>
        <v>2</v>
      </c>
      <c r="R36" s="45">
        <f>'RCA exp g(l)'!W40</f>
        <v>2</v>
      </c>
      <c r="S36" s="45">
        <f>'RCA exp g(l)'!X40</f>
        <v>2</v>
      </c>
      <c r="T36" s="45">
        <f>'RCA exp g(l)'!Y40</f>
        <v>2</v>
      </c>
      <c r="U36" s="45">
        <f>'RCA exp g(l)'!Z40</f>
        <v>2</v>
      </c>
      <c r="V36" s="45">
        <f>'RCA exp g(l)'!AA40</f>
        <v>2</v>
      </c>
      <c r="W36" s="45">
        <f>'RCA exp g(l)'!AB40</f>
        <v>2</v>
      </c>
      <c r="X36" s="45">
        <f>'RCA exp g(l)'!AC40</f>
        <v>2</v>
      </c>
      <c r="Y36" s="45">
        <f>'RCA exp g(l)'!AD40</f>
        <v>2</v>
      </c>
      <c r="Z36" s="45">
        <f>'RCA exp g(l)'!AE40</f>
        <v>2</v>
      </c>
      <c r="AA36" s="45">
        <f>'RCA exp g(l)'!AF40</f>
        <v>2</v>
      </c>
      <c r="AB36" s="45">
        <f>'RCA exp g(l)'!AG40</f>
        <v>1</v>
      </c>
      <c r="AC36" s="45"/>
      <c r="AD36" s="45"/>
      <c r="AE36" s="45"/>
      <c r="AF36" s="45"/>
      <c r="AG36" s="45">
        <f t="shared" si="1"/>
        <v>21</v>
      </c>
      <c r="AH36" s="6"/>
      <c r="AI36" s="45"/>
      <c r="AJ36" s="45"/>
    </row>
    <row r="37" spans="1:36" s="3" customFormat="1" x14ac:dyDescent="0.2">
      <c r="A37" s="393" t="s">
        <v>355</v>
      </c>
      <c r="B37" s="393" t="s">
        <v>265</v>
      </c>
      <c r="C37" s="45"/>
      <c r="D37" s="45"/>
      <c r="E37" s="45"/>
      <c r="F37" s="45"/>
      <c r="G37" s="45"/>
      <c r="H37" s="45"/>
      <c r="I37" s="45"/>
      <c r="J37" s="45"/>
      <c r="K37" s="45"/>
      <c r="L37" s="45"/>
      <c r="M37" s="45"/>
      <c r="N37" s="45"/>
      <c r="O37" s="45"/>
      <c r="P37" s="45">
        <f>'RCA exp g(l)'!U41</f>
        <v>4</v>
      </c>
      <c r="Q37" s="45">
        <f>'RCA exp g(l)'!V41</f>
        <v>4</v>
      </c>
      <c r="R37" s="45">
        <f>'RCA exp g(l)'!W41</f>
        <v>4</v>
      </c>
      <c r="S37" s="45">
        <f>'RCA exp g(l)'!X41</f>
        <v>4</v>
      </c>
      <c r="T37" s="45">
        <f>'RCA exp g(l)'!Y41</f>
        <v>4</v>
      </c>
      <c r="U37" s="45">
        <f>'RCA exp g(l)'!Z41</f>
        <v>4</v>
      </c>
      <c r="V37" s="45">
        <f>'RCA exp g(l)'!AA41</f>
        <v>4</v>
      </c>
      <c r="W37" s="45">
        <f>'RCA exp g(l)'!AB41</f>
        <v>3</v>
      </c>
      <c r="X37" s="45">
        <f>'RCA exp g(l)'!AC41</f>
        <v>3</v>
      </c>
      <c r="Y37" s="45">
        <f>'RCA exp g(l)'!AD41</f>
        <v>3</v>
      </c>
      <c r="Z37" s="45">
        <f>'RCA exp g(l)'!AE41</f>
        <v>3</v>
      </c>
      <c r="AA37" s="45">
        <f>'RCA exp g(l)'!AF41</f>
        <v>3</v>
      </c>
      <c r="AB37" s="45">
        <f>'RCA exp g(l)'!AG41</f>
        <v>3</v>
      </c>
      <c r="AC37" s="45">
        <f>'RCA exp g(l)'!AH41</f>
        <v>3</v>
      </c>
      <c r="AD37" s="45">
        <f>'RCA exp g(l)'!AI41</f>
        <v>0</v>
      </c>
      <c r="AE37" s="45"/>
      <c r="AF37" s="45"/>
      <c r="AG37" s="45">
        <f t="shared" si="1"/>
        <v>41</v>
      </c>
      <c r="AH37" s="6"/>
      <c r="AI37" s="45"/>
      <c r="AJ37" s="45"/>
    </row>
    <row r="38" spans="1:36" s="3" customFormat="1" x14ac:dyDescent="0.2">
      <c r="A38" s="393" t="s">
        <v>358</v>
      </c>
      <c r="B38" s="393" t="s">
        <v>265</v>
      </c>
      <c r="C38" s="504"/>
      <c r="D38" s="45"/>
      <c r="E38" s="45"/>
      <c r="F38" s="45"/>
      <c r="G38" s="45"/>
      <c r="H38" s="45"/>
      <c r="I38" s="45"/>
      <c r="J38" s="45"/>
      <c r="K38" s="45"/>
      <c r="L38" s="45"/>
      <c r="M38" s="45"/>
      <c r="N38" s="45"/>
      <c r="O38" s="45"/>
      <c r="P38" s="45"/>
      <c r="Q38" s="45">
        <f>'RCA exp g(l)'!V42</f>
        <v>2</v>
      </c>
      <c r="R38" s="45">
        <f>'RCA exp g(l)'!W42</f>
        <v>2</v>
      </c>
      <c r="S38" s="45">
        <f>'RCA exp g(l)'!X42</f>
        <v>2</v>
      </c>
      <c r="T38" s="45">
        <f>'RCA exp g(l)'!Y42</f>
        <v>2</v>
      </c>
      <c r="U38" s="45">
        <f>'RCA exp g(l)'!Z42</f>
        <v>2</v>
      </c>
      <c r="V38" s="45">
        <f>'RCA exp g(l)'!AA42</f>
        <v>2</v>
      </c>
      <c r="W38" s="45">
        <f>'RCA exp g(l)'!AB42</f>
        <v>1</v>
      </c>
      <c r="X38" s="45">
        <f>'RCA exp g(l)'!AC42</f>
        <v>1</v>
      </c>
      <c r="Y38" s="45">
        <f>'RCA exp g(l)'!AD42</f>
        <v>1</v>
      </c>
      <c r="Z38" s="45">
        <f>'RCA exp g(l)'!AE42</f>
        <v>1</v>
      </c>
      <c r="AA38" s="45">
        <f>'RCA exp g(l)'!AF42</f>
        <v>1</v>
      </c>
      <c r="AB38" s="45">
        <f>'RCA exp g(l)'!AG42</f>
        <v>1</v>
      </c>
      <c r="AC38" s="45">
        <f>'RCA exp g(l)'!AH42</f>
        <v>1</v>
      </c>
      <c r="AD38" s="45">
        <f>'RCA exp g(l)'!AI42</f>
        <v>1</v>
      </c>
      <c r="AE38" s="45">
        <f>'RCA exp g(l)'!AJ42</f>
        <v>0</v>
      </c>
      <c r="AF38" s="45"/>
      <c r="AG38" s="45">
        <f t="shared" si="1"/>
        <v>18</v>
      </c>
      <c r="AH38" s="6"/>
      <c r="AI38" s="45"/>
      <c r="AJ38" s="45"/>
    </row>
    <row r="39" spans="1:36" s="3" customFormat="1" x14ac:dyDescent="0.2">
      <c r="A39" s="236" t="s">
        <v>363</v>
      </c>
      <c r="B39" s="236" t="s">
        <v>265</v>
      </c>
      <c r="C39" s="45"/>
      <c r="D39" s="45"/>
      <c r="E39" s="45"/>
      <c r="F39" s="45"/>
      <c r="G39" s="45"/>
      <c r="H39" s="45"/>
      <c r="I39" s="45"/>
      <c r="J39" s="45"/>
      <c r="K39" s="45"/>
      <c r="L39" s="45"/>
      <c r="M39" s="45"/>
      <c r="N39" s="45"/>
      <c r="O39" s="45"/>
      <c r="P39" s="45"/>
      <c r="Q39" s="45"/>
      <c r="R39" s="45">
        <f>'RCA exp g(l)'!W43</f>
        <v>2</v>
      </c>
      <c r="S39" s="45">
        <f>'RCA exp g(l)'!X43</f>
        <v>2</v>
      </c>
      <c r="T39" s="45">
        <f>'RCA exp g(l)'!Y43</f>
        <v>2</v>
      </c>
      <c r="U39" s="45">
        <f>'RCA exp g(l)'!Z43</f>
        <v>2</v>
      </c>
      <c r="V39" s="45">
        <f>'RCA exp g(l)'!AA43</f>
        <v>2</v>
      </c>
      <c r="W39" s="45">
        <f>'RCA exp g(l)'!AB43</f>
        <v>2</v>
      </c>
      <c r="X39" s="45">
        <f>'RCA exp g(l)'!AC43</f>
        <v>2</v>
      </c>
      <c r="Y39" s="45">
        <f>'RCA exp g(l)'!AD43</f>
        <v>1</v>
      </c>
      <c r="Z39" s="45">
        <f>'RCA exp g(l)'!AE43</f>
        <v>1</v>
      </c>
      <c r="AA39" s="45">
        <f>'RCA exp g(l)'!AF43</f>
        <v>1</v>
      </c>
      <c r="AB39" s="45">
        <f>'RCA exp g(l)'!AG43</f>
        <v>1</v>
      </c>
      <c r="AC39" s="45">
        <f>'RCA exp g(l)'!AH43</f>
        <v>1</v>
      </c>
      <c r="AD39" s="45">
        <f>'RCA exp g(l)'!AI43</f>
        <v>1</v>
      </c>
      <c r="AE39" s="45">
        <f>'RCA exp g(l)'!AJ43</f>
        <v>1</v>
      </c>
      <c r="AF39" s="45">
        <f>'RCA exp g(l)'!AK43</f>
        <v>1</v>
      </c>
      <c r="AG39" s="45">
        <f t="shared" si="1"/>
        <v>22</v>
      </c>
      <c r="AH39" s="6"/>
      <c r="AI39" s="45"/>
      <c r="AJ39" s="45"/>
    </row>
    <row r="40" spans="1:36" s="25" customFormat="1" x14ac:dyDescent="0.2">
      <c r="A40" s="25" t="s">
        <v>130</v>
      </c>
      <c r="C40" s="26">
        <f t="shared" ref="C40:M40" si="2">SUM(C20:C36)</f>
        <v>16</v>
      </c>
      <c r="D40" s="26">
        <f t="shared" si="2"/>
        <v>10</v>
      </c>
      <c r="E40" s="26">
        <f t="shared" si="2"/>
        <v>36</v>
      </c>
      <c r="F40" s="26">
        <f t="shared" si="2"/>
        <v>36</v>
      </c>
      <c r="G40" s="26">
        <f t="shared" si="2"/>
        <v>37</v>
      </c>
      <c r="H40" s="26">
        <f t="shared" si="2"/>
        <v>39</v>
      </c>
      <c r="I40" s="26">
        <f t="shared" si="2"/>
        <v>38</v>
      </c>
      <c r="J40" s="26">
        <f t="shared" si="2"/>
        <v>35</v>
      </c>
      <c r="K40" s="26">
        <f t="shared" si="2"/>
        <v>36</v>
      </c>
      <c r="L40" s="26">
        <f t="shared" si="2"/>
        <v>22</v>
      </c>
      <c r="M40" s="26">
        <f t="shared" si="2"/>
        <v>16</v>
      </c>
      <c r="N40" s="26">
        <f>SUM(N20:N37)</f>
        <v>16</v>
      </c>
      <c r="O40" s="26">
        <f t="shared" ref="O40" si="3">SUM(O20:O37)</f>
        <v>14</v>
      </c>
      <c r="P40" s="26">
        <f>SUM(P20:P38)</f>
        <v>16</v>
      </c>
      <c r="Q40" s="26">
        <f t="shared" ref="Q40" si="4">SUM(Q20:Q38)</f>
        <v>24</v>
      </c>
      <c r="R40" s="26">
        <f>SUM(R20:R39)</f>
        <v>0</v>
      </c>
      <c r="S40" s="26">
        <f t="shared" ref="S40:AF40" si="5">SUM(S20:S39)</f>
        <v>2</v>
      </c>
      <c r="T40" s="26">
        <f t="shared" si="5"/>
        <v>1</v>
      </c>
      <c r="U40" s="26">
        <f t="shared" si="5"/>
        <v>-1</v>
      </c>
      <c r="V40" s="26">
        <f t="shared" si="5"/>
        <v>-1</v>
      </c>
      <c r="W40" s="26">
        <f t="shared" si="5"/>
        <v>0</v>
      </c>
      <c r="X40" s="26">
        <f t="shared" si="5"/>
        <v>2</v>
      </c>
      <c r="Y40" s="26">
        <f t="shared" si="5"/>
        <v>-6</v>
      </c>
      <c r="Z40" s="26">
        <f t="shared" si="5"/>
        <v>1</v>
      </c>
      <c r="AA40" s="26">
        <f t="shared" si="5"/>
        <v>7</v>
      </c>
      <c r="AB40" s="26">
        <f t="shared" si="5"/>
        <v>6</v>
      </c>
      <c r="AC40" s="26">
        <f t="shared" si="5"/>
        <v>5</v>
      </c>
      <c r="AD40" s="26">
        <f t="shared" si="5"/>
        <v>2</v>
      </c>
      <c r="AE40" s="26">
        <f t="shared" si="5"/>
        <v>1</v>
      </c>
      <c r="AF40" s="26">
        <f t="shared" si="5"/>
        <v>1</v>
      </c>
      <c r="AG40" s="21">
        <f>SUM(AG20:AG39)</f>
        <v>20</v>
      </c>
      <c r="AH40" s="36">
        <f>SUM(AH20:AH25)</f>
        <v>0</v>
      </c>
    </row>
    <row r="41" spans="1:36" s="3" customFormat="1" x14ac:dyDescent="0.2"/>
    <row r="42" spans="1:36" s="3" customFormat="1" x14ac:dyDescent="0.2"/>
    <row r="43" spans="1:36" s="3" customFormat="1" x14ac:dyDescent="0.2"/>
    <row r="44" spans="1:36" s="3" customFormat="1" x14ac:dyDescent="0.2"/>
    <row r="45" spans="1:36" s="3" customFormat="1" x14ac:dyDescent="0.2"/>
    <row r="46" spans="1:36" s="3" customFormat="1" x14ac:dyDescent="0.2"/>
    <row r="47" spans="1:36" s="3" customFormat="1" x14ac:dyDescent="0.2"/>
    <row r="48" spans="1:36"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sheetData>
  <phoneticPr fontId="0" type="noConversion"/>
  <pageMargins left="0.5" right="0.5" top="1" bottom="1" header="0.5" footer="0.5"/>
  <pageSetup paperSize="5" scale="46" orientation="landscape" r:id="rId1"/>
  <headerFooter alignWithMargins="0">
    <oddFooter>&amp;L&amp;"Arial,Bold"&amp;F&amp;C&amp;A&amp;R&amp;D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2"/>
  <sheetViews>
    <sheetView workbookViewId="0">
      <pane xSplit="1" ySplit="5" topLeftCell="M6" activePane="bottomRight" state="frozen"/>
      <selection activeCell="V17" sqref="V17"/>
      <selection pane="topRight" activeCell="V17" sqref="V17"/>
      <selection pane="bottomLeft" activeCell="V17" sqref="V17"/>
      <selection pane="bottomRight" activeCell="V17" sqref="V17"/>
    </sheetView>
  </sheetViews>
  <sheetFormatPr defaultRowHeight="12.75" x14ac:dyDescent="0.2"/>
  <cols>
    <col min="1" max="1" width="29.42578125" customWidth="1"/>
    <col min="2" max="2" width="14.85546875" customWidth="1"/>
    <col min="5" max="5" width="9.85546875" bestFit="1" customWidth="1"/>
  </cols>
  <sheetData>
    <row r="1" spans="1:19" ht="15.75" x14ac:dyDescent="0.25">
      <c r="A1" s="18" t="s">
        <v>67</v>
      </c>
    </row>
    <row r="2" spans="1:19" x14ac:dyDescent="0.2">
      <c r="A2" s="2" t="s">
        <v>152</v>
      </c>
    </row>
    <row r="3" spans="1:19" x14ac:dyDescent="0.2">
      <c r="A3" s="2" t="s">
        <v>153</v>
      </c>
    </row>
    <row r="5" spans="1:19" s="12" customFormat="1" ht="13.5" thickBot="1" x14ac:dyDescent="0.25">
      <c r="A5" s="46" t="s">
        <v>156</v>
      </c>
      <c r="B5" s="47" t="s">
        <v>26</v>
      </c>
      <c r="C5" s="47" t="s">
        <v>193</v>
      </c>
      <c r="D5" s="47" t="s">
        <v>34</v>
      </c>
      <c r="E5" s="47" t="s">
        <v>35</v>
      </c>
      <c r="F5" s="47" t="s">
        <v>36</v>
      </c>
      <c r="G5" s="47" t="s">
        <v>37</v>
      </c>
      <c r="H5" s="47" t="s">
        <v>38</v>
      </c>
      <c r="I5" s="47" t="s">
        <v>39</v>
      </c>
      <c r="J5" s="47" t="s">
        <v>40</v>
      </c>
      <c r="K5" s="47" t="s">
        <v>41</v>
      </c>
      <c r="L5" s="47" t="s">
        <v>42</v>
      </c>
      <c r="M5" s="47" t="s">
        <v>43</v>
      </c>
      <c r="N5" s="47" t="s">
        <v>44</v>
      </c>
      <c r="O5" s="47" t="s">
        <v>45</v>
      </c>
      <c r="P5" s="47" t="s">
        <v>168</v>
      </c>
      <c r="Q5" s="47" t="s">
        <v>169</v>
      </c>
      <c r="R5" s="47" t="s">
        <v>170</v>
      </c>
      <c r="S5" s="47" t="s">
        <v>171</v>
      </c>
    </row>
    <row r="7" spans="1:19" s="3" customFormat="1" x14ac:dyDescent="0.2">
      <c r="A7" s="3" t="s">
        <v>232</v>
      </c>
      <c r="B7" s="3" t="s">
        <v>226</v>
      </c>
      <c r="E7" s="3">
        <f>'OTPP excluding (RCA) liability'!$E$39</f>
        <v>4875.0575000000008</v>
      </c>
    </row>
    <row r="8" spans="1:19" s="8" customFormat="1" x14ac:dyDescent="0.2">
      <c r="A8" s="8" t="s">
        <v>231</v>
      </c>
      <c r="B8" s="8" t="s">
        <v>31</v>
      </c>
      <c r="E8" s="8">
        <f>ROUND(E7*0.5,0)</f>
        <v>2438</v>
      </c>
    </row>
    <row r="9" spans="1:19" s="3" customFormat="1" x14ac:dyDescent="0.2">
      <c r="A9" s="3" t="s">
        <v>233</v>
      </c>
      <c r="B9" s="3" t="s">
        <v>157</v>
      </c>
      <c r="F9" s="3">
        <f>'Data Input'!$G$40</f>
        <v>14</v>
      </c>
    </row>
    <row r="10" spans="1:19" s="49" customFormat="1" ht="15.75" x14ac:dyDescent="0.25">
      <c r="A10" s="49" t="s">
        <v>234</v>
      </c>
      <c r="B10" s="9" t="s">
        <v>31</v>
      </c>
      <c r="F10" s="49">
        <f>ROUND(E8/F9,0)</f>
        <v>174</v>
      </c>
      <c r="G10" s="49">
        <f>+$F10</f>
        <v>174</v>
      </c>
      <c r="H10" s="49">
        <f t="shared" ref="H10:R10" si="0">+$F10</f>
        <v>174</v>
      </c>
      <c r="I10" s="49">
        <f t="shared" si="0"/>
        <v>174</v>
      </c>
      <c r="J10" s="49">
        <f t="shared" si="0"/>
        <v>174</v>
      </c>
      <c r="K10" s="49">
        <f t="shared" si="0"/>
        <v>174</v>
      </c>
      <c r="L10" s="49">
        <f t="shared" si="0"/>
        <v>174</v>
      </c>
      <c r="M10" s="49">
        <f t="shared" si="0"/>
        <v>174</v>
      </c>
      <c r="N10" s="49">
        <f t="shared" si="0"/>
        <v>174</v>
      </c>
      <c r="O10" s="49">
        <f t="shared" si="0"/>
        <v>174</v>
      </c>
      <c r="P10" s="49">
        <f t="shared" si="0"/>
        <v>174</v>
      </c>
      <c r="Q10" s="49">
        <f t="shared" si="0"/>
        <v>174</v>
      </c>
      <c r="R10" s="49">
        <f t="shared" si="0"/>
        <v>174</v>
      </c>
      <c r="S10" s="49">
        <f>+$F10+2</f>
        <v>176</v>
      </c>
    </row>
    <row r="11" spans="1:19" s="3" customFormat="1" x14ac:dyDescent="0.2">
      <c r="B11" s="9"/>
    </row>
    <row r="12" spans="1:19" s="49" customFormat="1" ht="15.75" x14ac:dyDescent="0.25">
      <c r="A12" s="49" t="s">
        <v>235</v>
      </c>
      <c r="B12" s="9" t="s">
        <v>31</v>
      </c>
      <c r="F12" s="49">
        <f>E8-F10</f>
        <v>2264</v>
      </c>
      <c r="G12" s="49">
        <f>+F12-G10</f>
        <v>2090</v>
      </c>
      <c r="H12" s="49">
        <f t="shared" ref="H12:S12" si="1">+G12-H10</f>
        <v>1916</v>
      </c>
      <c r="I12" s="49">
        <f t="shared" si="1"/>
        <v>1742</v>
      </c>
      <c r="J12" s="49">
        <f t="shared" si="1"/>
        <v>1568</v>
      </c>
      <c r="K12" s="49">
        <f t="shared" si="1"/>
        <v>1394</v>
      </c>
      <c r="L12" s="49">
        <f t="shared" si="1"/>
        <v>1220</v>
      </c>
      <c r="M12" s="49">
        <f t="shared" si="1"/>
        <v>1046</v>
      </c>
      <c r="N12" s="49">
        <f t="shared" si="1"/>
        <v>872</v>
      </c>
      <c r="O12" s="49">
        <f t="shared" si="1"/>
        <v>698</v>
      </c>
      <c r="P12" s="49">
        <f t="shared" si="1"/>
        <v>524</v>
      </c>
      <c r="Q12" s="49">
        <f t="shared" si="1"/>
        <v>350</v>
      </c>
      <c r="R12" s="49">
        <f t="shared" si="1"/>
        <v>176</v>
      </c>
      <c r="S12" s="49">
        <f t="shared" si="1"/>
        <v>0</v>
      </c>
    </row>
    <row r="13" spans="1:19" s="3" customFormat="1" x14ac:dyDescent="0.2"/>
    <row r="14" spans="1:19" s="3" customFormat="1" x14ac:dyDescent="0.2">
      <c r="A14" s="3" t="s">
        <v>356</v>
      </c>
    </row>
    <row r="15" spans="1:19" s="3" customFormat="1" x14ac:dyDescent="0.2"/>
    <row r="16" spans="1:19" s="3" customFormat="1" x14ac:dyDescent="0.2"/>
    <row r="17" s="3" customFormat="1" x14ac:dyDescent="0.2"/>
    <row r="18" s="3" customFormat="1" x14ac:dyDescent="0.2"/>
    <row r="19" s="3" customFormat="1" x14ac:dyDescent="0.2"/>
    <row r="20" s="3" customFormat="1" x14ac:dyDescent="0.2"/>
    <row r="21" s="3" customFormat="1" x14ac:dyDescent="0.2"/>
    <row r="22" s="3" customFormat="1" x14ac:dyDescent="0.2"/>
  </sheetData>
  <phoneticPr fontId="0" type="noConversion"/>
  <pageMargins left="0.5" right="0.5" top="1" bottom="1" header="0.5" footer="0.5"/>
  <pageSetup paperSize="5" scale="83" orientation="landscape" r:id="rId1"/>
  <headerFooter alignWithMargins="0">
    <oddFooter>&amp;L&amp;"Arial,Bold"&amp;F&amp;C&amp;A&amp;R&amp;D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52"/>
  <sheetViews>
    <sheetView workbookViewId="0">
      <pane xSplit="2" ySplit="5" topLeftCell="T6"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53.5703125" customWidth="1"/>
    <col min="2" max="2" width="16.140625" customWidth="1"/>
    <col min="3" max="11" width="9.28515625" hidden="1" customWidth="1" outlineLevel="1"/>
    <col min="12" max="13" width="0" hidden="1" customWidth="1" outlineLevel="1"/>
    <col min="14" max="19" width="0" style="115" hidden="1" customWidth="1" outlineLevel="1"/>
    <col min="20" max="20" width="9.140625" style="115" collapsed="1"/>
    <col min="21" max="24" width="9.140625" style="115"/>
    <col min="25" max="25" width="9.140625" style="338"/>
    <col min="26" max="28" width="9.140625" style="76"/>
    <col min="29" max="29" width="9.140625" style="238"/>
    <col min="47" max="47" width="6" style="180" customWidth="1"/>
  </cols>
  <sheetData>
    <row r="1" spans="1:47" ht="15.75" x14ac:dyDescent="0.25">
      <c r="A1" s="18" t="s">
        <v>67</v>
      </c>
    </row>
    <row r="2" spans="1:47" x14ac:dyDescent="0.2">
      <c r="A2" s="2" t="s">
        <v>154</v>
      </c>
    </row>
    <row r="3" spans="1:47" x14ac:dyDescent="0.2">
      <c r="A3" s="2" t="s">
        <v>155</v>
      </c>
    </row>
    <row r="5" spans="1:47" s="2" customFormat="1" ht="13.5" thickBot="1" x14ac:dyDescent="0.25">
      <c r="A5" s="19" t="s">
        <v>156</v>
      </c>
      <c r="B5" s="20" t="s">
        <v>26</v>
      </c>
      <c r="C5" s="20" t="s">
        <v>36</v>
      </c>
      <c r="D5" s="20" t="s">
        <v>37</v>
      </c>
      <c r="E5" s="20" t="s">
        <v>38</v>
      </c>
      <c r="F5" s="20" t="s">
        <v>39</v>
      </c>
      <c r="G5" s="20" t="s">
        <v>40</v>
      </c>
      <c r="H5" s="20" t="s">
        <v>41</v>
      </c>
      <c r="I5" s="20" t="s">
        <v>42</v>
      </c>
      <c r="J5" s="20" t="s">
        <v>43</v>
      </c>
      <c r="K5" s="20" t="s">
        <v>44</v>
      </c>
      <c r="L5" s="20" t="s">
        <v>45</v>
      </c>
      <c r="M5" s="20" t="s">
        <v>168</v>
      </c>
      <c r="N5" s="116" t="s">
        <v>169</v>
      </c>
      <c r="O5" s="116" t="s">
        <v>170</v>
      </c>
      <c r="P5" s="116" t="s">
        <v>171</v>
      </c>
      <c r="Q5" s="116" t="s">
        <v>172</v>
      </c>
      <c r="R5" s="116" t="s">
        <v>173</v>
      </c>
      <c r="S5" s="116" t="s">
        <v>174</v>
      </c>
      <c r="T5" s="116" t="s">
        <v>175</v>
      </c>
      <c r="U5" s="116" t="s">
        <v>176</v>
      </c>
      <c r="V5" s="116" t="s">
        <v>177</v>
      </c>
      <c r="W5" s="116" t="s">
        <v>178</v>
      </c>
      <c r="X5" s="116" t="s">
        <v>294</v>
      </c>
      <c r="Y5" s="342" t="s">
        <v>309</v>
      </c>
      <c r="Z5" s="77" t="s">
        <v>315</v>
      </c>
      <c r="AA5" s="77" t="s">
        <v>316</v>
      </c>
      <c r="AB5" s="77" t="s">
        <v>317</v>
      </c>
      <c r="AC5" s="239" t="s">
        <v>318</v>
      </c>
      <c r="AD5" s="20" t="s">
        <v>319</v>
      </c>
      <c r="AE5" s="73" t="s">
        <v>330</v>
      </c>
      <c r="AF5" s="73" t="s">
        <v>331</v>
      </c>
      <c r="AG5" s="73" t="s">
        <v>333</v>
      </c>
      <c r="AH5" s="73" t="s">
        <v>337</v>
      </c>
      <c r="AI5" s="73" t="s">
        <v>338</v>
      </c>
      <c r="AJ5" s="73" t="s">
        <v>354</v>
      </c>
      <c r="AK5" s="73" t="s">
        <v>357</v>
      </c>
      <c r="AL5" s="73" t="s">
        <v>357</v>
      </c>
      <c r="AM5" s="73" t="s">
        <v>357</v>
      </c>
      <c r="AN5" s="73" t="s">
        <v>365</v>
      </c>
      <c r="AO5" s="73" t="s">
        <v>369</v>
      </c>
      <c r="AP5" s="73"/>
      <c r="AQ5" s="73"/>
      <c r="AR5" s="73"/>
      <c r="AS5" s="73"/>
      <c r="AU5" s="181" t="s">
        <v>298</v>
      </c>
    </row>
    <row r="7" spans="1:47" x14ac:dyDescent="0.2">
      <c r="A7" s="28" t="s">
        <v>179</v>
      </c>
    </row>
    <row r="8" spans="1:47" s="3" customFormat="1" x14ac:dyDescent="0.2">
      <c r="A8" s="3" t="s">
        <v>398</v>
      </c>
      <c r="B8" s="3" t="s">
        <v>201</v>
      </c>
      <c r="C8" s="3">
        <f>'Data Input'!G46</f>
        <v>441</v>
      </c>
      <c r="D8" s="3">
        <f>'Data Input'!H46</f>
        <v>566</v>
      </c>
      <c r="E8" s="3">
        <f>'Data Input'!I46</f>
        <v>686</v>
      </c>
      <c r="F8" s="3">
        <f>'Data Input'!J46</f>
        <v>926</v>
      </c>
      <c r="G8" s="3">
        <f>'Data Input'!K46</f>
        <v>1132</v>
      </c>
      <c r="H8" s="3">
        <f>'Data Input'!L46</f>
        <v>1109</v>
      </c>
      <c r="I8" s="3">
        <f>'Data Input'!M46</f>
        <v>667</v>
      </c>
      <c r="J8" s="3">
        <f>'Data Input'!N46</f>
        <v>635</v>
      </c>
      <c r="K8" s="3">
        <f>'Data Input'!O46</f>
        <v>645.03436999999997</v>
      </c>
      <c r="L8" s="3">
        <f>'Data Input'!P46</f>
        <v>676.24282600000004</v>
      </c>
      <c r="M8" s="3">
        <f>'Data Input'!Q46</f>
        <v>682.943175</v>
      </c>
      <c r="N8" s="121">
        <f>'Data Input'!R46</f>
        <v>708.14363400000002</v>
      </c>
      <c r="O8" s="121">
        <f>'Data Input'!S46</f>
        <v>740.20953299999996</v>
      </c>
      <c r="P8" s="121">
        <f>'Data Input'!T46</f>
        <v>795.11688900000001</v>
      </c>
      <c r="Q8" s="121">
        <f>'Data Input'!U46</f>
        <v>808.21466899999996</v>
      </c>
      <c r="R8" s="121">
        <f>'Data Input'!V46</f>
        <v>1070</v>
      </c>
      <c r="S8" s="121">
        <f>'Data Input'!W46</f>
        <v>1244.570158</v>
      </c>
      <c r="T8" s="121">
        <f>'Data Input'!X46</f>
        <v>1316.2618660000001</v>
      </c>
      <c r="U8" s="121">
        <f>'Data Input'!Y46</f>
        <v>1343.8129570000001</v>
      </c>
      <c r="V8" s="121">
        <f>'Data Input'!Z46</f>
        <v>1393.0569660000001</v>
      </c>
      <c r="W8" s="121">
        <f>'Data Input'!AA46</f>
        <v>1460.7559490000001</v>
      </c>
      <c r="X8" s="121">
        <f>'Data Input'!AB46</f>
        <v>1525.800671</v>
      </c>
      <c r="Y8" s="345">
        <f>'Data Input'!AC46</f>
        <v>1598.2380873</v>
      </c>
      <c r="Z8" s="79">
        <f>'Data Input'!AD46</f>
        <v>1664.1763250155739</v>
      </c>
      <c r="AA8" s="79">
        <f>'Data Input'!AE46</f>
        <v>1732.632443033782</v>
      </c>
      <c r="AB8" s="79">
        <f>'Data Input'!AF46</f>
        <v>1794.1547928826822</v>
      </c>
      <c r="AC8" s="240">
        <f>'Data Input'!AG46</f>
        <v>1857.8091145237856</v>
      </c>
      <c r="AU8" s="182"/>
    </row>
    <row r="9" spans="1:47" s="121" customFormat="1" x14ac:dyDescent="0.2">
      <c r="A9" s="360" t="s">
        <v>397</v>
      </c>
      <c r="U9" s="121">
        <f>'Data Input'!Y44</f>
        <v>0</v>
      </c>
      <c r="V9" s="121">
        <f>'Data Input'!Z44</f>
        <v>0</v>
      </c>
      <c r="W9" s="121">
        <f>'Data Input'!AA44</f>
        <v>1</v>
      </c>
      <c r="X9" s="121">
        <f>'Data Input'!AB44</f>
        <v>1</v>
      </c>
      <c r="Y9" s="345">
        <f>'Data Input'!AC44</f>
        <v>1</v>
      </c>
      <c r="Z9" s="76">
        <f>'Data Input'!AD44</f>
        <v>0</v>
      </c>
      <c r="AA9" s="76">
        <f>'Data Input'!AE44</f>
        <v>0</v>
      </c>
      <c r="AB9" s="76">
        <f>'Data Input'!AF44</f>
        <v>0</v>
      </c>
      <c r="AC9" s="238">
        <f>'Data Input'!AG44</f>
        <v>0</v>
      </c>
      <c r="AU9" s="210"/>
    </row>
    <row r="10" spans="1:47" s="3" customFormat="1" x14ac:dyDescent="0.2">
      <c r="A10" s="3" t="s">
        <v>180</v>
      </c>
      <c r="B10" s="3" t="s">
        <v>201</v>
      </c>
      <c r="C10" s="3">
        <f>'Data Input'!G32</f>
        <v>663</v>
      </c>
      <c r="D10" s="3">
        <f>'Data Input'!H32</f>
        <v>710</v>
      </c>
      <c r="E10" s="3">
        <f>'Data Input'!I32</f>
        <v>617</v>
      </c>
      <c r="F10" s="3">
        <f>'Data Input'!J32</f>
        <v>610</v>
      </c>
      <c r="G10" s="3">
        <f>'Data Input'!K32</f>
        <v>582</v>
      </c>
      <c r="H10" s="3">
        <f>'Data Input'!L32</f>
        <v>607</v>
      </c>
      <c r="I10" s="3">
        <f>'Data Input'!M32</f>
        <v>620</v>
      </c>
      <c r="J10" s="3">
        <f>'Data Input'!N32</f>
        <v>615</v>
      </c>
      <c r="K10" s="3">
        <f>'Data Input'!O32</f>
        <v>628</v>
      </c>
      <c r="L10" s="3">
        <f>'Data Input'!P32</f>
        <v>664</v>
      </c>
      <c r="M10" s="3">
        <f>'Data Input'!Q32</f>
        <v>693</v>
      </c>
      <c r="N10" s="121">
        <f>'Data Input'!R32</f>
        <v>725</v>
      </c>
      <c r="O10" s="121">
        <f>'Data Input'!S32</f>
        <v>771</v>
      </c>
      <c r="P10" s="121">
        <f>'Data Input'!T32</f>
        <v>795</v>
      </c>
      <c r="Q10" s="121">
        <f>'Data Input'!U32</f>
        <v>1040</v>
      </c>
      <c r="R10" s="121">
        <f>'Data Input'!V32</f>
        <v>1117</v>
      </c>
      <c r="S10" s="121">
        <f>'Data Input'!W32</f>
        <v>1278</v>
      </c>
      <c r="T10" s="121">
        <f>'Data Input'!X32</f>
        <v>1313</v>
      </c>
      <c r="U10" s="121">
        <f>'Data Input'!Y32</f>
        <v>1377</v>
      </c>
      <c r="V10" s="121">
        <f>'Data Input'!Z32</f>
        <v>1446</v>
      </c>
      <c r="W10" s="121">
        <f>'Data Input'!AA32</f>
        <v>1511</v>
      </c>
      <c r="X10" s="121">
        <f>'Data Input'!AB32</f>
        <v>1578</v>
      </c>
      <c r="Y10" s="345">
        <f>'Data Input'!AC32</f>
        <v>1615</v>
      </c>
      <c r="Z10" s="79">
        <f>'Data Input'!AD32</f>
        <v>1676.5191256830601</v>
      </c>
      <c r="AA10" s="79">
        <f>'Data Input'!AE32</f>
        <v>1744.1940655737703</v>
      </c>
      <c r="AB10" s="79">
        <f>'Data Input'!AF32</f>
        <v>1805.014361092896</v>
      </c>
      <c r="AC10" s="240">
        <f>'Data Input'!AG32</f>
        <v>1867.9422996841527</v>
      </c>
      <c r="AU10" s="182"/>
    </row>
    <row r="11" spans="1:47" s="3" customFormat="1" x14ac:dyDescent="0.2">
      <c r="A11" s="3" t="s">
        <v>181</v>
      </c>
      <c r="B11" s="3" t="s">
        <v>201</v>
      </c>
      <c r="C11" s="6">
        <f>'Data Input'!G33</f>
        <v>35</v>
      </c>
      <c r="D11" s="6">
        <f>'Data Input'!H33</f>
        <v>9</v>
      </c>
      <c r="E11" s="6">
        <f>'Data Input'!I33</f>
        <v>9</v>
      </c>
      <c r="F11" s="6">
        <f>'Data Input'!J33</f>
        <v>9</v>
      </c>
      <c r="G11" s="6">
        <f>'Data Input'!K33</f>
        <v>8</v>
      </c>
      <c r="H11" s="6">
        <f>'Data Input'!L33</f>
        <v>14</v>
      </c>
      <c r="I11" s="6">
        <f>'Data Input'!M33</f>
        <v>9</v>
      </c>
      <c r="J11" s="6">
        <f>'Data Input'!N33</f>
        <v>9</v>
      </c>
      <c r="K11" s="6">
        <f>'Data Input'!O33</f>
        <v>10</v>
      </c>
      <c r="L11" s="6">
        <f>'Data Input'!P33</f>
        <v>11</v>
      </c>
      <c r="M11" s="6">
        <f>'Data Input'!Q33</f>
        <v>12</v>
      </c>
      <c r="N11" s="125">
        <f>'Data Input'!R33</f>
        <v>12</v>
      </c>
      <c r="O11" s="125">
        <f>'Data Input'!S33</f>
        <v>13</v>
      </c>
      <c r="P11" s="125">
        <f>'Data Input'!T33</f>
        <v>14</v>
      </c>
      <c r="Q11" s="125">
        <f>'Data Input'!U33</f>
        <v>19</v>
      </c>
      <c r="R11" s="125">
        <f>'Data Input'!V33</f>
        <v>21</v>
      </c>
      <c r="S11" s="125">
        <f>'Data Input'!W33</f>
        <v>24</v>
      </c>
      <c r="T11" s="125">
        <f>'Data Input'!X33</f>
        <v>25.194857142857138</v>
      </c>
      <c r="U11" s="125">
        <f>'Data Input'!Y33</f>
        <v>26</v>
      </c>
      <c r="V11" s="125">
        <f>'Data Input'!Z33</f>
        <v>27.716232142857141</v>
      </c>
      <c r="W11" s="125">
        <f>'Data Input'!AA33</f>
        <v>29</v>
      </c>
      <c r="X11" s="125">
        <f>'Data Input'!AB33</f>
        <v>32</v>
      </c>
      <c r="Y11" s="346">
        <f>'Data Input'!AC33</f>
        <v>33</v>
      </c>
      <c r="Z11" s="81">
        <f>'Data Input'!AD33</f>
        <v>34.361475409836068</v>
      </c>
      <c r="AA11" s="81">
        <f>'Data Input'!AE33</f>
        <v>35.774939344262293</v>
      </c>
      <c r="AB11" s="81">
        <f>'Data Input'!AF33</f>
        <v>37.04523665573771</v>
      </c>
      <c r="AC11" s="241">
        <f>'Data Input'!AG33</f>
        <v>38.359554360491806</v>
      </c>
      <c r="AU11" s="182"/>
    </row>
    <row r="12" spans="1:47" s="8" customFormat="1" x14ac:dyDescent="0.2">
      <c r="A12" s="8" t="s">
        <v>182</v>
      </c>
      <c r="B12" s="8" t="s">
        <v>31</v>
      </c>
      <c r="C12" s="21">
        <f>C8-C10-C11</f>
        <v>-257</v>
      </c>
      <c r="D12" s="21">
        <f t="shared" ref="D12:N12" si="0">D8-D10-D11</f>
        <v>-153</v>
      </c>
      <c r="E12" s="21">
        <f t="shared" si="0"/>
        <v>60</v>
      </c>
      <c r="F12" s="21">
        <f t="shared" si="0"/>
        <v>307</v>
      </c>
      <c r="G12" s="21">
        <f t="shared" si="0"/>
        <v>542</v>
      </c>
      <c r="H12" s="21">
        <f t="shared" si="0"/>
        <v>488</v>
      </c>
      <c r="I12" s="21">
        <f t="shared" si="0"/>
        <v>38</v>
      </c>
      <c r="J12" s="21">
        <f t="shared" si="0"/>
        <v>11</v>
      </c>
      <c r="K12" s="21">
        <f t="shared" si="0"/>
        <v>7.0343699999999671</v>
      </c>
      <c r="L12" s="21">
        <f t="shared" si="0"/>
        <v>1.2428260000000364</v>
      </c>
      <c r="M12" s="21">
        <f t="shared" si="0"/>
        <v>-22.056825000000003</v>
      </c>
      <c r="N12" s="140">
        <f t="shared" si="0"/>
        <v>-28.85636599999998</v>
      </c>
      <c r="O12" s="140">
        <f t="shared" ref="O12:T12" si="1">O8-O10-O11</f>
        <v>-43.790467000000035</v>
      </c>
      <c r="P12" s="140">
        <f t="shared" si="1"/>
        <v>-13.883110999999985</v>
      </c>
      <c r="Q12" s="140">
        <f t="shared" si="1"/>
        <v>-250.78533100000004</v>
      </c>
      <c r="R12" s="140">
        <f t="shared" si="1"/>
        <v>-68</v>
      </c>
      <c r="S12" s="140">
        <f t="shared" si="1"/>
        <v>-57.429842000000008</v>
      </c>
      <c r="T12" s="140">
        <f t="shared" si="1"/>
        <v>-21.932991142857084</v>
      </c>
      <c r="U12" s="140">
        <f>U8-U9-U10-U11</f>
        <v>-59.187042999999903</v>
      </c>
      <c r="V12" s="140">
        <f t="shared" ref="V12:AA12" si="2">V8-V9-V10-V11</f>
        <v>-80.659266142857035</v>
      </c>
      <c r="W12" s="140">
        <f t="shared" si="2"/>
        <v>-80.244050999999899</v>
      </c>
      <c r="X12" s="140">
        <f t="shared" si="2"/>
        <v>-85.199329000000034</v>
      </c>
      <c r="Y12" s="361">
        <f t="shared" si="2"/>
        <v>-50.761912700000039</v>
      </c>
      <c r="Z12" s="95">
        <f t="shared" si="2"/>
        <v>-46.704276077322312</v>
      </c>
      <c r="AA12" s="95">
        <f t="shared" si="2"/>
        <v>-47.336561884250614</v>
      </c>
      <c r="AB12" s="95">
        <f t="shared" ref="AB12:AC12" si="3">AB8-AB9-AB10-AB11</f>
        <v>-47.904804865951576</v>
      </c>
      <c r="AC12" s="261">
        <f t="shared" si="3"/>
        <v>-48.492739520858827</v>
      </c>
      <c r="AU12" s="183"/>
    </row>
    <row r="13" spans="1:47" s="3" customFormat="1" x14ac:dyDescent="0.2">
      <c r="N13" s="121"/>
      <c r="O13" s="121"/>
      <c r="P13" s="121"/>
      <c r="Q13" s="121"/>
      <c r="R13" s="121"/>
      <c r="S13" s="121"/>
      <c r="T13" s="121"/>
      <c r="U13" s="121"/>
      <c r="V13" s="121"/>
      <c r="W13" s="121"/>
      <c r="X13" s="121"/>
      <c r="Y13" s="345"/>
      <c r="Z13" s="79"/>
      <c r="AA13" s="79"/>
      <c r="AB13" s="79"/>
      <c r="AC13" s="240"/>
      <c r="AU13" s="182"/>
    </row>
    <row r="14" spans="1:47" s="3" customFormat="1" ht="15" x14ac:dyDescent="0.35">
      <c r="A14" s="41" t="s">
        <v>185</v>
      </c>
      <c r="N14" s="121"/>
      <c r="O14" s="121"/>
      <c r="P14" s="121"/>
      <c r="Q14" s="121"/>
      <c r="R14" s="121"/>
      <c r="S14" s="121"/>
      <c r="T14" s="121"/>
      <c r="U14" s="121"/>
      <c r="V14" s="121"/>
      <c r="W14" s="121"/>
      <c r="X14" s="121"/>
      <c r="Y14" s="345"/>
      <c r="Z14" s="79"/>
      <c r="AA14" s="79"/>
      <c r="AB14" s="79"/>
      <c r="AC14" s="240"/>
      <c r="AU14" s="182"/>
    </row>
    <row r="15" spans="1:47" s="3" customFormat="1" x14ac:dyDescent="0.2">
      <c r="A15" s="42" t="s">
        <v>183</v>
      </c>
      <c r="B15" s="3" t="s">
        <v>31</v>
      </c>
      <c r="C15" s="3">
        <f>0.5*C12</f>
        <v>-128.5</v>
      </c>
      <c r="D15" s="3">
        <f t="shared" ref="D15:K15" si="4">0.5*D12</f>
        <v>-76.5</v>
      </c>
      <c r="E15" s="3">
        <f t="shared" si="4"/>
        <v>30</v>
      </c>
      <c r="F15" s="3">
        <f t="shared" si="4"/>
        <v>153.5</v>
      </c>
      <c r="G15" s="3">
        <f t="shared" si="4"/>
        <v>271</v>
      </c>
      <c r="H15" s="3">
        <f t="shared" si="4"/>
        <v>244</v>
      </c>
      <c r="I15" s="3">
        <f t="shared" si="4"/>
        <v>19</v>
      </c>
      <c r="J15" s="3">
        <f t="shared" si="4"/>
        <v>5.5</v>
      </c>
      <c r="K15" s="3">
        <f t="shared" si="4"/>
        <v>3.5171849999999836</v>
      </c>
      <c r="L15" s="3">
        <f t="shared" ref="L15:Q15" si="5">0.5*L12</f>
        <v>0.6214130000000182</v>
      </c>
      <c r="M15" s="3">
        <f t="shared" si="5"/>
        <v>-11.028412500000002</v>
      </c>
      <c r="N15" s="121">
        <f t="shared" si="5"/>
        <v>-14.42818299999999</v>
      </c>
      <c r="O15" s="121">
        <f t="shared" si="5"/>
        <v>-21.895233500000018</v>
      </c>
      <c r="P15" s="121">
        <f t="shared" si="5"/>
        <v>-6.9415554999999927</v>
      </c>
      <c r="Q15" s="121">
        <f t="shared" si="5"/>
        <v>-125.39266550000002</v>
      </c>
      <c r="R15" s="121">
        <f t="shared" ref="R15:W15" si="6">0.5*R12</f>
        <v>-34</v>
      </c>
      <c r="S15" s="121">
        <f t="shared" si="6"/>
        <v>-28.714921000000004</v>
      </c>
      <c r="T15" s="121">
        <f t="shared" si="6"/>
        <v>-10.966495571428542</v>
      </c>
      <c r="U15" s="121">
        <f t="shared" si="6"/>
        <v>-29.593521499999952</v>
      </c>
      <c r="V15" s="121">
        <f t="shared" si="6"/>
        <v>-40.329633071428518</v>
      </c>
      <c r="W15" s="121">
        <f t="shared" si="6"/>
        <v>-40.12202549999995</v>
      </c>
      <c r="X15" s="121">
        <f t="shared" ref="X15:AC15" si="7">0.5*X12</f>
        <v>-42.599664500000017</v>
      </c>
      <c r="Y15" s="345">
        <f t="shared" si="7"/>
        <v>-25.380956350000019</v>
      </c>
      <c r="Z15" s="79">
        <f t="shared" si="7"/>
        <v>-23.352138038661156</v>
      </c>
      <c r="AA15" s="79">
        <f t="shared" si="7"/>
        <v>-23.668280942125307</v>
      </c>
      <c r="AB15" s="79">
        <f t="shared" si="7"/>
        <v>-23.952402432975788</v>
      </c>
      <c r="AC15" s="240">
        <f t="shared" si="7"/>
        <v>-24.246369760429413</v>
      </c>
      <c r="AU15" s="182"/>
    </row>
    <row r="16" spans="1:47" s="3" customFormat="1" x14ac:dyDescent="0.2">
      <c r="A16" t="s">
        <v>89</v>
      </c>
      <c r="B16" s="3" t="s">
        <v>201</v>
      </c>
      <c r="C16" s="3">
        <f>'Data Input'!G40</f>
        <v>14</v>
      </c>
      <c r="D16" s="3">
        <f>'Data Input'!H40</f>
        <v>14</v>
      </c>
      <c r="E16" s="3">
        <f>'Data Input'!I40</f>
        <v>14</v>
      </c>
      <c r="F16" s="3">
        <f>'Data Input'!J40</f>
        <v>14</v>
      </c>
      <c r="G16" s="3">
        <f>'Data Input'!K40</f>
        <v>13</v>
      </c>
      <c r="H16" s="3">
        <f>'Data Input'!L40</f>
        <v>13</v>
      </c>
      <c r="I16" s="3">
        <f>'Data Input'!M40</f>
        <v>14</v>
      </c>
      <c r="J16" s="3">
        <f>'Data Input'!N40</f>
        <v>14</v>
      </c>
      <c r="K16" s="3">
        <f>'Data Input'!O40</f>
        <v>13</v>
      </c>
      <c r="L16" s="3">
        <f>'Data Input'!P40</f>
        <v>13</v>
      </c>
      <c r="M16" s="3">
        <f>'Data Input'!Q40</f>
        <v>13</v>
      </c>
      <c r="N16" s="121">
        <f>'Data Input'!R40</f>
        <v>13</v>
      </c>
      <c r="O16" s="121">
        <f>'Data Input'!S40</f>
        <v>13</v>
      </c>
      <c r="P16" s="121">
        <f>'Data Input'!T40</f>
        <v>13.6</v>
      </c>
      <c r="Q16" s="121">
        <f>'Data Input'!U40</f>
        <v>13.8</v>
      </c>
      <c r="R16" s="212">
        <f>'Data Input'!V40</f>
        <v>14</v>
      </c>
      <c r="S16" s="212">
        <f>'Data Input'!W40</f>
        <v>14</v>
      </c>
      <c r="T16" s="212">
        <f>'Data Input'!X40</f>
        <v>13.9</v>
      </c>
      <c r="U16" s="212">
        <f>'Data Input'!Y40</f>
        <v>14.1</v>
      </c>
      <c r="V16" s="212">
        <f>'Data Input'!Z40</f>
        <v>14.6</v>
      </c>
      <c r="W16" s="212">
        <f>'Data Input'!AA40</f>
        <v>14.5</v>
      </c>
      <c r="X16" s="212">
        <f>'Data Input'!AB40</f>
        <v>14.4</v>
      </c>
      <c r="Y16" s="362">
        <f>'Data Input'!AC40</f>
        <v>15.3</v>
      </c>
      <c r="Z16" s="211">
        <f>'Data Input'!AD40</f>
        <v>15.3</v>
      </c>
      <c r="AA16" s="211">
        <f>'Data Input'!AE40</f>
        <v>15.3</v>
      </c>
      <c r="AB16" s="211">
        <f>'Data Input'!AF40</f>
        <v>15.3</v>
      </c>
      <c r="AC16" s="262">
        <f>'Data Input'!AG40</f>
        <v>15.3</v>
      </c>
      <c r="AU16" s="182"/>
    </row>
    <row r="17" spans="1:47" s="8" customFormat="1" x14ac:dyDescent="0.2">
      <c r="A17" s="8" t="s">
        <v>184</v>
      </c>
      <c r="B17" s="8" t="s">
        <v>31</v>
      </c>
      <c r="C17" s="8">
        <f t="shared" ref="C17:N17" si="8">C15/C16</f>
        <v>-9.1785714285714288</v>
      </c>
      <c r="D17" s="8">
        <f t="shared" si="8"/>
        <v>-5.4642857142857144</v>
      </c>
      <c r="E17" s="8">
        <f t="shared" si="8"/>
        <v>2.1428571428571428</v>
      </c>
      <c r="F17" s="8">
        <f t="shared" si="8"/>
        <v>10.964285714285714</v>
      </c>
      <c r="G17" s="8">
        <f t="shared" si="8"/>
        <v>20.846153846153847</v>
      </c>
      <c r="H17" s="8">
        <f t="shared" si="8"/>
        <v>18.76923076923077</v>
      </c>
      <c r="I17" s="8">
        <f t="shared" si="8"/>
        <v>1.3571428571428572</v>
      </c>
      <c r="J17" s="8">
        <f t="shared" si="8"/>
        <v>0.39285714285714285</v>
      </c>
      <c r="K17" s="8">
        <f t="shared" si="8"/>
        <v>0.27055269230769102</v>
      </c>
      <c r="L17" s="8">
        <f t="shared" si="8"/>
        <v>4.7801000000001398E-2</v>
      </c>
      <c r="M17" s="8">
        <f t="shared" si="8"/>
        <v>-0.84833942307692323</v>
      </c>
      <c r="N17" s="119">
        <f t="shared" si="8"/>
        <v>-1.10986023076923</v>
      </c>
      <c r="O17" s="119">
        <f t="shared" ref="O17:AA17" si="9">O15/O16</f>
        <v>-1.6842487307692322</v>
      </c>
      <c r="P17" s="119">
        <f t="shared" si="9"/>
        <v>-0.51040849264705834</v>
      </c>
      <c r="Q17" s="119">
        <f t="shared" si="9"/>
        <v>-9.0864250362318852</v>
      </c>
      <c r="R17" s="119">
        <f t="shared" si="9"/>
        <v>-2.4285714285714284</v>
      </c>
      <c r="S17" s="119">
        <f t="shared" si="9"/>
        <v>-2.051065785714286</v>
      </c>
      <c r="T17" s="119">
        <f t="shared" si="9"/>
        <v>-0.78895651593011096</v>
      </c>
      <c r="U17" s="119">
        <f t="shared" si="9"/>
        <v>-2.0988313120567343</v>
      </c>
      <c r="V17" s="119">
        <f t="shared" si="9"/>
        <v>-2.7623036350293506</v>
      </c>
      <c r="W17" s="119">
        <f t="shared" si="9"/>
        <v>-2.7670362413793068</v>
      </c>
      <c r="X17" s="119">
        <f t="shared" si="9"/>
        <v>-2.9583100347222233</v>
      </c>
      <c r="Y17" s="343">
        <f t="shared" si="9"/>
        <v>-1.6588860359477136</v>
      </c>
      <c r="Z17" s="78">
        <f t="shared" si="9"/>
        <v>-1.5262835319386376</v>
      </c>
      <c r="AA17" s="78">
        <f t="shared" si="9"/>
        <v>-1.5469464668055755</v>
      </c>
      <c r="AB17" s="78">
        <f t="shared" ref="AB17:AC17" si="10">AB15/AB16</f>
        <v>-1.5655164988873063</v>
      </c>
      <c r="AC17" s="242">
        <f t="shared" si="10"/>
        <v>-1.5847300497012689</v>
      </c>
      <c r="AU17" s="183"/>
    </row>
    <row r="18" spans="1:47" s="3" customFormat="1" x14ac:dyDescent="0.2">
      <c r="N18" s="121"/>
      <c r="O18" s="121"/>
      <c r="P18" s="121"/>
      <c r="Q18" s="121"/>
      <c r="R18" s="121"/>
      <c r="S18" s="121"/>
      <c r="T18" s="121"/>
      <c r="U18" s="121"/>
      <c r="V18" s="121"/>
      <c r="W18" s="121"/>
      <c r="X18" s="121"/>
      <c r="Y18" s="345"/>
      <c r="Z18" s="79"/>
      <c r="AA18" s="79"/>
      <c r="AB18" s="79"/>
      <c r="AC18" s="240"/>
      <c r="AU18" s="182"/>
    </row>
    <row r="19" spans="1:47" s="3" customFormat="1" ht="15" x14ac:dyDescent="0.35">
      <c r="A19" s="41" t="s">
        <v>186</v>
      </c>
      <c r="N19" s="121"/>
      <c r="O19" s="121"/>
      <c r="P19" s="121"/>
      <c r="Q19" s="121"/>
      <c r="R19" s="121"/>
      <c r="S19" s="121"/>
      <c r="T19" s="121"/>
      <c r="U19" s="121"/>
      <c r="V19" s="121"/>
      <c r="W19" s="121"/>
      <c r="X19" s="121"/>
      <c r="Y19" s="345"/>
      <c r="Z19" s="79"/>
      <c r="AA19" s="79"/>
      <c r="AB19" s="79"/>
      <c r="AC19" s="240"/>
      <c r="AU19" s="182"/>
    </row>
    <row r="20" spans="1:47" s="3" customFormat="1" x14ac:dyDescent="0.2">
      <c r="A20" s="3" t="s">
        <v>158</v>
      </c>
      <c r="B20" s="3" t="s">
        <v>187</v>
      </c>
      <c r="C20" s="3">
        <f>ROUND(+$C17,0)-1</f>
        <v>-10</v>
      </c>
      <c r="D20" s="3">
        <f>ROUND(+$C17,0)-1</f>
        <v>-10</v>
      </c>
      <c r="E20" s="3">
        <f>ROUND(+$C17,0)-1</f>
        <v>-10</v>
      </c>
      <c r="F20" s="3">
        <f>ROUND(+$C17,0)</f>
        <v>-9</v>
      </c>
      <c r="G20" s="3">
        <f t="shared" ref="G20:P20" si="11">ROUND(+$C17,0)</f>
        <v>-9</v>
      </c>
      <c r="H20" s="3">
        <f t="shared" si="11"/>
        <v>-9</v>
      </c>
      <c r="I20" s="3">
        <f t="shared" si="11"/>
        <v>-9</v>
      </c>
      <c r="J20" s="3">
        <f t="shared" si="11"/>
        <v>-9</v>
      </c>
      <c r="K20" s="3">
        <f t="shared" si="11"/>
        <v>-9</v>
      </c>
      <c r="L20" s="3">
        <f t="shared" si="11"/>
        <v>-9</v>
      </c>
      <c r="M20" s="3">
        <f t="shared" si="11"/>
        <v>-9</v>
      </c>
      <c r="N20" s="121">
        <f t="shared" si="11"/>
        <v>-9</v>
      </c>
      <c r="O20" s="121">
        <f t="shared" si="11"/>
        <v>-9</v>
      </c>
      <c r="P20" s="121">
        <f t="shared" si="11"/>
        <v>-9</v>
      </c>
      <c r="Q20" s="121"/>
      <c r="R20" s="121"/>
      <c r="S20" s="121"/>
      <c r="T20" s="121"/>
      <c r="U20" s="121"/>
      <c r="V20" s="121"/>
      <c r="W20" s="121"/>
      <c r="X20" s="121"/>
      <c r="Y20" s="345"/>
      <c r="Z20" s="79"/>
      <c r="AA20" s="79"/>
      <c r="AB20" s="79"/>
      <c r="AC20" s="240"/>
      <c r="AT20" s="3">
        <f>SUM(C20:AM20)</f>
        <v>-129</v>
      </c>
      <c r="AU20" s="182">
        <f>ROUND(C$15,0)-ROUND($AT20,0)</f>
        <v>0</v>
      </c>
    </row>
    <row r="21" spans="1:47" s="3" customFormat="1" x14ac:dyDescent="0.2">
      <c r="A21" s="3" t="s">
        <v>159</v>
      </c>
      <c r="B21" s="3" t="s">
        <v>187</v>
      </c>
      <c r="D21" s="3">
        <f>ROUND(+$D17,0)-1</f>
        <v>-6</v>
      </c>
      <c r="E21" s="3">
        <f t="shared" ref="E21:J21" si="12">ROUND(+$D17,0)-1</f>
        <v>-6</v>
      </c>
      <c r="F21" s="3">
        <f t="shared" si="12"/>
        <v>-6</v>
      </c>
      <c r="G21" s="3">
        <f t="shared" si="12"/>
        <v>-6</v>
      </c>
      <c r="H21" s="3">
        <f t="shared" si="12"/>
        <v>-6</v>
      </c>
      <c r="I21" s="3">
        <f t="shared" si="12"/>
        <v>-6</v>
      </c>
      <c r="J21" s="3">
        <f t="shared" si="12"/>
        <v>-6</v>
      </c>
      <c r="K21" s="3">
        <f>ROUND(+$D17,0)</f>
        <v>-5</v>
      </c>
      <c r="L21" s="3">
        <f t="shared" ref="L21:Q21" si="13">ROUND(+$D17,0)</f>
        <v>-5</v>
      </c>
      <c r="M21" s="3">
        <f t="shared" si="13"/>
        <v>-5</v>
      </c>
      <c r="N21" s="121">
        <f t="shared" si="13"/>
        <v>-5</v>
      </c>
      <c r="O21" s="121">
        <f t="shared" si="13"/>
        <v>-5</v>
      </c>
      <c r="P21" s="121">
        <f t="shared" si="13"/>
        <v>-5</v>
      </c>
      <c r="Q21" s="121">
        <f t="shared" si="13"/>
        <v>-5</v>
      </c>
      <c r="R21" s="121"/>
      <c r="S21" s="121"/>
      <c r="T21" s="121"/>
      <c r="U21" s="121"/>
      <c r="V21" s="121"/>
      <c r="W21" s="121"/>
      <c r="X21" s="121"/>
      <c r="Y21" s="345"/>
      <c r="Z21" s="79"/>
      <c r="AA21" s="79"/>
      <c r="AB21" s="79"/>
      <c r="AC21" s="240"/>
      <c r="AT21" s="3">
        <f t="shared" ref="AT21:AT40" si="14">SUM(C21:AM21)</f>
        <v>-77</v>
      </c>
      <c r="AU21" s="182">
        <f>ROUND(D$15,0)-ROUND($AT21,0)</f>
        <v>0</v>
      </c>
    </row>
    <row r="22" spans="1:47" s="3" customFormat="1" x14ac:dyDescent="0.2">
      <c r="A22" s="3" t="s">
        <v>160</v>
      </c>
      <c r="B22" s="3" t="s">
        <v>187</v>
      </c>
      <c r="E22" s="3">
        <f>ROUND(+$E17,0)+1</f>
        <v>3</v>
      </c>
      <c r="F22" s="3">
        <f>ROUND(+$E17,0)+1</f>
        <v>3</v>
      </c>
      <c r="G22" s="3">
        <f>ROUND(+$E17,0)</f>
        <v>2</v>
      </c>
      <c r="H22" s="3">
        <f t="shared" ref="H22:R22" si="15">ROUND(+$E17,0)</f>
        <v>2</v>
      </c>
      <c r="I22" s="3">
        <f t="shared" si="15"/>
        <v>2</v>
      </c>
      <c r="J22" s="3">
        <f t="shared" si="15"/>
        <v>2</v>
      </c>
      <c r="K22" s="3">
        <f t="shared" si="15"/>
        <v>2</v>
      </c>
      <c r="L22" s="3">
        <f t="shared" si="15"/>
        <v>2</v>
      </c>
      <c r="M22" s="3">
        <f t="shared" si="15"/>
        <v>2</v>
      </c>
      <c r="N22" s="121">
        <f t="shared" si="15"/>
        <v>2</v>
      </c>
      <c r="O22" s="121">
        <f t="shared" si="15"/>
        <v>2</v>
      </c>
      <c r="P22" s="121">
        <f t="shared" si="15"/>
        <v>2</v>
      </c>
      <c r="Q22" s="121">
        <f t="shared" si="15"/>
        <v>2</v>
      </c>
      <c r="R22" s="121">
        <f t="shared" si="15"/>
        <v>2</v>
      </c>
      <c r="S22" s="121"/>
      <c r="T22" s="121"/>
      <c r="U22" s="121"/>
      <c r="V22" s="121"/>
      <c r="W22" s="121"/>
      <c r="X22" s="121"/>
      <c r="Y22" s="345"/>
      <c r="Z22" s="79"/>
      <c r="AA22" s="79"/>
      <c r="AB22" s="79"/>
      <c r="AC22" s="240"/>
      <c r="AT22" s="3">
        <f t="shared" si="14"/>
        <v>30</v>
      </c>
      <c r="AU22" s="182">
        <f>ROUND(E$15,0)-ROUND($AT22,0)</f>
        <v>0</v>
      </c>
    </row>
    <row r="23" spans="1:47" s="3" customFormat="1" x14ac:dyDescent="0.2">
      <c r="A23" s="3" t="s">
        <v>161</v>
      </c>
      <c r="B23" s="3" t="s">
        <v>187</v>
      </c>
      <c r="F23" s="3">
        <f>ROUND(+$F17,0)</f>
        <v>11</v>
      </c>
      <c r="G23" s="3">
        <f t="shared" ref="G23:S23" si="16">ROUND(+$F17,0)</f>
        <v>11</v>
      </c>
      <c r="H23" s="3">
        <f t="shared" si="16"/>
        <v>11</v>
      </c>
      <c r="I23" s="3">
        <f t="shared" si="16"/>
        <v>11</v>
      </c>
      <c r="J23" s="3">
        <f t="shared" si="16"/>
        <v>11</v>
      </c>
      <c r="K23" s="3">
        <f t="shared" si="16"/>
        <v>11</v>
      </c>
      <c r="L23" s="3">
        <f t="shared" si="16"/>
        <v>11</v>
      </c>
      <c r="M23" s="3">
        <f t="shared" si="16"/>
        <v>11</v>
      </c>
      <c r="N23" s="121">
        <f t="shared" si="16"/>
        <v>11</v>
      </c>
      <c r="O23" s="121">
        <f t="shared" si="16"/>
        <v>11</v>
      </c>
      <c r="P23" s="121">
        <f t="shared" si="16"/>
        <v>11</v>
      </c>
      <c r="Q23" s="121">
        <f t="shared" si="16"/>
        <v>11</v>
      </c>
      <c r="R23" s="121">
        <f t="shared" si="16"/>
        <v>11</v>
      </c>
      <c r="S23" s="121">
        <f t="shared" si="16"/>
        <v>11</v>
      </c>
      <c r="T23" s="121"/>
      <c r="U23" s="121"/>
      <c r="V23" s="121"/>
      <c r="W23" s="121"/>
      <c r="X23" s="121"/>
      <c r="Y23" s="345"/>
      <c r="Z23" s="79"/>
      <c r="AA23" s="79"/>
      <c r="AB23" s="79"/>
      <c r="AC23" s="240"/>
      <c r="AT23" s="3">
        <f t="shared" si="14"/>
        <v>154</v>
      </c>
      <c r="AU23" s="182">
        <f>ROUND(F$15,0)-ROUND($AT23,0)</f>
        <v>0</v>
      </c>
    </row>
    <row r="24" spans="1:47" s="3" customFormat="1" x14ac:dyDescent="0.2">
      <c r="A24" s="3" t="s">
        <v>162</v>
      </c>
      <c r="B24" s="3" t="s">
        <v>187</v>
      </c>
      <c r="G24" s="3">
        <f>ROUND(+$G17,0)-1</f>
        <v>20</v>
      </c>
      <c r="H24" s="3">
        <f>ROUND(+$G17,0)-1</f>
        <v>20</v>
      </c>
      <c r="I24" s="3">
        <f>ROUND(+$G17,0)</f>
        <v>21</v>
      </c>
      <c r="J24" s="3">
        <f t="shared" ref="J24:S24" si="17">ROUND(+$G17,0)</f>
        <v>21</v>
      </c>
      <c r="K24" s="3">
        <f t="shared" si="17"/>
        <v>21</v>
      </c>
      <c r="L24" s="3">
        <f t="shared" si="17"/>
        <v>21</v>
      </c>
      <c r="M24" s="3">
        <f t="shared" si="17"/>
        <v>21</v>
      </c>
      <c r="N24" s="121">
        <f t="shared" si="17"/>
        <v>21</v>
      </c>
      <c r="O24" s="121">
        <f t="shared" si="17"/>
        <v>21</v>
      </c>
      <c r="P24" s="121">
        <f t="shared" si="17"/>
        <v>21</v>
      </c>
      <c r="Q24" s="121">
        <f t="shared" si="17"/>
        <v>21</v>
      </c>
      <c r="R24" s="121">
        <f t="shared" si="17"/>
        <v>21</v>
      </c>
      <c r="S24" s="121">
        <f t="shared" si="17"/>
        <v>21</v>
      </c>
      <c r="T24" s="121"/>
      <c r="U24" s="121"/>
      <c r="V24" s="121"/>
      <c r="W24" s="121"/>
      <c r="X24" s="121"/>
      <c r="Y24" s="345"/>
      <c r="Z24" s="79"/>
      <c r="AA24" s="79"/>
      <c r="AB24" s="79"/>
      <c r="AC24" s="240"/>
      <c r="AT24" s="3">
        <f t="shared" si="14"/>
        <v>271</v>
      </c>
      <c r="AU24" s="182">
        <f>ROUND(G$15,0)-ROUND($AT24,0)</f>
        <v>0</v>
      </c>
    </row>
    <row r="25" spans="1:47" x14ac:dyDescent="0.2">
      <c r="A25" s="3" t="s">
        <v>163</v>
      </c>
      <c r="B25" s="3" t="s">
        <v>187</v>
      </c>
      <c r="H25" s="22">
        <f>ROUND(+$H17,0)-1</f>
        <v>18</v>
      </c>
      <c r="I25" s="22">
        <f>ROUND(+$H17,0)-1</f>
        <v>18</v>
      </c>
      <c r="J25" s="22">
        <f>ROUND(+$H17,0)-1</f>
        <v>18</v>
      </c>
      <c r="K25" s="22">
        <f>ROUND(+$H17,0)</f>
        <v>19</v>
      </c>
      <c r="L25" s="22">
        <f t="shared" ref="L25:T25" si="18">ROUND(+$H17,0)</f>
        <v>19</v>
      </c>
      <c r="M25" s="22">
        <f t="shared" si="18"/>
        <v>19</v>
      </c>
      <c r="N25" s="106">
        <f t="shared" si="18"/>
        <v>19</v>
      </c>
      <c r="O25" s="106">
        <f t="shared" si="18"/>
        <v>19</v>
      </c>
      <c r="P25" s="106">
        <f t="shared" si="18"/>
        <v>19</v>
      </c>
      <c r="Q25" s="106">
        <f t="shared" si="18"/>
        <v>19</v>
      </c>
      <c r="R25" s="106">
        <f t="shared" si="18"/>
        <v>19</v>
      </c>
      <c r="S25" s="106">
        <f t="shared" si="18"/>
        <v>19</v>
      </c>
      <c r="T25" s="106">
        <f t="shared" si="18"/>
        <v>19</v>
      </c>
      <c r="AT25" s="3">
        <f t="shared" si="14"/>
        <v>244</v>
      </c>
      <c r="AU25" s="182">
        <f>H$15-$AT25</f>
        <v>0</v>
      </c>
    </row>
    <row r="26" spans="1:47" x14ac:dyDescent="0.2">
      <c r="A26" s="3" t="s">
        <v>164</v>
      </c>
      <c r="B26" s="3" t="s">
        <v>187</v>
      </c>
      <c r="I26" s="22">
        <f>ROUND(+$I17,0)+1</f>
        <v>2</v>
      </c>
      <c r="J26" s="22">
        <f>ROUND(+$I17,0)+1</f>
        <v>2</v>
      </c>
      <c r="K26" s="22">
        <f>ROUND(+$I17,0)+1</f>
        <v>2</v>
      </c>
      <c r="L26" s="22">
        <f>ROUND(+$I17,0)+1</f>
        <v>2</v>
      </c>
      <c r="M26" s="22">
        <f>ROUND(+$I17,0)+1</f>
        <v>2</v>
      </c>
      <c r="N26" s="106">
        <f>ROUND(+$I17,0)</f>
        <v>1</v>
      </c>
      <c r="O26" s="106">
        <f t="shared" ref="O26:V26" si="19">ROUND(+$I17,0)</f>
        <v>1</v>
      </c>
      <c r="P26" s="106">
        <f t="shared" si="19"/>
        <v>1</v>
      </c>
      <c r="Q26" s="106">
        <f t="shared" si="19"/>
        <v>1</v>
      </c>
      <c r="R26" s="106">
        <f t="shared" si="19"/>
        <v>1</v>
      </c>
      <c r="S26" s="106">
        <f t="shared" si="19"/>
        <v>1</v>
      </c>
      <c r="T26" s="106">
        <f t="shared" si="19"/>
        <v>1</v>
      </c>
      <c r="U26" s="106">
        <f t="shared" si="19"/>
        <v>1</v>
      </c>
      <c r="V26" s="106">
        <f t="shared" si="19"/>
        <v>1</v>
      </c>
      <c r="W26" s="106"/>
      <c r="AT26" s="3">
        <f t="shared" si="14"/>
        <v>19</v>
      </c>
      <c r="AU26" s="182">
        <f>ROUND(I$15,0)-ROUND($AT26,0)</f>
        <v>0</v>
      </c>
    </row>
    <row r="27" spans="1:47" x14ac:dyDescent="0.2">
      <c r="A27" s="3" t="s">
        <v>165</v>
      </c>
      <c r="B27" s="3" t="s">
        <v>187</v>
      </c>
      <c r="J27" s="22">
        <f t="shared" ref="J27:O27" si="20">ROUND(+$J17,0)+1</f>
        <v>1</v>
      </c>
      <c r="K27" s="22">
        <f t="shared" si="20"/>
        <v>1</v>
      </c>
      <c r="L27" s="22">
        <f t="shared" si="20"/>
        <v>1</v>
      </c>
      <c r="M27" s="22">
        <f t="shared" si="20"/>
        <v>1</v>
      </c>
      <c r="N27" s="106">
        <f t="shared" si="20"/>
        <v>1</v>
      </c>
      <c r="O27" s="106">
        <f t="shared" si="20"/>
        <v>1</v>
      </c>
      <c r="P27" s="106">
        <f>ROUND(+$J17,0)</f>
        <v>0</v>
      </c>
      <c r="Q27" s="106">
        <f t="shared" ref="Q27:W27" si="21">ROUND(+$J17,0)</f>
        <v>0</v>
      </c>
      <c r="R27" s="106">
        <f t="shared" si="21"/>
        <v>0</v>
      </c>
      <c r="S27" s="106">
        <f t="shared" si="21"/>
        <v>0</v>
      </c>
      <c r="T27" s="106">
        <f t="shared" si="21"/>
        <v>0</v>
      </c>
      <c r="U27" s="106">
        <f t="shared" si="21"/>
        <v>0</v>
      </c>
      <c r="V27" s="106">
        <f t="shared" si="21"/>
        <v>0</v>
      </c>
      <c r="W27" s="106">
        <f t="shared" si="21"/>
        <v>0</v>
      </c>
      <c r="AT27" s="3">
        <f t="shared" si="14"/>
        <v>6</v>
      </c>
      <c r="AU27" s="182">
        <f>ROUND(J$15,0)-ROUND($AT27,0)</f>
        <v>0</v>
      </c>
    </row>
    <row r="28" spans="1:47" x14ac:dyDescent="0.2">
      <c r="A28" s="3" t="s">
        <v>166</v>
      </c>
      <c r="B28" s="3" t="s">
        <v>187</v>
      </c>
      <c r="K28" s="22">
        <f>ROUND(+$K17,0)+1</f>
        <v>1</v>
      </c>
      <c r="L28" s="22">
        <f>ROUND(+$K17,0)+1</f>
        <v>1</v>
      </c>
      <c r="M28" s="22">
        <f>ROUND(+$K17,0)+1</f>
        <v>1</v>
      </c>
      <c r="N28" s="106">
        <f>ROUND(+$K17,0)+1</f>
        <v>1</v>
      </c>
      <c r="O28" s="106">
        <f>ROUND(+$K17,0)</f>
        <v>0</v>
      </c>
      <c r="P28" s="106">
        <f t="shared" ref="P28:W28" si="22">ROUND(+$K17,0)</f>
        <v>0</v>
      </c>
      <c r="Q28" s="106">
        <f t="shared" si="22"/>
        <v>0</v>
      </c>
      <c r="R28" s="106">
        <f t="shared" si="22"/>
        <v>0</v>
      </c>
      <c r="S28" s="106">
        <f t="shared" si="22"/>
        <v>0</v>
      </c>
      <c r="T28" s="106">
        <f t="shared" si="22"/>
        <v>0</v>
      </c>
      <c r="U28" s="106">
        <f t="shared" si="22"/>
        <v>0</v>
      </c>
      <c r="V28" s="106">
        <f t="shared" si="22"/>
        <v>0</v>
      </c>
      <c r="W28" s="106">
        <f t="shared" si="22"/>
        <v>0</v>
      </c>
      <c r="AT28" s="3">
        <f t="shared" si="14"/>
        <v>4</v>
      </c>
      <c r="AU28" s="182">
        <f>ROUND(K$15,0)-ROUND($AT28,0)</f>
        <v>0</v>
      </c>
    </row>
    <row r="29" spans="1:47" x14ac:dyDescent="0.2">
      <c r="A29" s="3" t="s">
        <v>293</v>
      </c>
      <c r="B29" s="3" t="s">
        <v>187</v>
      </c>
      <c r="K29" s="22"/>
      <c r="L29" s="22">
        <f>ROUND(+$L17,0)+1</f>
        <v>1</v>
      </c>
      <c r="M29" s="22"/>
      <c r="N29" s="106"/>
      <c r="O29" s="106"/>
      <c r="P29" s="106"/>
      <c r="Q29" s="106"/>
      <c r="R29" s="106"/>
      <c r="S29" s="106"/>
      <c r="T29" s="106"/>
      <c r="U29" s="106"/>
      <c r="V29" s="106"/>
      <c r="W29" s="106"/>
      <c r="X29" s="106"/>
      <c r="Y29" s="349"/>
      <c r="Z29" s="85"/>
      <c r="AA29" s="85"/>
      <c r="AB29" s="85"/>
      <c r="AC29" s="246"/>
      <c r="AD29" s="22"/>
      <c r="AE29" s="22"/>
      <c r="AF29" s="22"/>
      <c r="AG29" s="22"/>
      <c r="AH29" s="22"/>
      <c r="AI29" s="22"/>
      <c r="AJ29" s="22"/>
      <c r="AK29" s="22"/>
      <c r="AL29" s="22"/>
      <c r="AM29" s="22"/>
      <c r="AN29" s="22"/>
      <c r="AO29" s="22"/>
      <c r="AP29" s="22"/>
      <c r="AQ29" s="22"/>
      <c r="AR29" s="22"/>
      <c r="AS29" s="22"/>
      <c r="AT29" s="3">
        <f t="shared" si="14"/>
        <v>1</v>
      </c>
      <c r="AU29" s="182">
        <f>ROUND(L$15,0)-ROUND($AT29,0)</f>
        <v>0</v>
      </c>
    </row>
    <row r="30" spans="1:47" x14ac:dyDescent="0.2">
      <c r="A30" s="3" t="s">
        <v>320</v>
      </c>
      <c r="B30" s="3" t="s">
        <v>187</v>
      </c>
      <c r="K30" s="22"/>
      <c r="L30" s="22"/>
      <c r="M30" s="22">
        <f>ROUND(+$M17,0)</f>
        <v>-1</v>
      </c>
      <c r="N30" s="106">
        <f>ROUND(+$M17,0)</f>
        <v>-1</v>
      </c>
      <c r="O30" s="106">
        <f>ROUND(+$M17,0)</f>
        <v>-1</v>
      </c>
      <c r="P30" s="106">
        <f>ROUND(+$M17,0)</f>
        <v>-1</v>
      </c>
      <c r="Q30" s="106">
        <f>ROUND(+$M17,0)</f>
        <v>-1</v>
      </c>
      <c r="R30" s="106">
        <f t="shared" ref="R30:W30" si="23">ROUND(+$M17,0)</f>
        <v>-1</v>
      </c>
      <c r="S30" s="106">
        <f t="shared" si="23"/>
        <v>-1</v>
      </c>
      <c r="T30" s="106">
        <f t="shared" si="23"/>
        <v>-1</v>
      </c>
      <c r="U30" s="106">
        <f t="shared" si="23"/>
        <v>-1</v>
      </c>
      <c r="V30" s="106">
        <f t="shared" si="23"/>
        <v>-1</v>
      </c>
      <c r="W30" s="106">
        <f t="shared" si="23"/>
        <v>-1</v>
      </c>
      <c r="X30" s="106"/>
      <c r="Y30" s="349"/>
      <c r="Z30" s="85"/>
      <c r="AA30" s="85"/>
      <c r="AB30" s="85"/>
      <c r="AC30" s="246"/>
      <c r="AD30" s="106"/>
      <c r="AE30" s="106"/>
      <c r="AF30" s="106"/>
      <c r="AG30" s="106"/>
      <c r="AH30" s="106"/>
      <c r="AI30" s="106"/>
      <c r="AJ30" s="106"/>
      <c r="AK30" s="106"/>
      <c r="AL30" s="106"/>
      <c r="AM30" s="106"/>
      <c r="AN30" s="106"/>
      <c r="AO30" s="106"/>
      <c r="AP30" s="106"/>
      <c r="AQ30" s="106"/>
      <c r="AR30" s="106"/>
      <c r="AS30" s="106"/>
      <c r="AT30" s="3">
        <f t="shared" si="14"/>
        <v>-11</v>
      </c>
      <c r="AU30" s="182">
        <f>ROUND(M$15,0)-ROUND($AT30,0)</f>
        <v>0</v>
      </c>
    </row>
    <row r="31" spans="1:47" s="115" customFormat="1" x14ac:dyDescent="0.2">
      <c r="A31" s="121" t="s">
        <v>321</v>
      </c>
      <c r="B31" s="121" t="s">
        <v>187</v>
      </c>
      <c r="K31" s="106"/>
      <c r="L31" s="106"/>
      <c r="M31" s="106"/>
      <c r="N31" s="106">
        <f>ROUND(+$N17,0)</f>
        <v>-1</v>
      </c>
      <c r="O31" s="106">
        <f t="shared" ref="O31:Y31" si="24">ROUND(+$N17,0)</f>
        <v>-1</v>
      </c>
      <c r="P31" s="106">
        <f t="shared" si="24"/>
        <v>-1</v>
      </c>
      <c r="Q31" s="106">
        <f t="shared" si="24"/>
        <v>-1</v>
      </c>
      <c r="R31" s="106">
        <f t="shared" si="24"/>
        <v>-1</v>
      </c>
      <c r="S31" s="106">
        <f t="shared" si="24"/>
        <v>-1</v>
      </c>
      <c r="T31" s="106">
        <f t="shared" si="24"/>
        <v>-1</v>
      </c>
      <c r="U31" s="106">
        <f t="shared" si="24"/>
        <v>-1</v>
      </c>
      <c r="V31" s="106">
        <f t="shared" si="24"/>
        <v>-1</v>
      </c>
      <c r="W31" s="106">
        <f t="shared" si="24"/>
        <v>-1</v>
      </c>
      <c r="X31" s="106">
        <f t="shared" si="24"/>
        <v>-1</v>
      </c>
      <c r="Y31" s="349">
        <f t="shared" si="24"/>
        <v>-1</v>
      </c>
      <c r="Z31" s="85">
        <f>ROUND(+$N17,0)-1</f>
        <v>-2</v>
      </c>
      <c r="AA31" s="85"/>
      <c r="AB31" s="85"/>
      <c r="AC31" s="246"/>
      <c r="AD31" s="106"/>
      <c r="AE31" s="106"/>
      <c r="AF31" s="106"/>
      <c r="AG31" s="106"/>
      <c r="AH31" s="106"/>
      <c r="AI31" s="106"/>
      <c r="AJ31" s="106"/>
      <c r="AK31" s="106"/>
      <c r="AL31" s="106"/>
      <c r="AM31" s="106"/>
      <c r="AN31" s="106"/>
      <c r="AO31" s="106"/>
      <c r="AP31" s="106"/>
      <c r="AQ31" s="106"/>
      <c r="AR31" s="106"/>
      <c r="AS31" s="106"/>
      <c r="AT31" s="3">
        <f t="shared" si="14"/>
        <v>-14</v>
      </c>
      <c r="AU31" s="182">
        <f>ROUND(N$15,0)-ROUND($AT31,0)</f>
        <v>0</v>
      </c>
    </row>
    <row r="32" spans="1:47" s="115" customFormat="1" x14ac:dyDescent="0.2">
      <c r="A32" s="121" t="s">
        <v>322</v>
      </c>
      <c r="B32" s="121" t="s">
        <v>187</v>
      </c>
      <c r="K32" s="106"/>
      <c r="L32" s="106"/>
      <c r="M32" s="106"/>
      <c r="N32" s="106"/>
      <c r="O32" s="106"/>
      <c r="P32" s="106">
        <f t="shared" ref="P32:X32" si="25">ROUND(+$O17,0)</f>
        <v>-2</v>
      </c>
      <c r="Q32" s="106">
        <f t="shared" si="25"/>
        <v>-2</v>
      </c>
      <c r="R32" s="106">
        <f t="shared" si="25"/>
        <v>-2</v>
      </c>
      <c r="S32" s="106">
        <f t="shared" si="25"/>
        <v>-2</v>
      </c>
      <c r="T32" s="106">
        <f t="shared" si="25"/>
        <v>-2</v>
      </c>
      <c r="U32" s="106">
        <f t="shared" si="25"/>
        <v>-2</v>
      </c>
      <c r="V32" s="106">
        <f t="shared" si="25"/>
        <v>-2</v>
      </c>
      <c r="W32" s="106">
        <f t="shared" si="25"/>
        <v>-2</v>
      </c>
      <c r="X32" s="106">
        <f t="shared" si="25"/>
        <v>-2</v>
      </c>
      <c r="Y32" s="349">
        <f>ROUND(+$O17,0)+1</f>
        <v>-1</v>
      </c>
      <c r="Z32" s="85">
        <f>ROUND(+$O17,0)+1</f>
        <v>-1</v>
      </c>
      <c r="AA32" s="85">
        <f>ROUND(+$O17,0)+1</f>
        <v>-1</v>
      </c>
      <c r="AB32" s="85">
        <f>ROUND(+$O17,0)+1</f>
        <v>-1</v>
      </c>
      <c r="AC32" s="246"/>
      <c r="AD32" s="106"/>
      <c r="AE32" s="106"/>
      <c r="AF32" s="106"/>
      <c r="AG32" s="106"/>
      <c r="AH32" s="106"/>
      <c r="AI32" s="106"/>
      <c r="AJ32" s="106"/>
      <c r="AK32" s="106"/>
      <c r="AL32" s="106"/>
      <c r="AM32" s="106"/>
      <c r="AN32" s="106"/>
      <c r="AO32" s="106"/>
      <c r="AP32" s="106"/>
      <c r="AQ32" s="106"/>
      <c r="AR32" s="106"/>
      <c r="AS32" s="106"/>
      <c r="AT32" s="3">
        <f t="shared" si="14"/>
        <v>-22</v>
      </c>
      <c r="AU32" s="182">
        <f>ROUND(O$15,0)-ROUND($AT32,0)</f>
        <v>0</v>
      </c>
    </row>
    <row r="33" spans="1:47" s="115" customFormat="1" x14ac:dyDescent="0.2">
      <c r="A33" s="121" t="s">
        <v>323</v>
      </c>
      <c r="B33" s="121" t="s">
        <v>187</v>
      </c>
      <c r="K33" s="106"/>
      <c r="L33" s="106"/>
      <c r="M33" s="106"/>
      <c r="N33" s="106"/>
      <c r="O33" s="106"/>
      <c r="P33" s="106"/>
      <c r="Q33" s="106">
        <f t="shared" ref="Q33:W33" si="26">ROUND(+$P17,0)</f>
        <v>-1</v>
      </c>
      <c r="R33" s="106">
        <f t="shared" si="26"/>
        <v>-1</v>
      </c>
      <c r="S33" s="106">
        <f t="shared" si="26"/>
        <v>-1</v>
      </c>
      <c r="T33" s="106">
        <f t="shared" si="26"/>
        <v>-1</v>
      </c>
      <c r="U33" s="106">
        <f t="shared" si="26"/>
        <v>-1</v>
      </c>
      <c r="V33" s="106">
        <f t="shared" si="26"/>
        <v>-1</v>
      </c>
      <c r="W33" s="106">
        <f t="shared" si="26"/>
        <v>-1</v>
      </c>
      <c r="X33" s="106"/>
      <c r="Y33" s="349"/>
      <c r="Z33" s="85"/>
      <c r="AA33" s="85"/>
      <c r="AB33" s="85"/>
      <c r="AC33" s="246"/>
      <c r="AD33" s="106"/>
      <c r="AE33" s="106"/>
      <c r="AF33" s="106"/>
      <c r="AG33" s="106"/>
      <c r="AH33" s="106"/>
      <c r="AI33" s="106"/>
      <c r="AJ33" s="106"/>
      <c r="AK33" s="106"/>
      <c r="AL33" s="106"/>
      <c r="AM33" s="106"/>
      <c r="AN33" s="106"/>
      <c r="AO33" s="106"/>
      <c r="AP33" s="106"/>
      <c r="AQ33" s="106"/>
      <c r="AR33" s="106"/>
      <c r="AS33" s="106"/>
      <c r="AT33" s="3">
        <f t="shared" si="14"/>
        <v>-7</v>
      </c>
      <c r="AU33" s="182">
        <f>ROUND(P$15,0)-ROUND($AT33,0)</f>
        <v>0</v>
      </c>
    </row>
    <row r="34" spans="1:47" s="115" customFormat="1" x14ac:dyDescent="0.2">
      <c r="A34" s="121" t="s">
        <v>324</v>
      </c>
      <c r="B34" s="121" t="s">
        <v>187</v>
      </c>
      <c r="K34" s="106"/>
      <c r="L34" s="106"/>
      <c r="M34" s="106"/>
      <c r="N34" s="106"/>
      <c r="O34" s="106"/>
      <c r="P34" s="106"/>
      <c r="Q34" s="106"/>
      <c r="R34" s="106">
        <f t="shared" ref="R34:AA34" si="27">ROUND(+$Q17,0)</f>
        <v>-9</v>
      </c>
      <c r="S34" s="106">
        <f t="shared" si="27"/>
        <v>-9</v>
      </c>
      <c r="T34" s="106">
        <f t="shared" si="27"/>
        <v>-9</v>
      </c>
      <c r="U34" s="106">
        <f t="shared" si="27"/>
        <v>-9</v>
      </c>
      <c r="V34" s="106">
        <f t="shared" si="27"/>
        <v>-9</v>
      </c>
      <c r="W34" s="106">
        <f t="shared" si="27"/>
        <v>-9</v>
      </c>
      <c r="X34" s="106">
        <f t="shared" si="27"/>
        <v>-9</v>
      </c>
      <c r="Y34" s="349">
        <f t="shared" si="27"/>
        <v>-9</v>
      </c>
      <c r="Z34" s="85">
        <f t="shared" si="27"/>
        <v>-9</v>
      </c>
      <c r="AA34" s="85">
        <f t="shared" si="27"/>
        <v>-9</v>
      </c>
      <c r="AB34" s="85">
        <f>ROUND(+$Q17,0)</f>
        <v>-9</v>
      </c>
      <c r="AC34" s="246">
        <f>ROUND(+$Q17,0)</f>
        <v>-9</v>
      </c>
      <c r="AD34" s="106">
        <f>ROUND(+$Q17,0)</f>
        <v>-9</v>
      </c>
      <c r="AE34" s="106">
        <f>ROUND(+$Q17,0)+1</f>
        <v>-8</v>
      </c>
      <c r="AF34" s="106"/>
      <c r="AG34" s="106"/>
      <c r="AH34" s="106"/>
      <c r="AI34" s="106"/>
      <c r="AJ34" s="106"/>
      <c r="AK34" s="106"/>
      <c r="AL34" s="106"/>
      <c r="AM34" s="106"/>
      <c r="AN34" s="106"/>
      <c r="AO34" s="106"/>
      <c r="AP34" s="106"/>
      <c r="AQ34" s="106"/>
      <c r="AR34" s="106"/>
      <c r="AS34" s="106"/>
      <c r="AT34" s="3">
        <f t="shared" si="14"/>
        <v>-125</v>
      </c>
      <c r="AU34" s="182">
        <f>ROUND(Q$15,0)-ROUND($AT34,0)</f>
        <v>0</v>
      </c>
    </row>
    <row r="35" spans="1:47" s="115" customFormat="1" x14ac:dyDescent="0.2">
      <c r="A35" s="121" t="s">
        <v>325</v>
      </c>
      <c r="B35" s="121" t="s">
        <v>187</v>
      </c>
      <c r="K35" s="106"/>
      <c r="L35" s="106"/>
      <c r="M35" s="106"/>
      <c r="N35" s="106"/>
      <c r="O35" s="106"/>
      <c r="P35" s="106"/>
      <c r="Q35" s="106"/>
      <c r="R35" s="106"/>
      <c r="S35" s="106">
        <f t="shared" ref="S35:AB35" si="28">ROUND(+$R17,0)</f>
        <v>-2</v>
      </c>
      <c r="T35" s="106">
        <f t="shared" si="28"/>
        <v>-2</v>
      </c>
      <c r="U35" s="106">
        <f t="shared" si="28"/>
        <v>-2</v>
      </c>
      <c r="V35" s="106">
        <f t="shared" si="28"/>
        <v>-2</v>
      </c>
      <c r="W35" s="106">
        <f t="shared" si="28"/>
        <v>-2</v>
      </c>
      <c r="X35" s="106">
        <f t="shared" si="28"/>
        <v>-2</v>
      </c>
      <c r="Y35" s="349">
        <f t="shared" si="28"/>
        <v>-2</v>
      </c>
      <c r="Z35" s="85">
        <f t="shared" si="28"/>
        <v>-2</v>
      </c>
      <c r="AA35" s="85">
        <f t="shared" si="28"/>
        <v>-2</v>
      </c>
      <c r="AB35" s="85">
        <f t="shared" si="28"/>
        <v>-2</v>
      </c>
      <c r="AC35" s="246">
        <f>ROUND(+$R17,0)</f>
        <v>-2</v>
      </c>
      <c r="AD35" s="106">
        <f>ROUND(+$R17,0)</f>
        <v>-2</v>
      </c>
      <c r="AE35" s="106">
        <f>ROUND(+$R17,0)</f>
        <v>-2</v>
      </c>
      <c r="AF35" s="106">
        <f>ROUND(+$R17,0)-6</f>
        <v>-8</v>
      </c>
      <c r="AG35" s="106"/>
      <c r="AH35" s="106"/>
      <c r="AI35" s="106"/>
      <c r="AJ35" s="106"/>
      <c r="AK35" s="106"/>
      <c r="AL35" s="106"/>
      <c r="AM35" s="106"/>
      <c r="AN35" s="106"/>
      <c r="AO35" s="106"/>
      <c r="AP35" s="106"/>
      <c r="AQ35" s="106"/>
      <c r="AR35" s="106"/>
      <c r="AS35" s="106"/>
      <c r="AT35" s="3">
        <f t="shared" si="14"/>
        <v>-34</v>
      </c>
      <c r="AU35" s="182">
        <f>ROUND(R$15,0)-ROUND($AT35,0)</f>
        <v>0</v>
      </c>
    </row>
    <row r="36" spans="1:47" s="115" customFormat="1" x14ac:dyDescent="0.2">
      <c r="A36" s="121" t="s">
        <v>334</v>
      </c>
      <c r="B36" s="121" t="s">
        <v>187</v>
      </c>
      <c r="K36" s="106"/>
      <c r="L36" s="106"/>
      <c r="M36" s="106"/>
      <c r="N36" s="106"/>
      <c r="O36" s="106"/>
      <c r="P36" s="106"/>
      <c r="Q36" s="106"/>
      <c r="R36" s="106"/>
      <c r="S36" s="106"/>
      <c r="T36" s="106">
        <f t="shared" ref="T36:AF36" si="29">ROUND(+$S17,0)</f>
        <v>-2</v>
      </c>
      <c r="U36" s="106">
        <f t="shared" si="29"/>
        <v>-2</v>
      </c>
      <c r="V36" s="106">
        <f t="shared" si="29"/>
        <v>-2</v>
      </c>
      <c r="W36" s="106">
        <f t="shared" si="29"/>
        <v>-2</v>
      </c>
      <c r="X36" s="106">
        <f t="shared" si="29"/>
        <v>-2</v>
      </c>
      <c r="Y36" s="349">
        <f t="shared" si="29"/>
        <v>-2</v>
      </c>
      <c r="Z36" s="85">
        <f t="shared" si="29"/>
        <v>-2</v>
      </c>
      <c r="AA36" s="85">
        <f t="shared" si="29"/>
        <v>-2</v>
      </c>
      <c r="AB36" s="85">
        <f t="shared" si="29"/>
        <v>-2</v>
      </c>
      <c r="AC36" s="246">
        <f t="shared" si="29"/>
        <v>-2</v>
      </c>
      <c r="AD36" s="106">
        <f t="shared" si="29"/>
        <v>-2</v>
      </c>
      <c r="AE36" s="106">
        <f t="shared" si="29"/>
        <v>-2</v>
      </c>
      <c r="AF36" s="106">
        <f t="shared" si="29"/>
        <v>-2</v>
      </c>
      <c r="AG36" s="106">
        <f>ROUND(+$S17,0)-1</f>
        <v>-3</v>
      </c>
      <c r="AH36" s="106"/>
      <c r="AI36" s="106"/>
      <c r="AJ36" s="106"/>
      <c r="AK36" s="106"/>
      <c r="AL36" s="106"/>
      <c r="AM36" s="106"/>
      <c r="AN36" s="106"/>
      <c r="AO36" s="106"/>
      <c r="AP36" s="106"/>
      <c r="AQ36" s="106"/>
      <c r="AR36" s="106"/>
      <c r="AS36" s="106"/>
      <c r="AT36" s="3">
        <f>SUM(C36:AM36)</f>
        <v>-29</v>
      </c>
      <c r="AU36" s="210">
        <f>ROUND(S$15,0)-ROUND($AT36,0)</f>
        <v>0</v>
      </c>
    </row>
    <row r="37" spans="1:47" s="115" customFormat="1" x14ac:dyDescent="0.2">
      <c r="A37" s="121" t="s">
        <v>335</v>
      </c>
      <c r="B37" s="121" t="s">
        <v>187</v>
      </c>
      <c r="K37" s="106"/>
      <c r="L37" s="106"/>
      <c r="M37" s="106"/>
      <c r="N37" s="106"/>
      <c r="O37" s="106"/>
      <c r="P37" s="106"/>
      <c r="Q37" s="106"/>
      <c r="R37" s="106"/>
      <c r="S37" s="106"/>
      <c r="T37" s="106"/>
      <c r="U37" s="106">
        <f t="shared" ref="U37:AE37" si="30">ROUND(+$T17,0)</f>
        <v>-1</v>
      </c>
      <c r="V37" s="106">
        <f t="shared" si="30"/>
        <v>-1</v>
      </c>
      <c r="W37" s="106">
        <f t="shared" si="30"/>
        <v>-1</v>
      </c>
      <c r="X37" s="106">
        <f t="shared" si="30"/>
        <v>-1</v>
      </c>
      <c r="Y37" s="349">
        <f t="shared" si="30"/>
        <v>-1</v>
      </c>
      <c r="Z37" s="85">
        <f t="shared" si="30"/>
        <v>-1</v>
      </c>
      <c r="AA37" s="85">
        <f t="shared" si="30"/>
        <v>-1</v>
      </c>
      <c r="AB37" s="85">
        <f t="shared" si="30"/>
        <v>-1</v>
      </c>
      <c r="AC37" s="246">
        <f t="shared" si="30"/>
        <v>-1</v>
      </c>
      <c r="AD37" s="106">
        <f t="shared" si="30"/>
        <v>-1</v>
      </c>
      <c r="AE37" s="106">
        <f t="shared" si="30"/>
        <v>-1</v>
      </c>
      <c r="AF37" s="106">
        <f>ROUND(+$T17,0)+1</f>
        <v>0</v>
      </c>
      <c r="AG37" s="106">
        <f>ROUND(+$T17,0)+1</f>
        <v>0</v>
      </c>
      <c r="AH37" s="106">
        <f>ROUND(+$T17,0)+1</f>
        <v>0</v>
      </c>
      <c r="AI37" s="106"/>
      <c r="AJ37" s="106"/>
      <c r="AK37" s="106"/>
      <c r="AL37" s="106"/>
      <c r="AM37" s="106"/>
      <c r="AN37" s="106"/>
      <c r="AO37" s="106"/>
      <c r="AP37" s="106"/>
      <c r="AQ37" s="106"/>
      <c r="AR37" s="106"/>
      <c r="AS37" s="106"/>
      <c r="AT37" s="121">
        <f>SUM(C37:AM37)</f>
        <v>-11</v>
      </c>
      <c r="AU37" s="210">
        <f>ROUND(T$15,0)-(ROUND($AT37,0))</f>
        <v>0</v>
      </c>
    </row>
    <row r="38" spans="1:47" s="115" customFormat="1" x14ac:dyDescent="0.2">
      <c r="A38" s="121" t="s">
        <v>339</v>
      </c>
      <c r="B38" s="121" t="s">
        <v>187</v>
      </c>
      <c r="K38" s="106"/>
      <c r="L38" s="106"/>
      <c r="M38" s="106"/>
      <c r="N38" s="106"/>
      <c r="O38" s="106"/>
      <c r="P38" s="106"/>
      <c r="Q38" s="106"/>
      <c r="R38" s="106"/>
      <c r="S38" s="106"/>
      <c r="T38" s="106"/>
      <c r="U38" s="106"/>
      <c r="V38" s="106">
        <f>ROUND(+$U17,0)</f>
        <v>-2</v>
      </c>
      <c r="W38" s="106">
        <f t="shared" ref="W38:AF38" si="31">ROUND(+$U17,0)</f>
        <v>-2</v>
      </c>
      <c r="X38" s="106">
        <f t="shared" si="31"/>
        <v>-2</v>
      </c>
      <c r="Y38" s="349">
        <f t="shared" si="31"/>
        <v>-2</v>
      </c>
      <c r="Z38" s="85">
        <f t="shared" si="31"/>
        <v>-2</v>
      </c>
      <c r="AA38" s="85">
        <f t="shared" si="31"/>
        <v>-2</v>
      </c>
      <c r="AB38" s="85">
        <f t="shared" si="31"/>
        <v>-2</v>
      </c>
      <c r="AC38" s="246">
        <f t="shared" si="31"/>
        <v>-2</v>
      </c>
      <c r="AD38" s="106">
        <f t="shared" si="31"/>
        <v>-2</v>
      </c>
      <c r="AE38" s="106">
        <f t="shared" si="31"/>
        <v>-2</v>
      </c>
      <c r="AF38" s="106">
        <f t="shared" si="31"/>
        <v>-2</v>
      </c>
      <c r="AG38" s="106">
        <f>ROUND(+$U17,0)</f>
        <v>-2</v>
      </c>
      <c r="AH38" s="106">
        <f>ROUND(+$U17,0)</f>
        <v>-2</v>
      </c>
      <c r="AI38" s="106">
        <f>ROUND(+$U17,0)</f>
        <v>-2</v>
      </c>
      <c r="AJ38" s="106">
        <f>ROUND(+$U17,0)</f>
        <v>-2</v>
      </c>
      <c r="AK38" s="106"/>
      <c r="AL38" s="106"/>
      <c r="AM38" s="106"/>
      <c r="AN38" s="106"/>
      <c r="AO38" s="106"/>
      <c r="AP38" s="106"/>
      <c r="AQ38" s="106"/>
      <c r="AR38" s="106"/>
      <c r="AS38" s="106"/>
      <c r="AT38" s="121">
        <f t="shared" si="14"/>
        <v>-30</v>
      </c>
      <c r="AU38" s="210">
        <f>ROUND(U$15,0)-ROUND($AT38,0)</f>
        <v>0</v>
      </c>
    </row>
    <row r="39" spans="1:47" s="115" customFormat="1" x14ac:dyDescent="0.2">
      <c r="A39" s="121" t="s">
        <v>351</v>
      </c>
      <c r="B39" s="121" t="s">
        <v>187</v>
      </c>
      <c r="K39" s="106"/>
      <c r="L39" s="106"/>
      <c r="M39" s="106"/>
      <c r="N39" s="106"/>
      <c r="O39" s="106"/>
      <c r="P39" s="106"/>
      <c r="Q39" s="106"/>
      <c r="R39" s="106"/>
      <c r="S39" s="106"/>
      <c r="T39" s="106"/>
      <c r="U39" s="106"/>
      <c r="V39" s="106"/>
      <c r="W39" s="365">
        <f>ROUND(+$V17,0)</f>
        <v>-3</v>
      </c>
      <c r="X39" s="106">
        <f t="shared" ref="X39:AG39" si="32">ROUND(+$V17,0)</f>
        <v>-3</v>
      </c>
      <c r="Y39" s="349">
        <f t="shared" si="32"/>
        <v>-3</v>
      </c>
      <c r="Z39" s="85">
        <f t="shared" si="32"/>
        <v>-3</v>
      </c>
      <c r="AA39" s="85">
        <f t="shared" si="32"/>
        <v>-3</v>
      </c>
      <c r="AB39" s="85">
        <f t="shared" si="32"/>
        <v>-3</v>
      </c>
      <c r="AC39" s="246">
        <f t="shared" si="32"/>
        <v>-3</v>
      </c>
      <c r="AD39" s="106">
        <f t="shared" si="32"/>
        <v>-3</v>
      </c>
      <c r="AE39" s="106">
        <f t="shared" si="32"/>
        <v>-3</v>
      </c>
      <c r="AF39" s="106">
        <f t="shared" si="32"/>
        <v>-3</v>
      </c>
      <c r="AG39" s="106">
        <f t="shared" si="32"/>
        <v>-3</v>
      </c>
      <c r="AH39" s="106">
        <f>ROUND(+$V17,0)</f>
        <v>-3</v>
      </c>
      <c r="AI39" s="313">
        <f>ROUND(+$V17,0)+1</f>
        <v>-2</v>
      </c>
      <c r="AJ39" s="313">
        <f>ROUND(+$V17,0)+1</f>
        <v>-2</v>
      </c>
      <c r="AK39" s="106"/>
      <c r="AL39" s="106"/>
      <c r="AM39" s="106"/>
      <c r="AN39" s="106"/>
      <c r="AO39" s="106"/>
      <c r="AP39" s="106"/>
      <c r="AQ39" s="106"/>
      <c r="AR39" s="106"/>
      <c r="AS39" s="106"/>
      <c r="AT39" s="121">
        <f t="shared" si="14"/>
        <v>-40</v>
      </c>
      <c r="AU39" s="210">
        <f>ROUND(V$15,0)-ROUND($AT39,0)</f>
        <v>0</v>
      </c>
    </row>
    <row r="40" spans="1:47" s="115" customFormat="1" x14ac:dyDescent="0.2">
      <c r="A40" s="121" t="s">
        <v>359</v>
      </c>
      <c r="B40" s="121" t="s">
        <v>187</v>
      </c>
      <c r="K40" s="106"/>
      <c r="L40" s="106"/>
      <c r="M40" s="106"/>
      <c r="N40" s="106"/>
      <c r="O40" s="106"/>
      <c r="P40" s="106"/>
      <c r="Q40" s="106"/>
      <c r="R40" s="106"/>
      <c r="S40" s="106"/>
      <c r="T40" s="106"/>
      <c r="U40" s="106"/>
      <c r="V40" s="106"/>
      <c r="W40" s="364"/>
      <c r="X40" s="106">
        <f t="shared" ref="X40:AG40" si="33">ROUND(+$W17,0)</f>
        <v>-3</v>
      </c>
      <c r="Y40" s="349">
        <f t="shared" si="33"/>
        <v>-3</v>
      </c>
      <c r="Z40" s="85">
        <f t="shared" si="33"/>
        <v>-3</v>
      </c>
      <c r="AA40" s="85">
        <f t="shared" si="33"/>
        <v>-3</v>
      </c>
      <c r="AB40" s="85">
        <f t="shared" si="33"/>
        <v>-3</v>
      </c>
      <c r="AC40" s="246">
        <f t="shared" si="33"/>
        <v>-3</v>
      </c>
      <c r="AD40" s="106">
        <f t="shared" si="33"/>
        <v>-3</v>
      </c>
      <c r="AE40" s="106">
        <f t="shared" si="33"/>
        <v>-3</v>
      </c>
      <c r="AF40" s="106">
        <f t="shared" si="33"/>
        <v>-3</v>
      </c>
      <c r="AG40" s="106">
        <f t="shared" si="33"/>
        <v>-3</v>
      </c>
      <c r="AH40" s="313">
        <f>ROUND(+$W17,0)+1</f>
        <v>-2</v>
      </c>
      <c r="AI40" s="313">
        <f>ROUND(+$W17,0)+1</f>
        <v>-2</v>
      </c>
      <c r="AJ40" s="313">
        <f>ROUND(+$W17,0)+1</f>
        <v>-2</v>
      </c>
      <c r="AK40" s="313">
        <f>ROUND(+$W17,0)+1</f>
        <v>-2</v>
      </c>
      <c r="AL40" s="313">
        <f>ROUND(+$W17,0)+1</f>
        <v>-2</v>
      </c>
      <c r="AM40" s="106"/>
      <c r="AN40" s="106"/>
      <c r="AO40" s="106"/>
      <c r="AP40" s="106"/>
      <c r="AQ40" s="106"/>
      <c r="AR40" s="106"/>
      <c r="AS40" s="106"/>
      <c r="AT40" s="121">
        <f t="shared" si="14"/>
        <v>-40</v>
      </c>
      <c r="AU40" s="210">
        <f>ROUND(W$15,0)-ROUND($AT40,0)</f>
        <v>0</v>
      </c>
    </row>
    <row r="41" spans="1:47" s="398" customFormat="1" x14ac:dyDescent="0.2">
      <c r="A41" s="397" t="s">
        <v>361</v>
      </c>
      <c r="B41" s="397" t="s">
        <v>187</v>
      </c>
      <c r="K41" s="399"/>
      <c r="L41" s="399"/>
      <c r="M41" s="399"/>
      <c r="N41" s="399"/>
      <c r="O41" s="399"/>
      <c r="P41" s="399"/>
      <c r="Q41" s="399"/>
      <c r="R41" s="399"/>
      <c r="S41" s="399"/>
      <c r="T41" s="399"/>
      <c r="U41" s="399"/>
      <c r="V41" s="399"/>
      <c r="W41" s="400"/>
      <c r="X41" s="106"/>
      <c r="Y41" s="399">
        <f>ROUND(+$X17,0)</f>
        <v>-3</v>
      </c>
      <c r="Z41" s="399">
        <f t="shared" ref="Z41:AI41" si="34">ROUND(+$X17,0)</f>
        <v>-3</v>
      </c>
      <c r="AA41" s="399">
        <f t="shared" si="34"/>
        <v>-3</v>
      </c>
      <c r="AB41" s="399">
        <f t="shared" si="34"/>
        <v>-3</v>
      </c>
      <c r="AC41" s="399">
        <f t="shared" si="34"/>
        <v>-3</v>
      </c>
      <c r="AD41" s="399">
        <f t="shared" si="34"/>
        <v>-3</v>
      </c>
      <c r="AE41" s="399">
        <f t="shared" si="34"/>
        <v>-3</v>
      </c>
      <c r="AF41" s="399">
        <f t="shared" si="34"/>
        <v>-3</v>
      </c>
      <c r="AG41" s="399">
        <f t="shared" si="34"/>
        <v>-3</v>
      </c>
      <c r="AH41" s="399">
        <f t="shared" si="34"/>
        <v>-3</v>
      </c>
      <c r="AI41" s="399">
        <f t="shared" si="34"/>
        <v>-3</v>
      </c>
      <c r="AJ41" s="399">
        <f>ROUND(+$X17,0)</f>
        <v>-3</v>
      </c>
      <c r="AK41" s="399">
        <f>ROUND(+$X17,0)</f>
        <v>-3</v>
      </c>
      <c r="AL41" s="405">
        <f>ROUND(+$X17,0)+1</f>
        <v>-2</v>
      </c>
      <c r="AM41" s="405">
        <f>ROUND(+$X17,0)+1</f>
        <v>-2</v>
      </c>
      <c r="AN41" s="399"/>
      <c r="AO41" s="399"/>
      <c r="AP41" s="399"/>
      <c r="AQ41" s="399"/>
      <c r="AR41" s="399"/>
      <c r="AS41" s="399"/>
      <c r="AT41" s="397">
        <f>SUM(C41:AM41)</f>
        <v>-43</v>
      </c>
      <c r="AU41" s="401">
        <f>ROUND(X$15,0)-ROUND($AT41,0)</f>
        <v>0</v>
      </c>
    </row>
    <row r="42" spans="1:47" s="76" customFormat="1" x14ac:dyDescent="0.2">
      <c r="A42" s="237" t="s">
        <v>364</v>
      </c>
      <c r="B42" s="79" t="s">
        <v>187</v>
      </c>
      <c r="K42" s="85"/>
      <c r="L42" s="85"/>
      <c r="M42" s="85"/>
      <c r="N42" s="85"/>
      <c r="O42" s="85"/>
      <c r="P42" s="85"/>
      <c r="Q42" s="85"/>
      <c r="R42" s="85"/>
      <c r="S42" s="85"/>
      <c r="T42" s="85"/>
      <c r="U42" s="85"/>
      <c r="V42" s="85"/>
      <c r="W42" s="85"/>
      <c r="X42" s="106"/>
      <c r="Y42" s="349"/>
      <c r="Z42" s="85">
        <f>ROUND($Y17,0)</f>
        <v>-2</v>
      </c>
      <c r="AA42" s="85">
        <f t="shared" ref="AA42:AI42" si="35">ROUND($Y17,0)</f>
        <v>-2</v>
      </c>
      <c r="AB42" s="85">
        <f t="shared" si="35"/>
        <v>-2</v>
      </c>
      <c r="AC42" s="246">
        <f t="shared" si="35"/>
        <v>-2</v>
      </c>
      <c r="AD42" s="85">
        <f t="shared" si="35"/>
        <v>-2</v>
      </c>
      <c r="AE42" s="85">
        <f t="shared" si="35"/>
        <v>-2</v>
      </c>
      <c r="AF42" s="85">
        <f t="shared" si="35"/>
        <v>-2</v>
      </c>
      <c r="AG42" s="85">
        <f t="shared" si="35"/>
        <v>-2</v>
      </c>
      <c r="AH42" s="85">
        <f t="shared" si="35"/>
        <v>-2</v>
      </c>
      <c r="AI42" s="85">
        <f t="shared" si="35"/>
        <v>-2</v>
      </c>
      <c r="AJ42" s="404">
        <f>ROUND($Y17,0)</f>
        <v>-2</v>
      </c>
      <c r="AK42" s="404">
        <f>ROUND($Y17,0)+1</f>
        <v>-1</v>
      </c>
      <c r="AL42" s="404">
        <f>ROUND($Y17,0)+1</f>
        <v>-1</v>
      </c>
      <c r="AM42" s="404">
        <f>ROUND($Y17,0)+1</f>
        <v>-1</v>
      </c>
      <c r="AN42" s="404">
        <f>ROUND($Y17,0)+1</f>
        <v>-1</v>
      </c>
      <c r="AO42" s="404"/>
      <c r="AP42" s="85"/>
      <c r="AQ42" s="85"/>
      <c r="AR42" s="85"/>
      <c r="AS42" s="85"/>
      <c r="AT42" s="79">
        <f t="shared" ref="AT42:AT45" si="36">SUM(R42:AS42)</f>
        <v>-26</v>
      </c>
      <c r="AU42" s="184">
        <f>ROUND(Y$15,0)-ROUND($AT42,0)</f>
        <v>1</v>
      </c>
    </row>
    <row r="43" spans="1:47" s="76" customFormat="1" x14ac:dyDescent="0.2">
      <c r="A43" s="237" t="s">
        <v>370</v>
      </c>
      <c r="B43" s="237" t="s">
        <v>187</v>
      </c>
      <c r="K43" s="85"/>
      <c r="L43" s="85"/>
      <c r="M43" s="85"/>
      <c r="N43" s="85"/>
      <c r="O43" s="85"/>
      <c r="P43" s="85"/>
      <c r="Q43" s="85"/>
      <c r="R43" s="85"/>
      <c r="S43" s="85"/>
      <c r="T43" s="85"/>
      <c r="U43" s="85"/>
      <c r="V43" s="85"/>
      <c r="W43" s="85"/>
      <c r="X43" s="106"/>
      <c r="Y43" s="349"/>
      <c r="Z43" s="85"/>
      <c r="AA43" s="85">
        <f>$Z$17</f>
        <v>-1.5262835319386376</v>
      </c>
      <c r="AB43" s="85">
        <f t="shared" ref="AB43:AO43" si="37">$Z$17</f>
        <v>-1.5262835319386376</v>
      </c>
      <c r="AC43" s="246">
        <f t="shared" si="37"/>
        <v>-1.5262835319386376</v>
      </c>
      <c r="AD43" s="85">
        <f t="shared" si="37"/>
        <v>-1.5262835319386376</v>
      </c>
      <c r="AE43" s="85">
        <f t="shared" si="37"/>
        <v>-1.5262835319386376</v>
      </c>
      <c r="AF43" s="85">
        <f t="shared" si="37"/>
        <v>-1.5262835319386376</v>
      </c>
      <c r="AG43" s="85">
        <f t="shared" si="37"/>
        <v>-1.5262835319386376</v>
      </c>
      <c r="AH43" s="85">
        <f t="shared" si="37"/>
        <v>-1.5262835319386376</v>
      </c>
      <c r="AI43" s="85">
        <f t="shared" si="37"/>
        <v>-1.5262835319386376</v>
      </c>
      <c r="AJ43" s="85">
        <f t="shared" si="37"/>
        <v>-1.5262835319386376</v>
      </c>
      <c r="AK43" s="85">
        <f t="shared" si="37"/>
        <v>-1.5262835319386376</v>
      </c>
      <c r="AL43" s="85">
        <f t="shared" si="37"/>
        <v>-1.5262835319386376</v>
      </c>
      <c r="AM43" s="85">
        <f t="shared" si="37"/>
        <v>-1.5262835319386376</v>
      </c>
      <c r="AN43" s="85">
        <f t="shared" si="37"/>
        <v>-1.5262835319386376</v>
      </c>
      <c r="AO43" s="85">
        <f t="shared" si="37"/>
        <v>-1.5262835319386376</v>
      </c>
      <c r="AP43" s="85"/>
      <c r="AQ43" s="85"/>
      <c r="AR43" s="85"/>
      <c r="AS43" s="85"/>
      <c r="AT43" s="79">
        <f t="shared" si="36"/>
        <v>-22.894252979079571</v>
      </c>
      <c r="AU43" s="184">
        <f>contributions!Z15-AT43</f>
        <v>-0.4578850595815851</v>
      </c>
    </row>
    <row r="44" spans="1:47" s="76" customFormat="1" x14ac:dyDescent="0.2">
      <c r="A44" s="394" t="s">
        <v>372</v>
      </c>
      <c r="B44" s="394" t="s">
        <v>187</v>
      </c>
      <c r="C44" s="395"/>
      <c r="D44" s="395"/>
      <c r="E44" s="395"/>
      <c r="F44" s="395"/>
      <c r="G44" s="395"/>
      <c r="H44" s="395"/>
      <c r="I44" s="395"/>
      <c r="J44" s="395"/>
      <c r="K44" s="396"/>
      <c r="L44" s="396"/>
      <c r="M44" s="396"/>
      <c r="N44" s="396"/>
      <c r="O44" s="396"/>
      <c r="P44" s="396"/>
      <c r="Q44" s="396"/>
      <c r="R44" s="396"/>
      <c r="S44" s="396"/>
      <c r="T44" s="396"/>
      <c r="U44" s="85"/>
      <c r="V44" s="85"/>
      <c r="W44" s="85"/>
      <c r="X44" s="106"/>
      <c r="Y44" s="349"/>
      <c r="Z44" s="85"/>
      <c r="AA44" s="85"/>
      <c r="AB44" s="85">
        <f>$AA$17</f>
        <v>-1.5469464668055755</v>
      </c>
      <c r="AC44" s="246">
        <f t="shared" ref="AC44:AP44" si="38">$AA$17</f>
        <v>-1.5469464668055755</v>
      </c>
      <c r="AD44" s="85">
        <f t="shared" si="38"/>
        <v>-1.5469464668055755</v>
      </c>
      <c r="AE44" s="85">
        <f t="shared" si="38"/>
        <v>-1.5469464668055755</v>
      </c>
      <c r="AF44" s="85">
        <f t="shared" si="38"/>
        <v>-1.5469464668055755</v>
      </c>
      <c r="AG44" s="85">
        <f t="shared" si="38"/>
        <v>-1.5469464668055755</v>
      </c>
      <c r="AH44" s="85">
        <f t="shared" si="38"/>
        <v>-1.5469464668055755</v>
      </c>
      <c r="AI44" s="85">
        <f t="shared" si="38"/>
        <v>-1.5469464668055755</v>
      </c>
      <c r="AJ44" s="85">
        <f t="shared" si="38"/>
        <v>-1.5469464668055755</v>
      </c>
      <c r="AK44" s="85">
        <f t="shared" si="38"/>
        <v>-1.5469464668055755</v>
      </c>
      <c r="AL44" s="85">
        <f t="shared" si="38"/>
        <v>-1.5469464668055755</v>
      </c>
      <c r="AM44" s="85">
        <f t="shared" si="38"/>
        <v>-1.5469464668055755</v>
      </c>
      <c r="AN44" s="85">
        <f t="shared" si="38"/>
        <v>-1.5469464668055755</v>
      </c>
      <c r="AO44" s="85">
        <f t="shared" si="38"/>
        <v>-1.5469464668055755</v>
      </c>
      <c r="AP44" s="85">
        <f t="shared" si="38"/>
        <v>-1.5469464668055755</v>
      </c>
      <c r="AQ44" s="85"/>
      <c r="AR44" s="85"/>
      <c r="AS44" s="85"/>
      <c r="AT44" s="79">
        <f t="shared" si="36"/>
        <v>-23.204197002083632</v>
      </c>
      <c r="AU44" s="184">
        <f>contributions!AA15-AT44</f>
        <v>-0.46408394004167519</v>
      </c>
    </row>
    <row r="45" spans="1:47" s="76" customFormat="1" x14ac:dyDescent="0.2">
      <c r="A45" s="394" t="s">
        <v>419</v>
      </c>
      <c r="B45" s="394" t="s">
        <v>418</v>
      </c>
      <c r="K45" s="85"/>
      <c r="L45" s="85"/>
      <c r="M45" s="85"/>
      <c r="N45" s="85"/>
      <c r="O45" s="85"/>
      <c r="P45" s="85"/>
      <c r="Q45" s="85"/>
      <c r="R45" s="85"/>
      <c r="S45" s="85"/>
      <c r="T45" s="85"/>
      <c r="U45" s="85"/>
      <c r="V45" s="85"/>
      <c r="W45" s="85"/>
      <c r="X45" s="106"/>
      <c r="Y45" s="349"/>
      <c r="Z45" s="85"/>
      <c r="AA45" s="85"/>
      <c r="AB45" s="85"/>
      <c r="AC45" s="246">
        <f>$AB$17</f>
        <v>-1.5655164988873063</v>
      </c>
      <c r="AD45" s="85">
        <f t="shared" ref="AD45:AO45" si="39">$AB$17</f>
        <v>-1.5655164988873063</v>
      </c>
      <c r="AE45" s="85">
        <f t="shared" si="39"/>
        <v>-1.5655164988873063</v>
      </c>
      <c r="AF45" s="85">
        <f t="shared" si="39"/>
        <v>-1.5655164988873063</v>
      </c>
      <c r="AG45" s="85">
        <f t="shared" si="39"/>
        <v>-1.5655164988873063</v>
      </c>
      <c r="AH45" s="85">
        <f t="shared" si="39"/>
        <v>-1.5655164988873063</v>
      </c>
      <c r="AI45" s="85">
        <f t="shared" si="39"/>
        <v>-1.5655164988873063</v>
      </c>
      <c r="AJ45" s="85">
        <f t="shared" si="39"/>
        <v>-1.5655164988873063</v>
      </c>
      <c r="AK45" s="85">
        <f t="shared" si="39"/>
        <v>-1.5655164988873063</v>
      </c>
      <c r="AL45" s="85">
        <f t="shared" si="39"/>
        <v>-1.5655164988873063</v>
      </c>
      <c r="AM45" s="85">
        <f t="shared" si="39"/>
        <v>-1.5655164988873063</v>
      </c>
      <c r="AN45" s="85">
        <f t="shared" si="39"/>
        <v>-1.5655164988873063</v>
      </c>
      <c r="AO45" s="85">
        <f t="shared" si="39"/>
        <v>-1.5655164988873063</v>
      </c>
      <c r="AP45" s="85">
        <f>$AB$17</f>
        <v>-1.5655164988873063</v>
      </c>
      <c r="AQ45" s="85">
        <f>$AB$17</f>
        <v>-1.5655164988873063</v>
      </c>
      <c r="AR45" s="85"/>
      <c r="AS45" s="85"/>
      <c r="AT45" s="79">
        <f t="shared" si="36"/>
        <v>-23.482747483309588</v>
      </c>
      <c r="AU45" s="184">
        <f>contributions!AB15-AT45</f>
        <v>-0.46965494966620014</v>
      </c>
    </row>
    <row r="46" spans="1:47" s="76" customFormat="1" x14ac:dyDescent="0.2">
      <c r="A46" s="225" t="s">
        <v>446</v>
      </c>
      <c r="B46" s="225" t="s">
        <v>418</v>
      </c>
      <c r="K46" s="85"/>
      <c r="L46" s="85"/>
      <c r="M46" s="85"/>
      <c r="N46" s="85"/>
      <c r="O46" s="85"/>
      <c r="P46" s="85"/>
      <c r="Q46" s="85"/>
      <c r="R46" s="85"/>
      <c r="S46" s="85"/>
      <c r="T46" s="85"/>
      <c r="U46" s="85"/>
      <c r="V46" s="85"/>
      <c r="W46" s="85"/>
      <c r="X46" s="106"/>
      <c r="Y46" s="349"/>
      <c r="Z46" s="85"/>
      <c r="AA46" s="85"/>
      <c r="AB46" s="85"/>
      <c r="AC46" s="246"/>
      <c r="AD46" s="85">
        <f>$AC$17</f>
        <v>-1.5847300497012689</v>
      </c>
      <c r="AE46" s="85">
        <f t="shared" ref="AE46:AQ46" si="40">$AC$17</f>
        <v>-1.5847300497012689</v>
      </c>
      <c r="AF46" s="85">
        <f t="shared" si="40"/>
        <v>-1.5847300497012689</v>
      </c>
      <c r="AG46" s="85">
        <f t="shared" si="40"/>
        <v>-1.5847300497012689</v>
      </c>
      <c r="AH46" s="85">
        <f t="shared" si="40"/>
        <v>-1.5847300497012689</v>
      </c>
      <c r="AI46" s="85">
        <f t="shared" si="40"/>
        <v>-1.5847300497012689</v>
      </c>
      <c r="AJ46" s="85">
        <f t="shared" si="40"/>
        <v>-1.5847300497012689</v>
      </c>
      <c r="AK46" s="85">
        <f t="shared" si="40"/>
        <v>-1.5847300497012689</v>
      </c>
      <c r="AL46" s="85">
        <f t="shared" si="40"/>
        <v>-1.5847300497012689</v>
      </c>
      <c r="AM46" s="85">
        <f t="shared" si="40"/>
        <v>-1.5847300497012689</v>
      </c>
      <c r="AN46" s="85">
        <f t="shared" si="40"/>
        <v>-1.5847300497012689</v>
      </c>
      <c r="AO46" s="85">
        <f t="shared" si="40"/>
        <v>-1.5847300497012689</v>
      </c>
      <c r="AP46" s="85">
        <f t="shared" si="40"/>
        <v>-1.5847300497012689</v>
      </c>
      <c r="AQ46" s="85">
        <f t="shared" si="40"/>
        <v>-1.5847300497012689</v>
      </c>
      <c r="AR46" s="85">
        <f>$AC$17</f>
        <v>-1.5847300497012689</v>
      </c>
      <c r="AS46" s="85"/>
      <c r="AT46" s="79">
        <f>SUM(R46:AS46)</f>
        <v>-23.770950745519031</v>
      </c>
      <c r="AU46" s="184">
        <f>contributions!AC15-AT46</f>
        <v>-0.47541901491038274</v>
      </c>
    </row>
    <row r="47" spans="1:47" s="18" customFormat="1" ht="15.75" x14ac:dyDescent="0.25">
      <c r="A47" s="18" t="s">
        <v>167</v>
      </c>
      <c r="C47" s="43">
        <f>SUM(C20:C43)</f>
        <v>-10</v>
      </c>
      <c r="D47" s="43">
        <f t="shared" ref="D47:Z47" si="41">SUM(D20:D43)</f>
        <v>-16</v>
      </c>
      <c r="E47" s="43">
        <f t="shared" si="41"/>
        <v>-13</v>
      </c>
      <c r="F47" s="43">
        <f t="shared" si="41"/>
        <v>-1</v>
      </c>
      <c r="G47" s="43">
        <f t="shared" si="41"/>
        <v>18</v>
      </c>
      <c r="H47" s="43">
        <f t="shared" si="41"/>
        <v>36</v>
      </c>
      <c r="I47" s="43">
        <f t="shared" si="41"/>
        <v>39</v>
      </c>
      <c r="J47" s="43">
        <f t="shared" si="41"/>
        <v>40</v>
      </c>
      <c r="K47" s="43">
        <f t="shared" si="41"/>
        <v>43</v>
      </c>
      <c r="L47" s="43">
        <f t="shared" si="41"/>
        <v>44</v>
      </c>
      <c r="M47" s="43">
        <f t="shared" si="41"/>
        <v>42</v>
      </c>
      <c r="N47" s="141">
        <f t="shared" si="41"/>
        <v>40</v>
      </c>
      <c r="O47" s="141">
        <f t="shared" si="41"/>
        <v>39</v>
      </c>
      <c r="P47" s="141">
        <f t="shared" si="41"/>
        <v>36</v>
      </c>
      <c r="Q47" s="141">
        <f t="shared" si="41"/>
        <v>44</v>
      </c>
      <c r="R47" s="141">
        <f t="shared" si="41"/>
        <v>40</v>
      </c>
      <c r="S47" s="141">
        <f t="shared" si="41"/>
        <v>36</v>
      </c>
      <c r="T47" s="141">
        <f>SUM(T20:T43)</f>
        <v>2</v>
      </c>
      <c r="U47" s="141">
        <f t="shared" si="41"/>
        <v>-18</v>
      </c>
      <c r="V47" s="141">
        <f t="shared" si="41"/>
        <v>-20</v>
      </c>
      <c r="W47" s="141">
        <f t="shared" si="41"/>
        <v>-24</v>
      </c>
      <c r="X47" s="141">
        <f t="shared" si="41"/>
        <v>-25</v>
      </c>
      <c r="Y47" s="363">
        <f t="shared" si="41"/>
        <v>-27</v>
      </c>
      <c r="Z47" s="96">
        <f t="shared" si="41"/>
        <v>-30</v>
      </c>
      <c r="AA47" s="96">
        <f>SUM(AA20:AA44)</f>
        <v>-29.526283531938638</v>
      </c>
      <c r="AB47" s="96">
        <f>SUM(AB20:AB45)</f>
        <v>-31.073229998744214</v>
      </c>
      <c r="AC47" s="263">
        <f t="shared" ref="AC47" si="42">SUM(AC20:AC45)</f>
        <v>-31.638746497631519</v>
      </c>
      <c r="AD47" s="43">
        <f>SUM(AD20:AD46)</f>
        <v>-33.223476547332787</v>
      </c>
      <c r="AE47" s="43">
        <f t="shared" ref="AE47:AS47" si="43">SUM(AE20:AE46)</f>
        <v>-32.223476547332787</v>
      </c>
      <c r="AF47" s="43">
        <f t="shared" si="43"/>
        <v>-29.223476547332787</v>
      </c>
      <c r="AG47" s="43">
        <f t="shared" si="43"/>
        <v>-22.223476547332787</v>
      </c>
      <c r="AH47" s="43">
        <f t="shared" si="43"/>
        <v>-18.223476547332787</v>
      </c>
      <c r="AI47" s="43">
        <f t="shared" si="43"/>
        <v>-17.223476547332787</v>
      </c>
      <c r="AJ47" s="43">
        <f t="shared" si="43"/>
        <v>-17.223476547332787</v>
      </c>
      <c r="AK47" s="43">
        <f>SUM(AK20:AK46)</f>
        <v>-12.223476547332789</v>
      </c>
      <c r="AL47" s="43">
        <f t="shared" si="43"/>
        <v>-11.223476547332789</v>
      </c>
      <c r="AM47" s="43">
        <f t="shared" si="43"/>
        <v>-9.2234765473327887</v>
      </c>
      <c r="AN47" s="43">
        <f t="shared" si="43"/>
        <v>-7.2234765473327887</v>
      </c>
      <c r="AO47" s="43">
        <f t="shared" si="43"/>
        <v>-6.2234765473327887</v>
      </c>
      <c r="AP47" s="43">
        <f t="shared" si="43"/>
        <v>-4.6971930153941504</v>
      </c>
      <c r="AQ47" s="43">
        <f t="shared" si="43"/>
        <v>-3.1502465485885751</v>
      </c>
      <c r="AR47" s="43">
        <f t="shared" si="43"/>
        <v>-1.5847300497012689</v>
      </c>
      <c r="AS47" s="43">
        <f t="shared" si="43"/>
        <v>0</v>
      </c>
      <c r="AU47" s="184"/>
    </row>
    <row r="49" spans="1:47" x14ac:dyDescent="0.2">
      <c r="A49" s="28" t="s">
        <v>188</v>
      </c>
    </row>
    <row r="50" spans="1:47" x14ac:dyDescent="0.2">
      <c r="A50" t="s">
        <v>189</v>
      </c>
      <c r="C50" s="22">
        <f>SUM($C$15:C15)</f>
        <v>-128.5</v>
      </c>
      <c r="D50" s="22">
        <f>SUM($C$15:D15)</f>
        <v>-205</v>
      </c>
      <c r="E50" s="22">
        <f>SUM($C$15:E15)</f>
        <v>-175</v>
      </c>
      <c r="F50" s="22">
        <f>SUM($C$15:F15)</f>
        <v>-21.5</v>
      </c>
      <c r="G50" s="22">
        <f>SUM($C$15:G15)</f>
        <v>249.5</v>
      </c>
      <c r="H50" s="22">
        <f>SUM($C$15:H15)</f>
        <v>493.5</v>
      </c>
      <c r="I50" s="22">
        <f>SUM($C$15:I15)</f>
        <v>512.5</v>
      </c>
      <c r="J50" s="22">
        <f>SUM($C$15:J15)</f>
        <v>518</v>
      </c>
      <c r="K50" s="22">
        <f>SUM($C$15:K15)</f>
        <v>521.51718499999993</v>
      </c>
      <c r="L50" s="22">
        <f>SUM($C$15:L15)</f>
        <v>522.138598</v>
      </c>
      <c r="M50" s="22">
        <f>SUM($C$15:M15)</f>
        <v>511.1101855</v>
      </c>
      <c r="N50" s="106">
        <f>SUM($C$15:N15)</f>
        <v>496.68200250000001</v>
      </c>
      <c r="O50" s="106">
        <f>SUM($C$15:O15)</f>
        <v>474.78676899999999</v>
      </c>
      <c r="P50" s="106">
        <f>SUM($C$15:P15)</f>
        <v>467.8452135</v>
      </c>
      <c r="Q50" s="106">
        <f>SUM($C$15:Q15)</f>
        <v>342.45254799999998</v>
      </c>
      <c r="R50" s="106">
        <f>SUM($C$15:R15)</f>
        <v>308.45254799999998</v>
      </c>
      <c r="S50" s="106">
        <f>SUM($C$15:S15)</f>
        <v>279.73762699999997</v>
      </c>
      <c r="T50" s="106">
        <f>SUM($C$15:T15)</f>
        <v>268.77113142857144</v>
      </c>
      <c r="U50" s="106">
        <f>SUM($C$15:U15)</f>
        <v>239.17760992857148</v>
      </c>
      <c r="V50" s="106">
        <f>SUM($C$15:V15)</f>
        <v>198.84797685714295</v>
      </c>
      <c r="W50" s="106">
        <f>SUM($C$15:W15)</f>
        <v>158.725951357143</v>
      </c>
      <c r="X50" s="106">
        <f>SUM($C$15:X15)</f>
        <v>116.12628685714299</v>
      </c>
      <c r="Y50" s="349">
        <f>SUM($C$15:Y15)</f>
        <v>90.745330507142967</v>
      </c>
      <c r="Z50" s="85">
        <f>SUM($C$15:Z15)</f>
        <v>67.393192468481814</v>
      </c>
      <c r="AA50" s="85">
        <f>SUM($C$15:AA15)</f>
        <v>43.724911526356507</v>
      </c>
      <c r="AB50" s="85">
        <f>SUM($C$15:AB15)</f>
        <v>19.772509093380719</v>
      </c>
      <c r="AC50" s="246">
        <f>SUM($C$15:AC15)</f>
        <v>-4.4738606670486938</v>
      </c>
    </row>
    <row r="51" spans="1:47" x14ac:dyDescent="0.2">
      <c r="A51" t="s">
        <v>190</v>
      </c>
      <c r="C51" s="38">
        <f>SUM($C$47:C47)</f>
        <v>-10</v>
      </c>
      <c r="D51" s="38">
        <f>SUM($C$47:D47)</f>
        <v>-26</v>
      </c>
      <c r="E51" s="38">
        <f>SUM($C$47:E47)</f>
        <v>-39</v>
      </c>
      <c r="F51" s="38">
        <f>SUM($C$47:F47)</f>
        <v>-40</v>
      </c>
      <c r="G51" s="38">
        <f>SUM($C$47:G47)</f>
        <v>-22</v>
      </c>
      <c r="H51" s="38">
        <f>SUM($C$47:H47)</f>
        <v>14</v>
      </c>
      <c r="I51" s="38">
        <f>SUM($C$47:I47)</f>
        <v>53</v>
      </c>
      <c r="J51" s="38">
        <f>SUM($C$47:J47)</f>
        <v>93</v>
      </c>
      <c r="K51" s="38">
        <f>SUM($C$47:K47)</f>
        <v>136</v>
      </c>
      <c r="L51" s="38">
        <f>SUM($C$47:L47)</f>
        <v>180</v>
      </c>
      <c r="M51" s="38">
        <f>SUM($C$47:M47)</f>
        <v>222</v>
      </c>
      <c r="N51" s="137">
        <f>SUM($C$47:N47)</f>
        <v>262</v>
      </c>
      <c r="O51" s="137">
        <f>SUM($C$47:O47)</f>
        <v>301</v>
      </c>
      <c r="P51" s="137">
        <f>SUM($C$47:P47)</f>
        <v>337</v>
      </c>
      <c r="Q51" s="137">
        <f>SUM($C$47:Q47)</f>
        <v>381</v>
      </c>
      <c r="R51" s="137">
        <f>SUM($C$47:R47)</f>
        <v>421</v>
      </c>
      <c r="S51" s="137">
        <f>SUM($C$47:S47)</f>
        <v>457</v>
      </c>
      <c r="T51" s="137">
        <f>SUM($C$47:T47)</f>
        <v>459</v>
      </c>
      <c r="U51" s="137">
        <f>SUM($C$47:U47)</f>
        <v>441</v>
      </c>
      <c r="V51" s="137">
        <f>SUM($C$47:V47)</f>
        <v>421</v>
      </c>
      <c r="W51" s="137">
        <f>SUM($C$47:W47)</f>
        <v>397</v>
      </c>
      <c r="X51" s="137">
        <f>SUM($C$47:X47)</f>
        <v>372</v>
      </c>
      <c r="Y51" s="356">
        <f>SUM($C$47:Y47)</f>
        <v>345</v>
      </c>
      <c r="Z51" s="92">
        <f>SUM($C$47:Z47)</f>
        <v>315</v>
      </c>
      <c r="AA51" s="92">
        <f>SUM($C$47:AA47)</f>
        <v>285.47371646806135</v>
      </c>
      <c r="AB51" s="92">
        <f>SUM($C$47:AB47)</f>
        <v>254.40048646931714</v>
      </c>
      <c r="AC51" s="254">
        <f>SUM($C$47:AC47)</f>
        <v>222.76173997168561</v>
      </c>
    </row>
    <row r="52" spans="1:47" s="18" customFormat="1" ht="15.75" x14ac:dyDescent="0.25">
      <c r="A52" s="18" t="s">
        <v>191</v>
      </c>
      <c r="C52" s="43">
        <f>C50-C51</f>
        <v>-118.5</v>
      </c>
      <c r="D52" s="43">
        <f t="shared" ref="D52:N52" si="44">D50-D51</f>
        <v>-179</v>
      </c>
      <c r="E52" s="43">
        <f t="shared" si="44"/>
        <v>-136</v>
      </c>
      <c r="F52" s="43">
        <f t="shared" si="44"/>
        <v>18.5</v>
      </c>
      <c r="G52" s="43">
        <f t="shared" si="44"/>
        <v>271.5</v>
      </c>
      <c r="H52" s="43">
        <f t="shared" si="44"/>
        <v>479.5</v>
      </c>
      <c r="I52" s="43">
        <f t="shared" si="44"/>
        <v>459.5</v>
      </c>
      <c r="J52" s="43">
        <f t="shared" si="44"/>
        <v>425</v>
      </c>
      <c r="K52" s="43">
        <f t="shared" si="44"/>
        <v>385.51718499999993</v>
      </c>
      <c r="L52" s="43">
        <f t="shared" si="44"/>
        <v>342.138598</v>
      </c>
      <c r="M52" s="43">
        <f t="shared" si="44"/>
        <v>289.1101855</v>
      </c>
      <c r="N52" s="141">
        <f t="shared" si="44"/>
        <v>234.68200250000001</v>
      </c>
      <c r="O52" s="141">
        <f t="shared" ref="O52:V52" si="45">O50-O51</f>
        <v>173.78676899999999</v>
      </c>
      <c r="P52" s="141">
        <f t="shared" si="45"/>
        <v>130.8452135</v>
      </c>
      <c r="Q52" s="141">
        <f t="shared" si="45"/>
        <v>-38.547452000000021</v>
      </c>
      <c r="R52" s="141">
        <f t="shared" si="45"/>
        <v>-112.54745200000002</v>
      </c>
      <c r="S52" s="141">
        <f t="shared" si="45"/>
        <v>-177.26237300000003</v>
      </c>
      <c r="T52" s="141">
        <f t="shared" si="45"/>
        <v>-190.22886857142856</v>
      </c>
      <c r="U52" s="141">
        <f t="shared" si="45"/>
        <v>-201.82239007142852</v>
      </c>
      <c r="V52" s="141">
        <f t="shared" si="45"/>
        <v>-222.15202314285705</v>
      </c>
      <c r="W52" s="141">
        <f t="shared" ref="W52:AB52" si="46">W50-W51</f>
        <v>-238.274048642857</v>
      </c>
      <c r="X52" s="141">
        <f t="shared" si="46"/>
        <v>-255.87371314285701</v>
      </c>
      <c r="Y52" s="363">
        <f t="shared" si="46"/>
        <v>-254.25466949285703</v>
      </c>
      <c r="Z52" s="96">
        <f t="shared" si="46"/>
        <v>-247.6068075315182</v>
      </c>
      <c r="AA52" s="96">
        <f t="shared" si="46"/>
        <v>-241.74880494170486</v>
      </c>
      <c r="AB52" s="96">
        <f t="shared" si="46"/>
        <v>-234.62797737593644</v>
      </c>
      <c r="AC52" s="263">
        <f t="shared" ref="AC52" si="47">AC50-AC51</f>
        <v>-227.2356006387343</v>
      </c>
      <c r="AU52" s="181"/>
    </row>
  </sheetData>
  <phoneticPr fontId="0" type="noConversion"/>
  <pageMargins left="0.5" right="0.5" top="1" bottom="1" header="0.5" footer="0.5"/>
  <pageSetup paperSize="5" scale="52" orientation="landscape" r:id="rId1"/>
  <headerFooter alignWithMargins="0">
    <oddFooter>&amp;L&amp;"Arial,Bold"&amp;F&amp;C&amp;A&amp;R&amp;D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20</vt:i4>
      </vt:variant>
    </vt:vector>
  </HeadingPairs>
  <TitlesOfParts>
    <vt:vector size="47" baseType="lpstr">
      <vt:lpstr>RCA data</vt:lpstr>
      <vt:lpstr>Interest</vt:lpstr>
      <vt:lpstr>RCA interest</vt:lpstr>
      <vt:lpstr>experience g(l)</vt:lpstr>
      <vt:lpstr>RCA exp g(l)</vt:lpstr>
      <vt:lpstr>amendment</vt:lpstr>
      <vt:lpstr>RCA amend</vt:lpstr>
      <vt:lpstr>initial ufl</vt:lpstr>
      <vt:lpstr>contributions</vt:lpstr>
      <vt:lpstr>year end</vt:lpstr>
      <vt:lpstr>CPI Special Payments</vt:lpstr>
      <vt:lpstr>OTPP Fiscal Impact of Change</vt:lpstr>
      <vt:lpstr>OTPP excluding (RCA) liability</vt:lpstr>
      <vt:lpstr>OTPP expense (excluding RCA)</vt:lpstr>
      <vt:lpstr>RCA exp</vt:lpstr>
      <vt:lpstr>RCA liab</vt:lpstr>
      <vt:lpstr>OPSEU expense</vt:lpstr>
      <vt:lpstr>OPSEU liability</vt:lpstr>
      <vt:lpstr>HOOP - hospital</vt:lpstr>
      <vt:lpstr>Data Input</vt:lpstr>
      <vt:lpstr>CAATPP</vt:lpstr>
      <vt:lpstr>OTPP&amp; RCA Summary</vt:lpstr>
      <vt:lpstr>OTTP PA Variance</vt:lpstr>
      <vt:lpstr>Smoothing</vt:lpstr>
      <vt:lpstr>Gain avai. for smoothing 2015</vt:lpstr>
      <vt:lpstr>Pension and OPRB 2016 Budget</vt:lpstr>
      <vt:lpstr>2015-16 pensions</vt:lpstr>
      <vt:lpstr>CAATPP!Print_Area</vt:lpstr>
      <vt:lpstr>contributions!Print_Area</vt:lpstr>
      <vt:lpstr>'CPI Special Payments'!Print_Area</vt:lpstr>
      <vt:lpstr>'Data Input'!Print_Area</vt:lpstr>
      <vt:lpstr>'experience g(l)'!Print_Area</vt:lpstr>
      <vt:lpstr>'HOOP - hospital'!Print_Area</vt:lpstr>
      <vt:lpstr>Interest!Print_Area</vt:lpstr>
      <vt:lpstr>'OPSEU expense'!Print_Area</vt:lpstr>
      <vt:lpstr>'OTPP excluding (RCA) liability'!Print_Area</vt:lpstr>
      <vt:lpstr>'OTPP expense (excluding RCA)'!Print_Area</vt:lpstr>
      <vt:lpstr>'OTPP Fiscal Impact of Change'!Print_Area</vt:lpstr>
      <vt:lpstr>'OTPP&amp; RCA Summary'!Print_Area</vt:lpstr>
      <vt:lpstr>'RCA data'!Print_Area</vt:lpstr>
      <vt:lpstr>'RCA exp'!Print_Area</vt:lpstr>
      <vt:lpstr>'RCA interest'!Print_Area</vt:lpstr>
      <vt:lpstr>'RCA liab'!Print_Area</vt:lpstr>
      <vt:lpstr>Smoothing!Print_Area</vt:lpstr>
      <vt:lpstr>'year end'!Print_Area</vt:lpstr>
      <vt:lpstr>'experience g(l)'!Print_Titles</vt:lpstr>
      <vt:lpstr>'OPSEU liability'!Print_Titles</vt:lpstr>
    </vt:vector>
  </TitlesOfParts>
  <Company>Ministry of Finance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Teachers' Pension Plan Calculation File</dc:title>
  <dc:creator>Pauline Fong</dc:creator>
  <cp:lastModifiedBy>Fong, Pauline (TBS)</cp:lastModifiedBy>
  <cp:lastPrinted>2016-09-14T21:39:57Z</cp:lastPrinted>
  <dcterms:created xsi:type="dcterms:W3CDTF">2002-07-26T18:47:24Z</dcterms:created>
  <dcterms:modified xsi:type="dcterms:W3CDTF">2016-09-14T21:59:15Z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